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175" windowHeight="6885" activeTab="1"/>
  </bookViews>
  <sheets>
    <sheet name="summary" sheetId="12" r:id="rId1"/>
    <sheet name="extractions" sheetId="1" r:id="rId2"/>
    <sheet name="chk1" sheetId="4" r:id="rId3"/>
    <sheet name="chk13" sheetId="9" r:id="rId4"/>
    <sheet name="chk17" sheetId="13" r:id="rId5"/>
  </sheets>
  <definedNames>
    <definedName name="_chk1">extractions!$F$43</definedName>
    <definedName name="_chk10">extractions!$CA$20</definedName>
    <definedName name="_chk11">extractions!$CO$8</definedName>
    <definedName name="_chk12">extractions!$DF$5</definedName>
    <definedName name="_chk13">extractions!$DK$2</definedName>
    <definedName name="_chk14">extractions!$DN$7</definedName>
    <definedName name="_chk15">extractions!$DQ$1</definedName>
    <definedName name="_chk16">extractions!$EV$3</definedName>
    <definedName name="_chk17">extractions!$GI$1</definedName>
    <definedName name="_chk18">extractions!$GM$1</definedName>
    <definedName name="_chk2">extractions!$L$47</definedName>
    <definedName name="_chk3">extractions!$Q$14</definedName>
    <definedName name="_chk4">extractions!$Y$8</definedName>
    <definedName name="_chk5">extractions!$AC$8</definedName>
    <definedName name="_chk6">extractions!$AI$5</definedName>
    <definedName name="_chk7">extractions!$AN$5</definedName>
    <definedName name="_chk8">extractions!$BM$5</definedName>
    <definedName name="_chk9">extractions!$BS$4</definedName>
    <definedName name="AllBlocks">extractions!$DB$7:$DB$116</definedName>
    <definedName name="allowedLineTypes">'chk17'!$B$2:$B$170</definedName>
    <definedName name="AnnotationSymbols">'chk13'!$E$1:$E$56</definedName>
    <definedName name="AppDate">extractions!$L$27</definedName>
    <definedName name="Approved">extractions!$L$34</definedName>
    <definedName name="blockname">extractions!$DB$7</definedName>
    <definedName name="building">extractions!$F$21</definedName>
    <definedName name="buildingNumberInTitle1">extractions!$N$15</definedName>
    <definedName name="CheckDate">extractions!$L$22</definedName>
    <definedName name="Checked">extractions!$L$29</definedName>
    <definedName name="chk10Summary">summary!$K$14</definedName>
    <definedName name="chk11Summary">summary!$L$14</definedName>
    <definedName name="chk12Summary">summary!$M$14</definedName>
    <definedName name="chk13Summary">summary!$N$14</definedName>
    <definedName name="chk14Summary">summary!$O$14</definedName>
    <definedName name="chk15Summary">summary!$P$14</definedName>
    <definedName name="chk16Summary">summary!$Q$14</definedName>
    <definedName name="chk17Summary">summary!$R$14</definedName>
    <definedName name="chk18Summary">summary!$S$14</definedName>
    <definedName name="chk1Summary">summary!$B$14</definedName>
    <definedName name="chk2Layer">extractions!$M$46</definedName>
    <definedName name="chk2Summary">summary!$C$14</definedName>
    <definedName name="chk3Summary">summary!$D$14</definedName>
    <definedName name="chk4Summary">summary!$E$14</definedName>
    <definedName name="chk5Summary">summary!$F$14</definedName>
    <definedName name="chk6Summary">summary!$G$14</definedName>
    <definedName name="chk7Summary">summary!$H$14</definedName>
    <definedName name="chk8Summary">summary!$I$14</definedName>
    <definedName name="chk9Summary">summary!$J$14</definedName>
    <definedName name="copyarea">extractions!$A$1:$GM$100</definedName>
    <definedName name="CrossCheck">extractions!$L$30</definedName>
    <definedName name="CrsDate">extractions!$L$23</definedName>
    <definedName name="Date">extractions!$B$2</definedName>
    <definedName name="dimEntities">extractions!$FF$2</definedName>
    <definedName name="dimScaleOk">extractions!$EV$2</definedName>
    <definedName name="dimstyle">extractions!$DX$2</definedName>
    <definedName name="DimStyleNames">extractions!$DX$2:$DX$15</definedName>
    <definedName name="DimStyleScales">extractions!$DZ$2:$DZ$15</definedName>
    <definedName name="discipline">extractions!$F$24</definedName>
    <definedName name="Drawn">extractions!$L$28</definedName>
    <definedName name="dwgchecked">summary!$A$14</definedName>
    <definedName name="DwgDate">extractions!$L$21</definedName>
    <definedName name="dwgname">extractions!$E$5</definedName>
    <definedName name="DwgNum">extractions!$L$20</definedName>
    <definedName name="EngDate">extractions!$L$26</definedName>
    <definedName name="Engineer">extractions!$L$33</definedName>
    <definedName name="EqtCode">extractions!$L$35</definedName>
    <definedName name="expectedgridname">extractions!$Y$22</definedName>
    <definedName name="expectedxreflayout">extractions!$Q$9</definedName>
    <definedName name="File">extractions!$L$19</definedName>
    <definedName name="Fwr">extractions!$L$11</definedName>
    <definedName name="hasAnnotation">extractions!$DK$1</definedName>
    <definedName name="hasBindError">extractions!$DD$6</definedName>
    <definedName name="hasDollarError">extractions!$DE$6</definedName>
    <definedName name="hasOriginProblem">extractions!$AI$4</definedName>
    <definedName name="hasPathProblem">extractions!$AN$4</definedName>
    <definedName name="hasTitleBlock">extractions!$L$36</definedName>
    <definedName name="IsCivil">extractions!$DN$1</definedName>
    <definedName name="IsDetail">extractions!$F$48</definedName>
    <definedName name="isDetail1">'chk1'!$K$46</definedName>
    <definedName name="isDetail2">'chk1'!$K$47</definedName>
    <definedName name="isEightLetters">extractions!$F$38</definedName>
    <definedName name="IsElevation">'chk1'!$K$45</definedName>
    <definedName name="IsEnlarged">extractions!$F$45</definedName>
    <definedName name="isEnlargedView1">'chk1'!$K$42</definedName>
    <definedName name="isEnlargedView2">'chk1'!$K$43</definedName>
    <definedName name="IsLayout">extractions!$F$40</definedName>
    <definedName name="isPurged">extractions!$GM$1</definedName>
    <definedName name="isRecordDrawing">extractions!$DS$1</definedName>
    <definedName name="IsSection">'chk1'!$K$44</definedName>
    <definedName name="IsView">extractions!$B$62</definedName>
    <definedName name="layer0ents">extractions!$BM$4</definedName>
    <definedName name="layer0model">extractions!$BL$11</definedName>
    <definedName name="layer0paper">extractions!$BM$11</definedName>
    <definedName name="layers">extractions!$BW$2</definedName>
    <definedName name="layoutOrViewInTitle">extractions!$N$18</definedName>
    <definedName name="letter1legal">extractions!$F$17</definedName>
    <definedName name="levelInTitle">extractions!$N$16</definedName>
    <definedName name="linetype">extractions!$GI$4</definedName>
    <definedName name="lineTypeError">extractions!$GJ$4:$GJ$39</definedName>
    <definedName name="modelall">extractions!$CA$18</definedName>
    <definedName name="modelblks">extractions!$CA$15</definedName>
    <definedName name="modelcircles">extractions!$CA$17</definedName>
    <definedName name="modellines">extractions!$CA$16</definedName>
    <definedName name="modeltext">extractions!$CA$14</definedName>
    <definedName name="NCAreas">'chk1'!$O$1:$O$16</definedName>
    <definedName name="NCBuilding">'chk1'!$K$1:$L$33</definedName>
    <definedName name="NCDetailsHighNum1">'chk1'!$M$46</definedName>
    <definedName name="NCDetailsHighNum2">'chk1'!$M$47</definedName>
    <definedName name="NCDetailsLowNum1">'chk1'!$L$46</definedName>
    <definedName name="NCDetailsLowNum2">'chk1'!$L$47</definedName>
    <definedName name="NCDisciplines">'chk1'!$D$1:$E$115</definedName>
    <definedName name="NCElevationsHighNum">'chk1'!$M$45</definedName>
    <definedName name="NCElevationsLowNum">'chk1'!$L$45</definedName>
    <definedName name="NCEnlargedHighNum1">'chk1'!$M$42</definedName>
    <definedName name="NCEnlargedHighNum2">'chk1'!$M$43</definedName>
    <definedName name="NCEnlargedLowNum1">'chk1'!$L$42</definedName>
    <definedName name="NCEnlargedLowNum2">'chk1'!$L$43</definedName>
    <definedName name="NCLevels">'chk1'!$T$1:$U$50</definedName>
    <definedName name="NCPlanKey">'chk1'!$W$1:$X$16</definedName>
    <definedName name="NCSectionsHighNum">'chk1'!$M$44</definedName>
    <definedName name="NCSectionsLowNum">'chk1'!$L$44</definedName>
    <definedName name="NCSeries">'chk1'!$K$42:$N$47</definedName>
    <definedName name="NCSpecial">'chk1'!$Z$1:$AA$9</definedName>
    <definedName name="northarrowangle">extractions!$DN$10</definedName>
    <definedName name="northarrowok">extractions!$DN$5</definedName>
    <definedName name="northarrowqty">extractions!$DN$9</definedName>
    <definedName name="OldNum">extractions!$L$10</definedName>
    <definedName name="oncorrectlayer">extractions!$L$46</definedName>
    <definedName name="originRange">extractions!$BH$2:$BH$40</definedName>
    <definedName name="overallSectorInTitle">extractions!$N$17</definedName>
    <definedName name="paperall">extractions!$CA$13</definedName>
    <definedName name="paperblks">extractions!$CA$10</definedName>
    <definedName name="papercircles">extractions!$CA$12</definedName>
    <definedName name="paperlines">extractions!$CA$11</definedName>
    <definedName name="papertext">extractions!$CA$9</definedName>
    <definedName name="pathRange">extractions!$BF$2:$BF$40</definedName>
    <definedName name="PlaDate">extractions!$L$25</definedName>
    <definedName name="Planning">extractions!$L$32</definedName>
    <definedName name="PlotScale">extractions!$L$13</definedName>
    <definedName name="plotscaleok">extractions!$L$45</definedName>
    <definedName name="properXrefFound">extractions!$Q$12</definedName>
    <definedName name="purge">extractions!$B$4</definedName>
    <definedName name="Rev">extractions!$L$12</definedName>
    <definedName name="RevDescriptions">extractions!$DR$4:$DR$20</definedName>
    <definedName name="revisionline">extractions!$DQ$4</definedName>
    <definedName name="SafDate">extractions!$L$24</definedName>
    <definedName name="Safety">extractions!$L$31</definedName>
    <definedName name="Scale">extractions!$L$14</definedName>
    <definedName name="scaleformatok">extractions!$L$44</definedName>
    <definedName name="sector">extractions!$F$33</definedName>
    <definedName name="series">extractions!$F$36</definedName>
    <definedName name="SummaryNotes">summary!$T$14</definedName>
    <definedName name="textEntity">extractions!$CT$2</definedName>
    <definedName name="textHeightProblem">extractions!$CO$7</definedName>
    <definedName name="textHeightRemainder">extractions!$CQ$2:$CQ$151</definedName>
    <definedName name="textstyle">extractions!$CH$6</definedName>
    <definedName name="thisdwg">extractions!$B$1</definedName>
    <definedName name="Title1">extractions!$L$15</definedName>
    <definedName name="title1proper">extractions!$L$40</definedName>
    <definedName name="Title2">extractions!$L$16</definedName>
    <definedName name="title2proper">extractions!$L$41</definedName>
    <definedName name="Title3">extractions!$L$17</definedName>
    <definedName name="title3proper">extractions!$L$42</definedName>
    <definedName name="Title4">extractions!$L$18</definedName>
    <definedName name="title4proper">extractions!$L$43</definedName>
    <definedName name="titleinmodel">extractions!$L$37</definedName>
    <definedName name="titleinpaper">extractions!$L$38</definedName>
    <definedName name="titleIsLayout">extractions!$L$43</definedName>
    <definedName name="titlelayer">extractions!$L$7</definedName>
    <definedName name="titleletter1">extractions!$F$6</definedName>
    <definedName name="titleletter2">extractions!$F$7</definedName>
    <definedName name="titleletter3">extractions!$F$8</definedName>
    <definedName name="titleletter4">extractions!$F$9</definedName>
    <definedName name="titleletter5">extractions!$F$10</definedName>
    <definedName name="titleletter6">extractions!$F$11</definedName>
    <definedName name="titleletter7">extractions!$F$12</definedName>
    <definedName name="titleletter78">extractions!$F$32</definedName>
    <definedName name="titleletter8">extractions!$F$13</definedName>
    <definedName name="titleletter9">extractions!$F$14</definedName>
    <definedName name="titleletters256">extractions!$F$26</definedName>
    <definedName name="titleletters34">extractions!$F$23</definedName>
    <definedName name="titleletters5678">extractions!$F$35</definedName>
    <definedName name="titleqtymodel">extractions!$L$4</definedName>
    <definedName name="titleqtypaper">extractions!$L$5</definedName>
    <definedName name="titleunique">extractions!$L$6</definedName>
    <definedName name="UniqueTitle">extractions!$L$39</definedName>
    <definedName name="Value5678">extractions!$F$44</definedName>
    <definedName name="xrefLetterTable">extractions!$U$8:$V$9</definedName>
    <definedName name="XrefList">extractions!$AT$2</definedName>
    <definedName name="xrefNameProper">extractions!$Q$26</definedName>
    <definedName name="xrefnames">extractions!$AT$2:$AT$100</definedName>
  </definedNames>
  <calcPr calcId="125725"/>
</workbook>
</file>

<file path=xl/calcChain.xml><?xml version="1.0" encoding="utf-8"?>
<calcChain xmlns="http://schemas.openxmlformats.org/spreadsheetml/2006/main">
  <c r="C4" i="12"/>
  <c r="DF5" i="1"/>
  <c r="DG7"/>
  <c r="DG6"/>
  <c r="DE6"/>
  <c r="DD6"/>
  <c r="DE8"/>
  <c r="DE9"/>
  <c r="DE10"/>
  <c r="DE11"/>
  <c r="DE12"/>
  <c r="DE13"/>
  <c r="DE14"/>
  <c r="DE15"/>
  <c r="DE16"/>
  <c r="DE17"/>
  <c r="DE18"/>
  <c r="DE19"/>
  <c r="DE20"/>
  <c r="DE21"/>
  <c r="DE22"/>
  <c r="DE23"/>
  <c r="DE24"/>
  <c r="DE25"/>
  <c r="DE26"/>
  <c r="DE27"/>
  <c r="DE28"/>
  <c r="DE29"/>
  <c r="DE30"/>
  <c r="DE31"/>
  <c r="DE32"/>
  <c r="DE33"/>
  <c r="DE34"/>
  <c r="DE35"/>
  <c r="DE36"/>
  <c r="DE37"/>
  <c r="DE38"/>
  <c r="DE39"/>
  <c r="DE40"/>
  <c r="DE41"/>
  <c r="DE42"/>
  <c r="DE43"/>
  <c r="DE44"/>
  <c r="DE45"/>
  <c r="DE7"/>
  <c r="DD45"/>
  <c r="DD44"/>
  <c r="DD43"/>
  <c r="DD42"/>
  <c r="DD41"/>
  <c r="DD40"/>
  <c r="DD39"/>
  <c r="DD38"/>
  <c r="DD37"/>
  <c r="DD36"/>
  <c r="DD35"/>
  <c r="DD34"/>
  <c r="DD33"/>
  <c r="DD32"/>
  <c r="DD31"/>
  <c r="DD30"/>
  <c r="DD29"/>
  <c r="DD28"/>
  <c r="DD27"/>
  <c r="DD26"/>
  <c r="DD25"/>
  <c r="DD24"/>
  <c r="DD23"/>
  <c r="DD22"/>
  <c r="DD21"/>
  <c r="DD20"/>
  <c r="DD19"/>
  <c r="DD7"/>
  <c r="DD16"/>
  <c r="DD15"/>
  <c r="DD14"/>
  <c r="DD13"/>
  <c r="DD12"/>
  <c r="DD11"/>
  <c r="DD10"/>
  <c r="DD9"/>
  <c r="DD8"/>
  <c r="DD18"/>
  <c r="DD17"/>
  <c r="FB2"/>
  <c r="EY2" s="1"/>
  <c r="EX2" s="1"/>
  <c r="EW2" s="1"/>
  <c r="FC2"/>
  <c r="FB3"/>
  <c r="EZ3"/>
  <c r="FC3"/>
  <c r="FB4"/>
  <c r="EY4" s="1"/>
  <c r="EX4" s="1"/>
  <c r="EW4" s="1"/>
  <c r="FC4"/>
  <c r="FB5"/>
  <c r="EY5"/>
  <c r="FC5"/>
  <c r="FB6"/>
  <c r="EY6" s="1"/>
  <c r="FC6"/>
  <c r="FB7"/>
  <c r="EY7"/>
  <c r="FC7"/>
  <c r="FB8"/>
  <c r="EY8" s="1"/>
  <c r="FC8"/>
  <c r="FB9"/>
  <c r="EY9"/>
  <c r="FC9"/>
  <c r="FB10"/>
  <c r="EY10" s="1"/>
  <c r="FC10"/>
  <c r="FB11"/>
  <c r="EY11"/>
  <c r="FC11"/>
  <c r="FB12"/>
  <c r="EY12" s="1"/>
  <c r="FC12"/>
  <c r="FB13"/>
  <c r="EY13"/>
  <c r="FC13"/>
  <c r="FB14"/>
  <c r="EY14" s="1"/>
  <c r="FC14"/>
  <c r="DN4"/>
  <c r="CS2"/>
  <c r="CR2"/>
  <c r="CQ2"/>
  <c r="CS3"/>
  <c r="CR3"/>
  <c r="CQ3"/>
  <c r="CS4"/>
  <c r="CR4"/>
  <c r="CQ4"/>
  <c r="CS5"/>
  <c r="CR5"/>
  <c r="CQ5"/>
  <c r="CS6"/>
  <c r="CR6"/>
  <c r="CQ6"/>
  <c r="CS7"/>
  <c r="CR7"/>
  <c r="CQ7"/>
  <c r="CS8"/>
  <c r="CR8"/>
  <c r="CQ8"/>
  <c r="CS9"/>
  <c r="CR9"/>
  <c r="CQ9"/>
  <c r="CS10"/>
  <c r="CR10"/>
  <c r="CQ10"/>
  <c r="CS11"/>
  <c r="CR11"/>
  <c r="CQ11"/>
  <c r="CS12"/>
  <c r="CR12"/>
  <c r="CQ12"/>
  <c r="CS13"/>
  <c r="CR13"/>
  <c r="CQ13"/>
  <c r="CS14"/>
  <c r="CR14"/>
  <c r="CQ14"/>
  <c r="CS15"/>
  <c r="CR15"/>
  <c r="CQ15"/>
  <c r="CS16"/>
  <c r="CR16"/>
  <c r="CQ16"/>
  <c r="CS17"/>
  <c r="CR17"/>
  <c r="CQ17"/>
  <c r="CS18"/>
  <c r="CR18"/>
  <c r="CQ18"/>
  <c r="CS19"/>
  <c r="CR19"/>
  <c r="CQ19"/>
  <c r="CS20"/>
  <c r="CR20"/>
  <c r="CQ20"/>
  <c r="CS21"/>
  <c r="CR21"/>
  <c r="CQ21"/>
  <c r="CS22"/>
  <c r="CR22"/>
  <c r="CQ22"/>
  <c r="CS23"/>
  <c r="CR23"/>
  <c r="CQ23"/>
  <c r="CS24"/>
  <c r="CR24"/>
  <c r="CQ24"/>
  <c r="CS25"/>
  <c r="CR25"/>
  <c r="CQ25"/>
  <c r="CS26"/>
  <c r="CR26"/>
  <c r="CQ26"/>
  <c r="CS27"/>
  <c r="CR27"/>
  <c r="CQ27"/>
  <c r="CS28"/>
  <c r="CR28"/>
  <c r="CQ28"/>
  <c r="CS29"/>
  <c r="CR29"/>
  <c r="CQ29"/>
  <c r="CS30"/>
  <c r="CR30"/>
  <c r="CQ30"/>
  <c r="CS31"/>
  <c r="CR31"/>
  <c r="CQ31"/>
  <c r="CS32"/>
  <c r="CR32"/>
  <c r="CQ32"/>
  <c r="CS33"/>
  <c r="CR33"/>
  <c r="CQ33"/>
  <c r="CS34"/>
  <c r="CR34"/>
  <c r="CQ34"/>
  <c r="CS35"/>
  <c r="CR35"/>
  <c r="CQ35"/>
  <c r="CS36"/>
  <c r="CR36"/>
  <c r="CQ36"/>
  <c r="CS37"/>
  <c r="CR37"/>
  <c r="CQ37"/>
  <c r="CS38"/>
  <c r="CR38"/>
  <c r="CQ38"/>
  <c r="CS39"/>
  <c r="CR39"/>
  <c r="CQ39"/>
  <c r="CS40"/>
  <c r="CR40"/>
  <c r="CQ40"/>
  <c r="CS41"/>
  <c r="CR41"/>
  <c r="CQ41"/>
  <c r="CS42"/>
  <c r="CR42"/>
  <c r="CQ42"/>
  <c r="CS43"/>
  <c r="CR43"/>
  <c r="CQ43"/>
  <c r="CS44"/>
  <c r="CR44"/>
  <c r="CQ44"/>
  <c r="CS45"/>
  <c r="CR45"/>
  <c r="CQ45"/>
  <c r="CS46"/>
  <c r="CR46"/>
  <c r="CQ46"/>
  <c r="CS47"/>
  <c r="CR47"/>
  <c r="CQ47"/>
  <c r="CS48"/>
  <c r="CR48"/>
  <c r="CQ48"/>
  <c r="CS49"/>
  <c r="CR49"/>
  <c r="CQ49"/>
  <c r="CS50"/>
  <c r="CR50"/>
  <c r="CQ50"/>
  <c r="CS51"/>
  <c r="CR51"/>
  <c r="CQ51"/>
  <c r="CS52"/>
  <c r="CR52"/>
  <c r="CQ52"/>
  <c r="CS53"/>
  <c r="CR53"/>
  <c r="CQ53"/>
  <c r="CS54"/>
  <c r="CR54"/>
  <c r="CQ54"/>
  <c r="CS55"/>
  <c r="CR55"/>
  <c r="CQ55"/>
  <c r="CS56"/>
  <c r="CR56"/>
  <c r="CQ56"/>
  <c r="CS57"/>
  <c r="CR57"/>
  <c r="CQ57"/>
  <c r="CS58"/>
  <c r="CR58"/>
  <c r="CQ58"/>
  <c r="CS59"/>
  <c r="CR59"/>
  <c r="CQ59"/>
  <c r="CS60"/>
  <c r="CR60"/>
  <c r="CQ60"/>
  <c r="CS61"/>
  <c r="CR61"/>
  <c r="CQ61"/>
  <c r="CS62"/>
  <c r="CR62"/>
  <c r="CQ62"/>
  <c r="CS63"/>
  <c r="CR63"/>
  <c r="CQ63"/>
  <c r="CS64"/>
  <c r="CR64"/>
  <c r="CQ64"/>
  <c r="CS65"/>
  <c r="CR65"/>
  <c r="CQ65"/>
  <c r="CS66"/>
  <c r="CR66"/>
  <c r="CQ66"/>
  <c r="CS67"/>
  <c r="CR67"/>
  <c r="CQ67"/>
  <c r="CS68"/>
  <c r="CR68"/>
  <c r="CQ68"/>
  <c r="CS69"/>
  <c r="CR69"/>
  <c r="CQ69"/>
  <c r="CS70"/>
  <c r="CR70"/>
  <c r="CQ70"/>
  <c r="CS71"/>
  <c r="CR71"/>
  <c r="CQ71"/>
  <c r="CS72"/>
  <c r="CR72"/>
  <c r="CQ72"/>
  <c r="CS73"/>
  <c r="CR73"/>
  <c r="CQ73"/>
  <c r="CS74"/>
  <c r="CR74"/>
  <c r="CQ74"/>
  <c r="CS75"/>
  <c r="CR75"/>
  <c r="CQ75"/>
  <c r="CS76"/>
  <c r="CR76"/>
  <c r="CQ76"/>
  <c r="CS77"/>
  <c r="CR77"/>
  <c r="CQ77"/>
  <c r="CS78"/>
  <c r="CR78"/>
  <c r="CQ78"/>
  <c r="CS79"/>
  <c r="CR79"/>
  <c r="CQ79"/>
  <c r="CS80"/>
  <c r="CR80"/>
  <c r="CQ80"/>
  <c r="CS81"/>
  <c r="CR81"/>
  <c r="CQ81"/>
  <c r="CS82"/>
  <c r="CR82"/>
  <c r="CQ82"/>
  <c r="CS83"/>
  <c r="CR83"/>
  <c r="CQ83"/>
  <c r="CS84"/>
  <c r="CR84"/>
  <c r="CQ84"/>
  <c r="CS85"/>
  <c r="CR85"/>
  <c r="CQ85"/>
  <c r="CS86"/>
  <c r="CR86"/>
  <c r="CQ86"/>
  <c r="CS87"/>
  <c r="CR87"/>
  <c r="CQ87"/>
  <c r="CS88"/>
  <c r="CR88"/>
  <c r="CQ88"/>
  <c r="CS89"/>
  <c r="CR89"/>
  <c r="CQ89"/>
  <c r="CS90"/>
  <c r="CR90"/>
  <c r="CQ90"/>
  <c r="CS91"/>
  <c r="CR91"/>
  <c r="CQ91"/>
  <c r="CS92"/>
  <c r="CR92"/>
  <c r="CQ92"/>
  <c r="CS93"/>
  <c r="CR93"/>
  <c r="CQ93"/>
  <c r="CS94"/>
  <c r="CR94"/>
  <c r="CQ94"/>
  <c r="CS95"/>
  <c r="CR95"/>
  <c r="CQ95"/>
  <c r="CS96"/>
  <c r="CR96"/>
  <c r="CQ96"/>
  <c r="CS97"/>
  <c r="CR97"/>
  <c r="CQ97"/>
  <c r="CS98"/>
  <c r="CR98"/>
  <c r="CQ98"/>
  <c r="CS99"/>
  <c r="CR99"/>
  <c r="CQ99"/>
  <c r="CS100"/>
  <c r="CR100"/>
  <c r="CQ100"/>
  <c r="CS101"/>
  <c r="CR101"/>
  <c r="CQ101"/>
  <c r="CS102"/>
  <c r="CR102"/>
  <c r="CQ102"/>
  <c r="CS103"/>
  <c r="CR103"/>
  <c r="CQ103"/>
  <c r="CS104"/>
  <c r="CR104"/>
  <c r="CQ104"/>
  <c r="CS105"/>
  <c r="CR105"/>
  <c r="CQ105"/>
  <c r="CS106"/>
  <c r="CR106"/>
  <c r="CQ106"/>
  <c r="CS107"/>
  <c r="CR107"/>
  <c r="CQ107"/>
  <c r="CS108"/>
  <c r="CR108"/>
  <c r="CQ108"/>
  <c r="CS109"/>
  <c r="CR109"/>
  <c r="CQ109"/>
  <c r="CS110"/>
  <c r="CR110"/>
  <c r="CQ110"/>
  <c r="CS111"/>
  <c r="CR111"/>
  <c r="CQ111"/>
  <c r="CS112"/>
  <c r="CR112"/>
  <c r="CQ112"/>
  <c r="CS113"/>
  <c r="CR113"/>
  <c r="CQ113"/>
  <c r="CS114"/>
  <c r="CR114"/>
  <c r="CQ114"/>
  <c r="CS115"/>
  <c r="CR115"/>
  <c r="CQ115"/>
  <c r="CS116"/>
  <c r="CR116"/>
  <c r="CQ116"/>
  <c r="CS117"/>
  <c r="CR117"/>
  <c r="CQ117"/>
  <c r="CS118"/>
  <c r="CR118"/>
  <c r="CQ118"/>
  <c r="CS119"/>
  <c r="CR119"/>
  <c r="CQ119"/>
  <c r="CS120"/>
  <c r="CR120"/>
  <c r="CQ120"/>
  <c r="CS121"/>
  <c r="CR121"/>
  <c r="CQ121"/>
  <c r="CS122"/>
  <c r="CR122"/>
  <c r="CQ122"/>
  <c r="CS123"/>
  <c r="CR123"/>
  <c r="CQ123"/>
  <c r="CS124"/>
  <c r="CR124"/>
  <c r="CQ124"/>
  <c r="CS125"/>
  <c r="CR125"/>
  <c r="CQ125"/>
  <c r="CS126"/>
  <c r="CR126"/>
  <c r="CQ126"/>
  <c r="CS127"/>
  <c r="CR127"/>
  <c r="CQ127"/>
  <c r="CS128"/>
  <c r="CR128"/>
  <c r="CQ128"/>
  <c r="CS129"/>
  <c r="CR129"/>
  <c r="CQ129"/>
  <c r="CS130"/>
  <c r="CR130"/>
  <c r="CQ130"/>
  <c r="CS131"/>
  <c r="CR131"/>
  <c r="CQ131"/>
  <c r="CS132"/>
  <c r="CR132"/>
  <c r="CQ132"/>
  <c r="CS133"/>
  <c r="CR133"/>
  <c r="CQ133"/>
  <c r="CS134"/>
  <c r="CR134"/>
  <c r="CQ134"/>
  <c r="CS135"/>
  <c r="CR135"/>
  <c r="CQ135"/>
  <c r="CS136"/>
  <c r="CR136"/>
  <c r="CQ136"/>
  <c r="CS137"/>
  <c r="CR137"/>
  <c r="CQ137"/>
  <c r="CS138"/>
  <c r="CR138"/>
  <c r="CQ138"/>
  <c r="CS139"/>
  <c r="CR139"/>
  <c r="CQ139"/>
  <c r="CS140"/>
  <c r="CR140"/>
  <c r="CQ140"/>
  <c r="CS141"/>
  <c r="CR141"/>
  <c r="CQ141"/>
  <c r="CS142"/>
  <c r="CR142"/>
  <c r="CQ142"/>
  <c r="CS143"/>
  <c r="CR143"/>
  <c r="CQ143"/>
  <c r="CS144"/>
  <c r="CR144"/>
  <c r="CQ144"/>
  <c r="CS145"/>
  <c r="CR145"/>
  <c r="CQ145"/>
  <c r="CS146"/>
  <c r="CR146"/>
  <c r="CQ146"/>
  <c r="CS147"/>
  <c r="CR147"/>
  <c r="CQ147"/>
  <c r="CS148"/>
  <c r="CR148"/>
  <c r="CQ148"/>
  <c r="CS149"/>
  <c r="CR149"/>
  <c r="CQ149"/>
  <c r="CS150"/>
  <c r="CR150"/>
  <c r="CQ150"/>
  <c r="CS151"/>
  <c r="CR151"/>
  <c r="CQ151"/>
  <c r="CA20"/>
  <c r="AN4"/>
  <c r="AN5"/>
  <c r="Y6"/>
  <c r="N18"/>
  <c r="N17"/>
  <c r="N16"/>
  <c r="L37"/>
  <c r="L38"/>
  <c r="M44"/>
  <c r="L44" s="1"/>
  <c r="L45"/>
  <c r="M46"/>
  <c r="L46"/>
  <c r="N15"/>
  <c r="L40"/>
  <c r="E4"/>
  <c r="E5"/>
  <c r="H15" s="1"/>
  <c r="F6"/>
  <c r="S17" s="1"/>
  <c r="F7"/>
  <c r="S18" s="1"/>
  <c r="F8"/>
  <c r="Q19" s="1"/>
  <c r="F9"/>
  <c r="S20" s="1"/>
  <c r="F10"/>
  <c r="Q21" s="1"/>
  <c r="F11"/>
  <c r="S22" s="1"/>
  <c r="F12"/>
  <c r="S23" s="1"/>
  <c r="F13"/>
  <c r="S24" s="1"/>
  <c r="F14"/>
  <c r="F44"/>
  <c r="GJ24"/>
  <c r="GJ25"/>
  <c r="GJ26"/>
  <c r="GJ27"/>
  <c r="GJ28"/>
  <c r="GJ29"/>
  <c r="GJ30"/>
  <c r="GJ31"/>
  <c r="GJ32"/>
  <c r="GJ33"/>
  <c r="GJ34"/>
  <c r="GJ35"/>
  <c r="GJ36"/>
  <c r="GJ37"/>
  <c r="GJ38"/>
  <c r="GJ39"/>
  <c r="GJ5"/>
  <c r="GJ6"/>
  <c r="GJ7"/>
  <c r="GJ8"/>
  <c r="GJ9"/>
  <c r="GJ10"/>
  <c r="GJ11"/>
  <c r="GJ12"/>
  <c r="GJ13"/>
  <c r="GJ14"/>
  <c r="GJ15"/>
  <c r="GJ16"/>
  <c r="GJ17"/>
  <c r="GJ18"/>
  <c r="GJ19"/>
  <c r="GJ20"/>
  <c r="GJ21"/>
  <c r="GJ22"/>
  <c r="GJ23"/>
  <c r="GJ4"/>
  <c r="BM5"/>
  <c r="L36"/>
  <c r="BH3"/>
  <c r="BH4"/>
  <c r="BH5"/>
  <c r="BH6"/>
  <c r="BH7"/>
  <c r="BH8"/>
  <c r="BH9"/>
  <c r="BH10"/>
  <c r="BH11"/>
  <c r="BH12"/>
  <c r="BH13"/>
  <c r="BH14"/>
  <c r="BH15"/>
  <c r="BH16"/>
  <c r="BH17"/>
  <c r="BH18"/>
  <c r="BH19"/>
  <c r="BH20"/>
  <c r="BH21"/>
  <c r="BH22"/>
  <c r="BH23"/>
  <c r="BH24"/>
  <c r="BH25"/>
  <c r="BH26"/>
  <c r="BH27"/>
  <c r="BH28"/>
  <c r="BH29"/>
  <c r="BH30"/>
  <c r="BH31"/>
  <c r="BH32"/>
  <c r="BH33"/>
  <c r="BH34"/>
  <c r="BH35"/>
  <c r="BH36"/>
  <c r="BH37"/>
  <c r="BH38"/>
  <c r="BH39"/>
  <c r="BH40"/>
  <c r="BH2"/>
  <c r="D50" i="9"/>
  <c r="C50" s="1"/>
  <c r="D49"/>
  <c r="C49" s="1"/>
  <c r="D48"/>
  <c r="C48" s="1"/>
  <c r="D47"/>
  <c r="C47" s="1"/>
  <c r="D46"/>
  <c r="C46" s="1"/>
  <c r="D45"/>
  <c r="C45" s="1"/>
  <c r="D44"/>
  <c r="C44" s="1"/>
  <c r="D43"/>
  <c r="C43" s="1"/>
  <c r="D42"/>
  <c r="C42" s="1"/>
  <c r="D41"/>
  <c r="C41" s="1"/>
  <c r="D40"/>
  <c r="C40" s="1"/>
  <c r="D39"/>
  <c r="C39" s="1"/>
  <c r="D38"/>
  <c r="C38" s="1"/>
  <c r="D37"/>
  <c r="C37" s="1"/>
  <c r="D36"/>
  <c r="C36" s="1"/>
  <c r="D35"/>
  <c r="C35" s="1"/>
  <c r="D34"/>
  <c r="C34" s="1"/>
  <c r="D33"/>
  <c r="C33" s="1"/>
  <c r="D32"/>
  <c r="C32" s="1"/>
  <c r="D31"/>
  <c r="C31" s="1"/>
  <c r="D30"/>
  <c r="C30" s="1"/>
  <c r="D29"/>
  <c r="C29" s="1"/>
  <c r="D28"/>
  <c r="C28" s="1"/>
  <c r="D27"/>
  <c r="C27" s="1"/>
  <c r="D26"/>
  <c r="C26" s="1"/>
  <c r="D25"/>
  <c r="C25" s="1"/>
  <c r="D24"/>
  <c r="C24" s="1"/>
  <c r="D23"/>
  <c r="C23" s="1"/>
  <c r="D22"/>
  <c r="C22" s="1"/>
  <c r="D21"/>
  <c r="C21" s="1"/>
  <c r="D20"/>
  <c r="C20" s="1"/>
  <c r="D19"/>
  <c r="C19" s="1"/>
  <c r="D18"/>
  <c r="C18" s="1"/>
  <c r="D17"/>
  <c r="C17" s="1"/>
  <c r="D16"/>
  <c r="C16" s="1"/>
  <c r="D15"/>
  <c r="C15" s="1"/>
  <c r="D14"/>
  <c r="C14" s="1"/>
  <c r="D13"/>
  <c r="C13" s="1"/>
  <c r="D12"/>
  <c r="C12" s="1"/>
  <c r="D11"/>
  <c r="C11" s="1"/>
  <c r="D10"/>
  <c r="C10" s="1"/>
  <c r="D9"/>
  <c r="C9" s="1"/>
  <c r="D8"/>
  <c r="C8" s="1"/>
  <c r="D7"/>
  <c r="C7" s="1"/>
  <c r="D6"/>
  <c r="C6" s="1"/>
  <c r="D5"/>
  <c r="C5" s="1"/>
  <c r="D4"/>
  <c r="C4" s="1"/>
  <c r="D3"/>
  <c r="C3" s="1"/>
  <c r="D2"/>
  <c r="C2" s="1"/>
  <c r="D1"/>
  <c r="C1" s="1"/>
  <c r="DK1" i="1" s="1"/>
  <c r="DK2" s="1"/>
  <c r="DS1"/>
  <c r="L6"/>
  <c r="L39"/>
  <c r="GI1"/>
  <c r="Q22"/>
  <c r="Q18"/>
  <c r="F35"/>
  <c r="K43" i="4" s="1"/>
  <c r="F38" i="1"/>
  <c r="F43" s="1"/>
  <c r="F32"/>
  <c r="F40"/>
  <c r="L42" s="1"/>
  <c r="F23"/>
  <c r="F24"/>
  <c r="H9" s="1"/>
  <c r="F21"/>
  <c r="H8" s="1"/>
  <c r="F26"/>
  <c r="B62"/>
  <c r="F41"/>
  <c r="Q20"/>
  <c r="F20"/>
  <c r="F29"/>
  <c r="EX11"/>
  <c r="EW11" s="1"/>
  <c r="EX9"/>
  <c r="EW9" s="1"/>
  <c r="EX8"/>
  <c r="EW8" s="1"/>
  <c r="EX7"/>
  <c r="EW7" s="1"/>
  <c r="EX6"/>
  <c r="EW6" s="1"/>
  <c r="EX5"/>
  <c r="EW5" s="1"/>
  <c r="EZ14"/>
  <c r="EZ13"/>
  <c r="EZ11"/>
  <c r="EZ9"/>
  <c r="EZ8"/>
  <c r="EZ7"/>
  <c r="EZ6"/>
  <c r="EZ5"/>
  <c r="EZ2"/>
  <c r="AI4"/>
  <c r="AI5"/>
  <c r="CO7"/>
  <c r="CO8"/>
  <c r="AC8"/>
  <c r="H7"/>
  <c r="DQ1"/>
  <c r="EY3"/>
  <c r="EX3"/>
  <c r="EW3" s="1"/>
  <c r="K47" i="4"/>
  <c r="F18" i="1"/>
  <c r="Q17"/>
  <c r="DN1"/>
  <c r="DN5" s="1"/>
  <c r="EZ4"/>
  <c r="EZ10"/>
  <c r="EZ12"/>
  <c r="EX10"/>
  <c r="EW10" s="1"/>
  <c r="EX13"/>
  <c r="EW13" s="1"/>
  <c r="F16"/>
  <c r="F17"/>
  <c r="F39"/>
  <c r="DN2"/>
  <c r="F33"/>
  <c r="Y5"/>
  <c r="H6"/>
  <c r="L41"/>
  <c r="K46" i="4"/>
  <c r="F48" i="1" s="1"/>
  <c r="K44" i="4"/>
  <c r="F46" i="1" s="1"/>
  <c r="G11"/>
  <c r="H10"/>
  <c r="CA6"/>
  <c r="K45" i="4"/>
  <c r="F47" i="1" s="1"/>
  <c r="EX12"/>
  <c r="EW12" s="1"/>
  <c r="EX14"/>
  <c r="EW14" s="1"/>
  <c r="Q26" l="1"/>
  <c r="Q12" s="1"/>
  <c r="S26"/>
  <c r="EV2"/>
  <c r="EV3" s="1"/>
  <c r="F36"/>
  <c r="F27"/>
  <c r="H11" s="1"/>
  <c r="L43"/>
  <c r="L47" s="1"/>
  <c r="Q8"/>
  <c r="Q9"/>
  <c r="F30"/>
  <c r="H12"/>
  <c r="G12"/>
  <c r="K48" i="4"/>
  <c r="K42"/>
  <c r="F45" i="1" s="1"/>
  <c r="Q7" l="1"/>
  <c r="Q14"/>
  <c r="Y4"/>
  <c r="DN3"/>
  <c r="DN7" s="1"/>
  <c r="Y8"/>
</calcChain>
</file>

<file path=xl/sharedStrings.xml><?xml version="1.0" encoding="utf-8"?>
<sst xmlns="http://schemas.openxmlformats.org/spreadsheetml/2006/main" count="1118" uniqueCount="891">
  <si>
    <t>thisdwg</t>
  </si>
  <si>
    <t>titleinmodel</t>
  </si>
  <si>
    <t>titleinpaper</t>
  </si>
  <si>
    <t>titleunique</t>
  </si>
  <si>
    <t>titlelayer</t>
  </si>
  <si>
    <t>OldNum</t>
  </si>
  <si>
    <t>Fwr</t>
  </si>
  <si>
    <t>Rev</t>
  </si>
  <si>
    <t>PlotScale</t>
  </si>
  <si>
    <t>Scale</t>
  </si>
  <si>
    <t>Title4</t>
  </si>
  <si>
    <t>Title3</t>
  </si>
  <si>
    <t>Title2</t>
  </si>
  <si>
    <t>Title1</t>
  </si>
  <si>
    <t>File</t>
  </si>
  <si>
    <t>DwgNum</t>
  </si>
  <si>
    <t>DwgDate</t>
  </si>
  <si>
    <t>CheckDate</t>
  </si>
  <si>
    <t>CrsDate</t>
  </si>
  <si>
    <t>SafDate</t>
  </si>
  <si>
    <t>PlaDate</t>
  </si>
  <si>
    <t>EngDate</t>
  </si>
  <si>
    <t>AppDate</t>
  </si>
  <si>
    <t>Drawn</t>
  </si>
  <si>
    <t>Checked</t>
  </si>
  <si>
    <t>CrossCheck</t>
  </si>
  <si>
    <t>Safety</t>
  </si>
  <si>
    <t>Planning</t>
  </si>
  <si>
    <t>Engineer</t>
  </si>
  <si>
    <t>Approved</t>
  </si>
  <si>
    <t>EqtCode</t>
  </si>
  <si>
    <t>XrefList</t>
  </si>
  <si>
    <t>xrefname</t>
  </si>
  <si>
    <t>Path</t>
  </si>
  <si>
    <t>1-anon</t>
  </si>
  <si>
    <t>2-atts</t>
  </si>
  <si>
    <t>4-xref</t>
  </si>
  <si>
    <t>8-overlay</t>
  </si>
  <si>
    <t>16-externally dependant</t>
  </si>
  <si>
    <t>32-resolved</t>
  </si>
  <si>
    <t>Origin</t>
  </si>
  <si>
    <t>Origin problem?</t>
  </si>
  <si>
    <t>Has path?</t>
  </si>
  <si>
    <t>w/o dwg</t>
  </si>
  <si>
    <t>Key?</t>
  </si>
  <si>
    <t>length error?</t>
  </si>
  <si>
    <t>chk8</t>
  </si>
  <si>
    <t>layer0ents</t>
  </si>
  <si>
    <t>chk10</t>
  </si>
  <si>
    <t>papertext</t>
  </si>
  <si>
    <t>paperblks</t>
  </si>
  <si>
    <t>paperlines</t>
  </si>
  <si>
    <t>papercircles</t>
  </si>
  <si>
    <t>paperall</t>
  </si>
  <si>
    <t>modeltext</t>
  </si>
  <si>
    <t>modelblks</t>
  </si>
  <si>
    <t>modellines</t>
  </si>
  <si>
    <t>modelcircles</t>
  </si>
  <si>
    <t>modelall</t>
  </si>
  <si>
    <t>name</t>
  </si>
  <si>
    <t>entqty</t>
  </si>
  <si>
    <t>chk11</t>
  </si>
  <si>
    <t>textstyle</t>
  </si>
  <si>
    <t>chk9</t>
  </si>
  <si>
    <t>chk12</t>
  </si>
  <si>
    <t>blockname</t>
  </si>
  <si>
    <t>chk16</t>
  </si>
  <si>
    <t>dimstyle</t>
  </si>
  <si>
    <t>chk17</t>
  </si>
  <si>
    <t>linetype</t>
  </si>
  <si>
    <t>chk18</t>
  </si>
  <si>
    <t>G-ANNO-TTLB</t>
  </si>
  <si>
    <t>-</t>
  </si>
  <si>
    <t>1    1</t>
  </si>
  <si>
    <t>1=1</t>
  </si>
  <si>
    <t>1=100</t>
  </si>
  <si>
    <t>INFRASTRUCTURE LAYOUT</t>
  </si>
  <si>
    <t>SECTOR F</t>
  </si>
  <si>
    <t>OFFICE/ROOF LEVEL - 2</t>
  </si>
  <si>
    <t>LC13 - COMMUNICATIONS</t>
  </si>
  <si>
    <t>KST-2-F-</t>
  </si>
  <si>
    <t>JDi</t>
  </si>
  <si>
    <t>GKEY</t>
  </si>
  <si>
    <t>GKEY.dwg</t>
  </si>
  <si>
    <t>No</t>
  </si>
  <si>
    <t>0,0,0</t>
  </si>
  <si>
    <t>Yes</t>
  </si>
  <si>
    <t>GSKEY-F-</t>
  </si>
  <si>
    <t>GSG-0-F-</t>
  </si>
  <si>
    <t>GSA-2-OV</t>
  </si>
  <si>
    <t>GSS-2-OV</t>
  </si>
  <si>
    <t>I1184sht_F</t>
  </si>
  <si>
    <t>I1184sht_F.dwg</t>
  </si>
  <si>
    <t>GST-2-OV</t>
  </si>
  <si>
    <t>GSME2-OV</t>
  </si>
  <si>
    <t>new block</t>
  </si>
  <si>
    <t>DEFPOINTS</t>
  </si>
  <si>
    <t>xrf</t>
  </si>
  <si>
    <t>G-ANNO-NOTE</t>
  </si>
  <si>
    <t>STANDARD</t>
  </si>
  <si>
    <t>TITLE</t>
  </si>
  <si>
    <t>Big Font</t>
  </si>
  <si>
    <t>Font File</t>
  </si>
  <si>
    <t>Text ht</t>
  </si>
  <si>
    <t>Text width</t>
  </si>
  <si>
    <t>ARIAL</t>
  </si>
  <si>
    <t>ARIALBD</t>
  </si>
  <si>
    <t>IBLK_1</t>
  </si>
  <si>
    <t>I1184sht</t>
  </si>
  <si>
    <t>GSA-1-OV</t>
  </si>
  <si>
    <t>GSA-1-OV.dwg</t>
  </si>
  <si>
    <t>GSG-0-E-</t>
  </si>
  <si>
    <t>GSG-0-E-.dwg</t>
  </si>
  <si>
    <t>GSKEY-E-</t>
  </si>
  <si>
    <t>GSKEY-E-.dwg</t>
  </si>
  <si>
    <t>GSS-1-OV</t>
  </si>
  <si>
    <t>GSS-1-OV.dwg</t>
  </si>
  <si>
    <t>GST-1-OV</t>
  </si>
  <si>
    <t>GST-1-OV.dwg</t>
  </si>
  <si>
    <t>GSI-1-OV</t>
  </si>
  <si>
    <t>GSI-1-OV.dwg</t>
  </si>
  <si>
    <t>GSME1-OV</t>
  </si>
  <si>
    <t>GSME1-OV.dwg</t>
  </si>
  <si>
    <t>BYBLOCK</t>
  </si>
  <si>
    <t>BYLAYER</t>
  </si>
  <si>
    <t>CONTINUOUS</t>
  </si>
  <si>
    <t>70 resolve</t>
  </si>
  <si>
    <t>40 dimscale</t>
  </si>
  <si>
    <t>45 dimrnd</t>
  </si>
  <si>
    <t>140 dimtxt</t>
  </si>
  <si>
    <t>144 dimlfac</t>
  </si>
  <si>
    <t>77 dimtad</t>
  </si>
  <si>
    <t>176 dimclrd</t>
  </si>
  <si>
    <t>177 dimclre</t>
  </si>
  <si>
    <t>178 dimclrt</t>
  </si>
  <si>
    <t>271 dimdec</t>
  </si>
  <si>
    <t>275 dimaunit</t>
  </si>
  <si>
    <t>340 dimtsxty</t>
  </si>
  <si>
    <t>date</t>
  </si>
  <si>
    <t>chk4</t>
  </si>
  <si>
    <t>chk5</t>
  </si>
  <si>
    <t>chk6</t>
  </si>
  <si>
    <t>chk7</t>
  </si>
  <si>
    <t>First</t>
  </si>
  <si>
    <t>Second</t>
  </si>
  <si>
    <t>Third</t>
  </si>
  <si>
    <t>Fourth</t>
  </si>
  <si>
    <t>Fifth</t>
  </si>
  <si>
    <t>Sixth</t>
  </si>
  <si>
    <t>Seventh</t>
  </si>
  <si>
    <t>Eighth</t>
  </si>
  <si>
    <t>Ninth</t>
  </si>
  <si>
    <t>First letter</t>
  </si>
  <si>
    <t>Allowed</t>
  </si>
  <si>
    <t>Second letter</t>
  </si>
  <si>
    <t>Discipline</t>
  </si>
  <si>
    <t>Letter34 - Discipline</t>
  </si>
  <si>
    <t>Letter256</t>
  </si>
  <si>
    <t>Level</t>
  </si>
  <si>
    <t>Sixth letter</t>
  </si>
  <si>
    <t>Sublevel</t>
  </si>
  <si>
    <t>Letter78</t>
  </si>
  <si>
    <t>Is layout?</t>
  </si>
  <si>
    <t>Sector</t>
  </si>
  <si>
    <t>Letter5678</t>
  </si>
  <si>
    <t>Series</t>
  </si>
  <si>
    <t>Eight letters?</t>
  </si>
  <si>
    <t>Disciple ok?</t>
  </si>
  <si>
    <t>Check 1</t>
  </si>
  <si>
    <t>A-</t>
  </si>
  <si>
    <t xml:space="preserve">Architectural </t>
  </si>
  <si>
    <t>A</t>
  </si>
  <si>
    <t>Site-Old drawing</t>
  </si>
  <si>
    <t>OV</t>
  </si>
  <si>
    <t>B0-</t>
  </si>
  <si>
    <t>Level 0 (Underground)</t>
  </si>
  <si>
    <t>Overview</t>
  </si>
  <si>
    <t>Above Floor-Fandeck for Fab</t>
  </si>
  <si>
    <t>AF</t>
  </si>
  <si>
    <t xml:space="preserve">Architectural - Furniture and Cubicle Layout </t>
  </si>
  <si>
    <t>C</t>
  </si>
  <si>
    <t>Campus</t>
  </si>
  <si>
    <t>B1-</t>
  </si>
  <si>
    <t>Level 1 (Utilities)</t>
  </si>
  <si>
    <t>Sector A-</t>
  </si>
  <si>
    <t>W</t>
  </si>
  <si>
    <t>Clean Room Partition Walls-Fan Deck</t>
  </si>
  <si>
    <t>AI</t>
  </si>
  <si>
    <t xml:space="preserve">Architectural - Interiors </t>
  </si>
  <si>
    <t>X</t>
  </si>
  <si>
    <t>Campus - shared</t>
  </si>
  <si>
    <t>B-</t>
  </si>
  <si>
    <t>B2-</t>
  </si>
  <si>
    <t>Level 2 (Sub Fab)</t>
  </si>
  <si>
    <t>Sector B-</t>
  </si>
  <si>
    <t>B</t>
  </si>
  <si>
    <t>Raised Flooring</t>
  </si>
  <si>
    <t>AS</t>
  </si>
  <si>
    <t xml:space="preserve">Architectural - Signage </t>
  </si>
  <si>
    <t>Fab</t>
  </si>
  <si>
    <t>C-</t>
  </si>
  <si>
    <t>B3-</t>
  </si>
  <si>
    <t>Level 3 (Fab)</t>
  </si>
  <si>
    <t>Sector C-</t>
  </si>
  <si>
    <t>Partition Height</t>
  </si>
  <si>
    <t>AT</t>
  </si>
  <si>
    <t xml:space="preserve">Architectural - Environment </t>
  </si>
  <si>
    <t>O</t>
  </si>
  <si>
    <t>MSB</t>
  </si>
  <si>
    <t>D-</t>
  </si>
  <si>
    <t>B4-</t>
  </si>
  <si>
    <t>Level 4 (Interstitial)</t>
  </si>
  <si>
    <t>Sector D-</t>
  </si>
  <si>
    <t>D</t>
  </si>
  <si>
    <t>Reflected Ceiling Plans</t>
  </si>
  <si>
    <t>AP</t>
  </si>
  <si>
    <t xml:space="preserve">Architectural - Drop Road Points (for CR only) </t>
  </si>
  <si>
    <t>S</t>
  </si>
  <si>
    <t>CUB</t>
  </si>
  <si>
    <t>E-</t>
  </si>
  <si>
    <t>B4A</t>
  </si>
  <si>
    <t>Level 4A (Fan Deck)</t>
  </si>
  <si>
    <t>Sector E-</t>
  </si>
  <si>
    <t>E</t>
  </si>
  <si>
    <t>Catwalks</t>
  </si>
  <si>
    <t>AC</t>
  </si>
  <si>
    <t xml:space="preserve">Architectural - Clean area preliminary design  </t>
  </si>
  <si>
    <t>Warehouse LC4E</t>
  </si>
  <si>
    <t>F-</t>
  </si>
  <si>
    <t>B5-</t>
  </si>
  <si>
    <t>Level 5 (None)</t>
  </si>
  <si>
    <t>Sector F-</t>
  </si>
  <si>
    <t>U</t>
  </si>
  <si>
    <t>Under Slab</t>
  </si>
  <si>
    <t xml:space="preserve">Civil </t>
  </si>
  <si>
    <t>K</t>
  </si>
  <si>
    <t>PMB</t>
  </si>
  <si>
    <t>G-</t>
  </si>
  <si>
    <t>B6-</t>
  </si>
  <si>
    <t>Level 6 (Roof)</t>
  </si>
  <si>
    <t>Sector G-</t>
  </si>
  <si>
    <t>M</t>
  </si>
  <si>
    <t>Mezzanine Floor</t>
  </si>
  <si>
    <t>CA</t>
  </si>
  <si>
    <t xml:space="preserve">Civil – Aerial Photography </t>
  </si>
  <si>
    <t>H</t>
  </si>
  <si>
    <t>HMB</t>
  </si>
  <si>
    <t>H-</t>
  </si>
  <si>
    <t>B7-</t>
  </si>
  <si>
    <t>Level 7 (Upper Roof)</t>
  </si>
  <si>
    <t>Sector H-</t>
  </si>
  <si>
    <t>L</t>
  </si>
  <si>
    <t>Mezzanine Ceiling</t>
  </si>
  <si>
    <t>CB</t>
  </si>
  <si>
    <t xml:space="preserve">Civil - Gates </t>
  </si>
  <si>
    <t>G</t>
  </si>
  <si>
    <t>North Guard House</t>
  </si>
  <si>
    <t>AA</t>
  </si>
  <si>
    <t>S0-</t>
  </si>
  <si>
    <t>Sector AA</t>
  </si>
  <si>
    <t>CC</t>
  </si>
  <si>
    <t xml:space="preserve">Civil - Cathode </t>
  </si>
  <si>
    <t>West Guard House</t>
  </si>
  <si>
    <t>BB</t>
  </si>
  <si>
    <t>S1-</t>
  </si>
  <si>
    <t>Level 1 (Ground)</t>
  </si>
  <si>
    <t>Sector BB</t>
  </si>
  <si>
    <t>CD</t>
  </si>
  <si>
    <t xml:space="preserve">Civil - Drainage </t>
  </si>
  <si>
    <t>Q</t>
  </si>
  <si>
    <t>South Guard House</t>
  </si>
  <si>
    <t>S2-</t>
  </si>
  <si>
    <t>Level 2 (Office-Roof)</t>
  </si>
  <si>
    <t>Sector CC</t>
  </si>
  <si>
    <t>CE</t>
  </si>
  <si>
    <t xml:space="preserve">Civil – Earth Work </t>
  </si>
  <si>
    <t>V</t>
  </si>
  <si>
    <t>East Guard House</t>
  </si>
  <si>
    <t>DD</t>
  </si>
  <si>
    <t>S3-</t>
  </si>
  <si>
    <t>Level 3 (Roof)</t>
  </si>
  <si>
    <t>Sector DD</t>
  </si>
  <si>
    <t>CF</t>
  </si>
  <si>
    <t xml:space="preserve">Civil - Fence </t>
  </si>
  <si>
    <t>I</t>
  </si>
  <si>
    <t>IQ Staging area</t>
  </si>
  <si>
    <t>EE</t>
  </si>
  <si>
    <t>W0-</t>
  </si>
  <si>
    <t>Level 0</t>
  </si>
  <si>
    <t>Sector EE</t>
  </si>
  <si>
    <t>CI</t>
  </si>
  <si>
    <t xml:space="preserve">Civil - Irrigation </t>
  </si>
  <si>
    <t>DVR station</t>
  </si>
  <si>
    <t>FF</t>
  </si>
  <si>
    <t>W1-</t>
  </si>
  <si>
    <t>Level 1</t>
  </si>
  <si>
    <t>Sector FF</t>
  </si>
  <si>
    <t>CL</t>
  </si>
  <si>
    <t xml:space="preserve">Civil - Landscape </t>
  </si>
  <si>
    <t>F</t>
  </si>
  <si>
    <t>Pump house</t>
  </si>
  <si>
    <t>GG</t>
  </si>
  <si>
    <t>W2-</t>
  </si>
  <si>
    <t>Level 2</t>
  </si>
  <si>
    <t>Sector GG</t>
  </si>
  <si>
    <t>CM</t>
  </si>
  <si>
    <t xml:space="preserve">Civil - Measurement </t>
  </si>
  <si>
    <t>Substation building</t>
  </si>
  <si>
    <t>W3-</t>
  </si>
  <si>
    <t>Level 3</t>
  </si>
  <si>
    <t>CS</t>
  </si>
  <si>
    <t xml:space="preserve">Civil - Signage </t>
  </si>
  <si>
    <t>T</t>
  </si>
  <si>
    <t>Substation Yard</t>
  </si>
  <si>
    <t>E0-</t>
  </si>
  <si>
    <t>CT</t>
  </si>
  <si>
    <t xml:space="preserve">Civil – Traffic  </t>
  </si>
  <si>
    <t>R</t>
  </si>
  <si>
    <t>CuW building</t>
  </si>
  <si>
    <t>E1-</t>
  </si>
  <si>
    <t>CU</t>
  </si>
  <si>
    <t xml:space="preserve">Civil - Water supply for  Sewage  &amp;  Waste </t>
  </si>
  <si>
    <t>Y</t>
  </si>
  <si>
    <t>Bulk Gas Yard</t>
  </si>
  <si>
    <t>E2-</t>
  </si>
  <si>
    <t>CG</t>
  </si>
  <si>
    <t xml:space="preserve">Civil - Gardening </t>
  </si>
  <si>
    <t>Z</t>
  </si>
  <si>
    <t>MLCP</t>
  </si>
  <si>
    <t>E3-</t>
  </si>
  <si>
    <t>CP</t>
  </si>
  <si>
    <t xml:space="preserve">Civil - Planting </t>
  </si>
  <si>
    <t>LPG</t>
  </si>
  <si>
    <t>Y0-</t>
  </si>
  <si>
    <t>CW</t>
  </si>
  <si>
    <t xml:space="preserve">Civil - Temporary construction fence north area Phase 1 </t>
  </si>
  <si>
    <t>N</t>
  </si>
  <si>
    <t>Induction</t>
  </si>
  <si>
    <t>Y1-</t>
  </si>
  <si>
    <t>CX</t>
  </si>
  <si>
    <t xml:space="preserve">Civil - Temporary construction fence north area Phase 2 </t>
  </si>
  <si>
    <t>P</t>
  </si>
  <si>
    <t>OET</t>
  </si>
  <si>
    <t>Y2-</t>
  </si>
  <si>
    <t>CY</t>
  </si>
  <si>
    <t xml:space="preserve">Civil - Temporary construction fence north area Phase 3 </t>
  </si>
  <si>
    <t>OET-OB</t>
  </si>
  <si>
    <t>Y3-</t>
  </si>
  <si>
    <t>CZ</t>
  </si>
  <si>
    <t xml:space="preserve">Civil - Temporary construction fence north area Phase 4 </t>
  </si>
  <si>
    <t>2</t>
  </si>
  <si>
    <t>Trailers 100/150</t>
  </si>
  <si>
    <t>L0-</t>
  </si>
  <si>
    <t xml:space="preserve">Electrical </t>
  </si>
  <si>
    <t>3</t>
  </si>
  <si>
    <t>Contractors staging area</t>
  </si>
  <si>
    <t>L1-</t>
  </si>
  <si>
    <t>EG</t>
  </si>
  <si>
    <t xml:space="preserve">Electrical - Grounding </t>
  </si>
  <si>
    <t>8</t>
  </si>
  <si>
    <t>Purge gases yard</t>
  </si>
  <si>
    <t>L2-</t>
  </si>
  <si>
    <t>EL</t>
  </si>
  <si>
    <t xml:space="preserve">Electrical - lighting </t>
  </si>
  <si>
    <t xml:space="preserve">Cleanpak construction in Fab, change 9 to B </t>
  </si>
  <si>
    <t>L3-</t>
  </si>
  <si>
    <t>EN</t>
  </si>
  <si>
    <t xml:space="preserve">Electrical - lightning </t>
  </si>
  <si>
    <t>Cleanpak construction in MSB, change 4 to O</t>
  </si>
  <si>
    <t>Q0-</t>
  </si>
  <si>
    <t>EP</t>
  </si>
  <si>
    <t xml:space="preserve">Electrical - Power </t>
  </si>
  <si>
    <t>MWZ construction in MSB, change 5 to O</t>
  </si>
  <si>
    <t>Q1-</t>
  </si>
  <si>
    <t>EC</t>
  </si>
  <si>
    <t xml:space="preserve">Electrical - Temporary </t>
  </si>
  <si>
    <t>Construction in Cub cooling tower, change 6 to S</t>
  </si>
  <si>
    <t>Q2-</t>
  </si>
  <si>
    <t>EO</t>
  </si>
  <si>
    <t xml:space="preserve">Electrical - Pop out </t>
  </si>
  <si>
    <t>Construction in Cub UPW Tank farm, change 7 to S</t>
  </si>
  <si>
    <t>Q3-</t>
  </si>
  <si>
    <t>ET</t>
  </si>
  <si>
    <t xml:space="preserve">Electrical - Cable Tray / Conduit </t>
  </si>
  <si>
    <t>V0-</t>
  </si>
  <si>
    <t>EI</t>
  </si>
  <si>
    <t xml:space="preserve">Electrical - ionization (Cleanpak) </t>
  </si>
  <si>
    <t>V1-</t>
  </si>
  <si>
    <t>EA</t>
  </si>
  <si>
    <t xml:space="preserve">Electrical – TAS / VPMS      (PSSS  system) </t>
  </si>
  <si>
    <t>V2-</t>
  </si>
  <si>
    <t>EB</t>
  </si>
  <si>
    <t xml:space="preserve">Electrical – BCDS                (PSSS  system) </t>
  </si>
  <si>
    <t>V3-</t>
  </si>
  <si>
    <t>ER</t>
  </si>
  <si>
    <t xml:space="preserve">Electrical – PSDS, PCDS    (PSSS  system)     </t>
  </si>
  <si>
    <t>Z0-</t>
  </si>
  <si>
    <t>ES</t>
  </si>
  <si>
    <t xml:space="preserve">Electrical – Specialty gas   (PSSS  system) </t>
  </si>
  <si>
    <t>Z1-</t>
  </si>
  <si>
    <t>R-</t>
  </si>
  <si>
    <t xml:space="preserve">Emergency Response Team </t>
  </si>
  <si>
    <t>Z2-</t>
  </si>
  <si>
    <t xml:space="preserve">Fire Protection </t>
  </si>
  <si>
    <t>Z3-</t>
  </si>
  <si>
    <t>FZ</t>
  </si>
  <si>
    <t xml:space="preserve">Fire Protection – zones </t>
  </si>
  <si>
    <t>Enlarged views, stairs and elevators</t>
  </si>
  <si>
    <t>Z4-</t>
  </si>
  <si>
    <t>Level 4</t>
  </si>
  <si>
    <t>FS</t>
  </si>
  <si>
    <t xml:space="preserve">Fire Protection – seismic </t>
  </si>
  <si>
    <t>Z4A</t>
  </si>
  <si>
    <t>Level 5 (Roof)</t>
  </si>
  <si>
    <t xml:space="preserve">General – grid, key plan, blocks, symbols, cover sheet </t>
  </si>
  <si>
    <t>Sections</t>
  </si>
  <si>
    <t>O0-</t>
  </si>
  <si>
    <t>GC</t>
  </si>
  <si>
    <t xml:space="preserve">General –  Clean level division (for CR only) </t>
  </si>
  <si>
    <t>Interior,Exterior elevs and sections</t>
  </si>
  <si>
    <t>O1-</t>
  </si>
  <si>
    <t>GP</t>
  </si>
  <si>
    <t xml:space="preserve">General –  Pop out division </t>
  </si>
  <si>
    <t>Details</t>
  </si>
  <si>
    <t>O2-</t>
  </si>
  <si>
    <t xml:space="preserve">Life Safety-Basic Life Safety </t>
  </si>
  <si>
    <t>O3-</t>
  </si>
  <si>
    <t>HE</t>
  </si>
  <si>
    <t xml:space="preserve">Life Safety-Smoke Detection/Equipment </t>
  </si>
  <si>
    <t>O4-</t>
  </si>
  <si>
    <t>Level 4 (Office)</t>
  </si>
  <si>
    <t>HD</t>
  </si>
  <si>
    <t xml:space="preserve">Life Safety-Smoke Detection/Dampers interface </t>
  </si>
  <si>
    <t>O5-</t>
  </si>
  <si>
    <t>Level 5 (Office)</t>
  </si>
  <si>
    <t>HH</t>
  </si>
  <si>
    <t xml:space="preserve">Life Safety-HPM Monitoring </t>
  </si>
  <si>
    <t>O6-</t>
  </si>
  <si>
    <t>HM</t>
  </si>
  <si>
    <t xml:space="preserve">Life safety - Music </t>
  </si>
  <si>
    <t>HR</t>
  </si>
  <si>
    <t xml:space="preserve">Life safety - Radio </t>
  </si>
  <si>
    <t>HS</t>
  </si>
  <si>
    <t xml:space="preserve">Life safety - Security </t>
  </si>
  <si>
    <t>V-</t>
  </si>
  <si>
    <t xml:space="preserve">Evacuation / Code  </t>
  </si>
  <si>
    <t>I-</t>
  </si>
  <si>
    <t xml:space="preserve">I&amp;C (Instrumentation and Controls) </t>
  </si>
  <si>
    <t>IC</t>
  </si>
  <si>
    <t xml:space="preserve">I&amp;C – FMS Controlnet network  </t>
  </si>
  <si>
    <t>IF</t>
  </si>
  <si>
    <t xml:space="preserve">I&amp;C – FFU Control System (for CR only) </t>
  </si>
  <si>
    <t>II</t>
  </si>
  <si>
    <t xml:space="preserve">I&amp;C - location </t>
  </si>
  <si>
    <t>IM</t>
  </si>
  <si>
    <t xml:space="preserve">I&amp;C – CAPMS (Clean room Airborne Particle Monitoring System) </t>
  </si>
  <si>
    <t>IP</t>
  </si>
  <si>
    <t xml:space="preserve">I&amp;C - zero pressure system </t>
  </si>
  <si>
    <t>Z-</t>
  </si>
  <si>
    <t xml:space="preserve">I&amp;C from vendor </t>
  </si>
  <si>
    <t>K-</t>
  </si>
  <si>
    <t xml:space="preserve">Food Services </t>
  </si>
  <si>
    <t>ME</t>
  </si>
  <si>
    <t xml:space="preserve">Mechanical  -  Equipment </t>
  </si>
  <si>
    <t>MG</t>
  </si>
  <si>
    <t xml:space="preserve">Mechanical  -  General </t>
  </si>
  <si>
    <t>MM</t>
  </si>
  <si>
    <t xml:space="preserve">Mechanical – HVAC Dry Systems  </t>
  </si>
  <si>
    <t>M-</t>
  </si>
  <si>
    <t xml:space="preserve">Mechanical – HVAC Wet Systems  </t>
  </si>
  <si>
    <t>MH</t>
  </si>
  <si>
    <t xml:space="preserve">Mechanical – Exhaust Systems  </t>
  </si>
  <si>
    <t>MB</t>
  </si>
  <si>
    <t xml:space="preserve">Mechanical – Exhaust Systems (PSSS only: BCDS)  </t>
  </si>
  <si>
    <t>MP</t>
  </si>
  <si>
    <t xml:space="preserve">Mechanical – Exhaust Systems (PSSS only: PCDS) </t>
  </si>
  <si>
    <t>MA</t>
  </si>
  <si>
    <t xml:space="preserve">Mechanical – Exhaust Systems (PSSS only: Spec Gas systems) </t>
  </si>
  <si>
    <t>MS</t>
  </si>
  <si>
    <t xml:space="preserve">Mechanical – Support </t>
  </si>
  <si>
    <t>PL</t>
  </si>
  <si>
    <t xml:space="preserve">Plumbing  (General or BCDS) </t>
  </si>
  <si>
    <t>PY</t>
  </si>
  <si>
    <t xml:space="preserve">Plumbing (PSSS only: PCDS) </t>
  </si>
  <si>
    <t>P-</t>
  </si>
  <si>
    <t xml:space="preserve">Process       </t>
  </si>
  <si>
    <t>PE</t>
  </si>
  <si>
    <t xml:space="preserve">Process  -  Equipment </t>
  </si>
  <si>
    <t>PW</t>
  </si>
  <si>
    <t xml:space="preserve">Process  -  Water (General or BCDS) </t>
  </si>
  <si>
    <t>PZ</t>
  </si>
  <si>
    <t xml:space="preserve">Process  -  Water (PSSS only: PCDS) </t>
  </si>
  <si>
    <t>PA</t>
  </si>
  <si>
    <t xml:space="preserve">Process  -  Compressed Air (General or BCDS) </t>
  </si>
  <si>
    <t>PK</t>
  </si>
  <si>
    <t xml:space="preserve">Process  -  Compressed Air (PSSS only: PCDS) </t>
  </si>
  <si>
    <t>PV</t>
  </si>
  <si>
    <t xml:space="preserve">Process  -  Vacuum System  </t>
  </si>
  <si>
    <t>PU</t>
  </si>
  <si>
    <t xml:space="preserve">Process  - UPW  (General or BCDS) </t>
  </si>
  <si>
    <t>PT</t>
  </si>
  <si>
    <t xml:space="preserve">Process  -  UPW  (PSSS only: PCDS) </t>
  </si>
  <si>
    <t>PD</t>
  </si>
  <si>
    <t xml:space="preserve">Process  -  Waste System (General or BCDS) </t>
  </si>
  <si>
    <t>PR</t>
  </si>
  <si>
    <t xml:space="preserve">Process  -  Waste System (PSSS only: PCDS) </t>
  </si>
  <si>
    <t>PC</t>
  </si>
  <si>
    <t xml:space="preserve">Process  -  Bulk Feed Chemical    </t>
  </si>
  <si>
    <t>PB</t>
  </si>
  <si>
    <t xml:space="preserve">Process  -  PSSS only: BCDS  (Bulk Chemical Distribution Systems)  </t>
  </si>
  <si>
    <t>PH</t>
  </si>
  <si>
    <t xml:space="preserve">Process -  BCDS Equipment (PSSS only)  </t>
  </si>
  <si>
    <t>PP</t>
  </si>
  <si>
    <t xml:space="preserve">Process – PSSS only: PCDS (Planar Chemical Distribution Systems) </t>
  </si>
  <si>
    <t>PJ</t>
  </si>
  <si>
    <t xml:space="preserve">Process  -  PCDS Equipment  (PSSS only) </t>
  </si>
  <si>
    <t>PS</t>
  </si>
  <si>
    <t xml:space="preserve">Process  -  Specialty Gas   (PSSS only) </t>
  </si>
  <si>
    <t>PF</t>
  </si>
  <si>
    <t xml:space="preserve">Process  -  Specialty Gas Equipment (PSSS only) </t>
  </si>
  <si>
    <t>PG</t>
  </si>
  <si>
    <t xml:space="preserve">Process  -  Bulk Gas  (General or BCDS)  </t>
  </si>
  <si>
    <t>PN</t>
  </si>
  <si>
    <t xml:space="preserve">Process  -  Bulk Gas  (PSSS only: PCDS)  </t>
  </si>
  <si>
    <t>PM</t>
  </si>
  <si>
    <t xml:space="preserve">Process  -  Bulk Gas  (PSSS only: Spec Gas) </t>
  </si>
  <si>
    <t>PX</t>
  </si>
  <si>
    <t xml:space="preserve">Process Space Management   (Superposition ONLY) </t>
  </si>
  <si>
    <t>S-</t>
  </si>
  <si>
    <t xml:space="preserve">Structural </t>
  </si>
  <si>
    <t>SR</t>
  </si>
  <si>
    <t xml:space="preserve">Structural - Reinforcement </t>
  </si>
  <si>
    <t>SS</t>
  </si>
  <si>
    <t xml:space="preserve">Structural - Support / Base plates </t>
  </si>
  <si>
    <t>SD</t>
  </si>
  <si>
    <t xml:space="preserve">Structural – Drain Support  </t>
  </si>
  <si>
    <t>ST</t>
  </si>
  <si>
    <t xml:space="preserve">Structural - Prefabricated ("TROMI") </t>
  </si>
  <si>
    <t>SX</t>
  </si>
  <si>
    <t xml:space="preserve">Structural - Secondary Steel </t>
  </si>
  <si>
    <t>SP</t>
  </si>
  <si>
    <t xml:space="preserve">Structural – Steel Support Drop Road </t>
  </si>
  <si>
    <t>T-</t>
  </si>
  <si>
    <t xml:space="preserve">Telecommunications </t>
  </si>
  <si>
    <t>TC</t>
  </si>
  <si>
    <t xml:space="preserve">Telecommunications - Cabling </t>
  </si>
  <si>
    <t>TE</t>
  </si>
  <si>
    <t xml:space="preserve">Telecommunications - Equipment </t>
  </si>
  <si>
    <t>TF</t>
  </si>
  <si>
    <t xml:space="preserve">Telecommunications - FMS </t>
  </si>
  <si>
    <t>TT</t>
  </si>
  <si>
    <t xml:space="preserve">Telecommunications – Tray &amp; conduit </t>
  </si>
  <si>
    <t>X-</t>
  </si>
  <si>
    <t>Space Management (Superposition ONLY)</t>
  </si>
  <si>
    <t>XE</t>
  </si>
  <si>
    <t>Space Management – Equipment</t>
  </si>
  <si>
    <t>XP</t>
  </si>
  <si>
    <t xml:space="preserve">Space Management - Penetration </t>
  </si>
  <si>
    <t>XF</t>
  </si>
  <si>
    <t>Space Management – Foundation</t>
  </si>
  <si>
    <t>XA</t>
  </si>
  <si>
    <t>Space Management – Shafts</t>
  </si>
  <si>
    <t>XS</t>
  </si>
  <si>
    <t>Space Management – Support</t>
  </si>
  <si>
    <t>XT</t>
  </si>
  <si>
    <t>Space Management – Cable tray foundation loads</t>
  </si>
  <si>
    <t>XL</t>
  </si>
  <si>
    <t>Space Management – Piping foundation loads</t>
  </si>
  <si>
    <t>IsLayout</t>
  </si>
  <si>
    <t>Title in model?</t>
  </si>
  <si>
    <t>Title in paper?</t>
  </si>
  <si>
    <t>Title unique?</t>
  </si>
  <si>
    <t>Level in title?</t>
  </si>
  <si>
    <t>Scale format ok?</t>
  </si>
  <si>
    <t>Plotscale ok?</t>
  </si>
  <si>
    <t>On correct layer?</t>
  </si>
  <si>
    <t>Result of chk2</t>
  </si>
  <si>
    <t>xref found?</t>
  </si>
  <si>
    <t>Result of chk3</t>
  </si>
  <si>
    <t>northarrowqty</t>
  </si>
  <si>
    <t>northarrowangle</t>
  </si>
  <si>
    <t>chk14</t>
  </si>
  <si>
    <t>IsCivil</t>
  </si>
  <si>
    <t>IsEnlargement</t>
  </si>
  <si>
    <t>NorthInPaper</t>
  </si>
  <si>
    <t>AngleOK</t>
  </si>
  <si>
    <t>IsEnlarged</t>
  </si>
  <si>
    <t>IsSection</t>
  </si>
  <si>
    <t>IsElevation</t>
  </si>
  <si>
    <t>IsDetail</t>
  </si>
  <si>
    <t>Value5678</t>
  </si>
  <si>
    <t>chk15</t>
  </si>
  <si>
    <t>R1NO</t>
  </si>
  <si>
    <t>R1DESC</t>
  </si>
  <si>
    <t>R1APPR</t>
  </si>
  <si>
    <t>R1DATE</t>
  </si>
  <si>
    <t>R1BY</t>
  </si>
  <si>
    <t>947.7,165.3,0</t>
  </si>
  <si>
    <t>947.7,178,0</t>
  </si>
  <si>
    <t>947.7,184.35,0</t>
  </si>
  <si>
    <t>947.7,171.65,0</t>
  </si>
  <si>
    <t>947.7,146.25,0</t>
  </si>
  <si>
    <t>ISSUE FOR IFC</t>
  </si>
  <si>
    <t>COK</t>
  </si>
  <si>
    <t>947.7,158.95,0</t>
  </si>
  <si>
    <t>947.7,152.6,0</t>
  </si>
  <si>
    <t>RECORD DRAWING</t>
  </si>
  <si>
    <t>record dwg in rev</t>
  </si>
  <si>
    <t>G-KEYNOTE</t>
  </si>
  <si>
    <t>G-HEX</t>
  </si>
  <si>
    <t>G-L-HEX</t>
  </si>
  <si>
    <t>G-SQ</t>
  </si>
  <si>
    <t>G-RECT</t>
  </si>
  <si>
    <t>G-S-CIRC</t>
  </si>
  <si>
    <t>G-DIAMD</t>
  </si>
  <si>
    <t>G-S-DIAMD</t>
  </si>
  <si>
    <t>G-OVAL</t>
  </si>
  <si>
    <t>G-L-OVAL</t>
  </si>
  <si>
    <t>G-RTRIA</t>
  </si>
  <si>
    <t>G-NEWCONN</t>
  </si>
  <si>
    <t>G-ELEV</t>
  </si>
  <si>
    <t>G-DATM</t>
  </si>
  <si>
    <t>G-ARROW1</t>
  </si>
  <si>
    <t>G-ARROW</t>
  </si>
  <si>
    <t>G-PIPEBK1</t>
  </si>
  <si>
    <t>G-MSC-BK1</t>
  </si>
  <si>
    <t>G-PIPEBK2</t>
  </si>
  <si>
    <t>G-PITCH</t>
  </si>
  <si>
    <t>G-DETAIL</t>
  </si>
  <si>
    <t>G-SECCUT1</t>
  </si>
  <si>
    <t>G-SECCUT3</t>
  </si>
  <si>
    <t>G-DONUT</t>
  </si>
  <si>
    <t>G-SECCUT2</t>
  </si>
  <si>
    <t>G-SECCUTD</t>
  </si>
  <si>
    <t>G-INORTH</t>
  </si>
  <si>
    <t>G-DOT</t>
  </si>
  <si>
    <t>G-FA-L</t>
  </si>
  <si>
    <t>G-FA-R</t>
  </si>
  <si>
    <t>G-LFA</t>
  </si>
  <si>
    <t>G-RARROW</t>
  </si>
  <si>
    <t>G-SARROW</t>
  </si>
  <si>
    <t>G-X</t>
  </si>
  <si>
    <t>G-LTLP</t>
  </si>
  <si>
    <t>G-GRSC010</t>
  </si>
  <si>
    <t>G-GRSC020</t>
  </si>
  <si>
    <t>G-GRSC040</t>
  </si>
  <si>
    <t>G-GRSC050</t>
  </si>
  <si>
    <t>G-GRSC060</t>
  </si>
  <si>
    <t>G-GRSC080</t>
  </si>
  <si>
    <t>G-GRSC100</t>
  </si>
  <si>
    <t>G-GRSC200</t>
  </si>
  <si>
    <t>G-GRSC125</t>
  </si>
  <si>
    <t>G-GRSC250</t>
  </si>
  <si>
    <t>G-GRSCI02</t>
  </si>
  <si>
    <t>G-GRSCI04</t>
  </si>
  <si>
    <t>G-GRSCI08</t>
  </si>
  <si>
    <t>G-GRSCI16</t>
  </si>
  <si>
    <t>G-EYEBALD</t>
  </si>
  <si>
    <t>hasAnno</t>
  </si>
  <si>
    <t>278 dimfit</t>
  </si>
  <si>
    <t>289 dimatfit</t>
  </si>
  <si>
    <t>Dimstyle</t>
  </si>
  <si>
    <t>Dimscale</t>
  </si>
  <si>
    <t>suffix</t>
  </si>
  <si>
    <t>STANDARD100</t>
  </si>
  <si>
    <t>STANDARD-200</t>
  </si>
  <si>
    <t>dashed suffix</t>
  </si>
  <si>
    <t>legal</t>
  </si>
  <si>
    <t>dimscaleok</t>
  </si>
  <si>
    <t>no</t>
  </si>
  <si>
    <t>hasOriginProblem</t>
  </si>
  <si>
    <t>hasPathProblem</t>
  </si>
  <si>
    <t>Text entities</t>
  </si>
  <si>
    <t>dfsaa</t>
  </si>
  <si>
    <t>model space</t>
  </si>
  <si>
    <t xml:space="preserve">FIELD ROUTE CONDUIT FROM LEVEL 1 INTERNAL TRAY TO EXTERNAL FOR VOICE </t>
  </si>
  <si>
    <t>paper space</t>
  </si>
  <si>
    <t xml:space="preserve">ALL OUTLETS AND PHONES TO BE LABELLED AS PER THE INTEL LABELLING </t>
  </si>
  <si>
    <t>ALL COMMUNICATIONS TRAY TO HAVE 100mm HIGH SIDES EXCEPT WHERE</t>
  </si>
  <si>
    <t xml:space="preserve">FINAL LOCATION OF TELECOMMUNICATION OUTLETS TO BE COORDINATED  WITH </t>
  </si>
  <si>
    <t>CONDUITS ROUTED PERPENDICULAR THROUGH FLOORS, WALLS, OR OTHER</t>
  </si>
  <si>
    <t xml:space="preserve">EXPOSED CONDUITS AND WIREWAYS, INCLUDING RACEWAYS, TOGETHER WITH </t>
  </si>
  <si>
    <t>REFER TO DRAWING KST-0050 FOR GENERAL NOTES, LEGENDS AND</t>
  </si>
  <si>
    <t>REQUIREMENTS OUTSIDE.</t>
  </si>
  <si>
    <t>GENERAL NOTES</t>
  </si>
  <si>
    <t>KEYED NOTES</t>
  </si>
  <si>
    <t>SPECIFICATION (16076).</t>
  </si>
  <si>
    <t>OTHERWISE NOTED.</t>
  </si>
  <si>
    <t>OWNER AND IT CONSTRUCTION MANAGER.</t>
  </si>
  <si>
    <t>expected size</t>
  </si>
  <si>
    <t>Legend</t>
  </si>
  <si>
    <t>MONO</t>
  </si>
  <si>
    <t>SUBTITLE</t>
  </si>
  <si>
    <t>Multiple</t>
  </si>
  <si>
    <t>Remainder</t>
  </si>
  <si>
    <t>textHtProblem</t>
  </si>
  <si>
    <t>dimEntities</t>
  </si>
  <si>
    <t>,</t>
  </si>
  <si>
    <t>ByBlock</t>
  </si>
  <si>
    <t>AcDbRotatedDimension</t>
  </si>
  <si>
    <t>AcDbAlignedDimension</t>
  </si>
  <si>
    <t>DecimalSeparator</t>
  </si>
  <si>
    <t>DimensionLineColor</t>
  </si>
  <si>
    <t>DimensionLineExtend</t>
  </si>
  <si>
    <t>DimensionLinetype</t>
  </si>
  <si>
    <t>ExtensionLineColor</t>
  </si>
  <si>
    <t>ExtensionLineExtend</t>
  </si>
  <si>
    <t>ExtensionLineOffset</t>
  </si>
  <si>
    <t>Fit</t>
  </si>
  <si>
    <t>HorizontalTextPosition</t>
  </si>
  <si>
    <t>Layer</t>
  </si>
  <si>
    <t>LinearScaleFactor</t>
  </si>
  <si>
    <t>Measurement</t>
  </si>
  <si>
    <t>ObjectName</t>
  </si>
  <si>
    <t>PrimaryUnitsPrecision</t>
  </si>
  <si>
    <t>Rotation</t>
  </si>
  <si>
    <t>RoundDistance</t>
  </si>
  <si>
    <t>ScaleFactor</t>
  </si>
  <si>
    <t>StyleName</t>
  </si>
  <si>
    <t>TextColor</t>
  </si>
  <si>
    <t>TextFill</t>
  </si>
  <si>
    <t>TextHeight</t>
  </si>
  <si>
    <t>TextOverride</t>
  </si>
  <si>
    <t>TextPrefix</t>
  </si>
  <si>
    <t>TextRotation</t>
  </si>
  <si>
    <t>TextStyle</t>
  </si>
  <si>
    <t>TextSuffix</t>
  </si>
  <si>
    <t>UnitsFormat</t>
  </si>
  <si>
    <t>Project Name:</t>
  </si>
  <si>
    <t xml:space="preserve"> F28</t>
  </si>
  <si>
    <t>Checked by:</t>
  </si>
  <si>
    <t>Liser Elena</t>
  </si>
  <si>
    <t>Number:</t>
  </si>
  <si>
    <t xml:space="preserve">1 (HMB - Structural) </t>
  </si>
  <si>
    <t>Date Checked:</t>
  </si>
  <si>
    <t>For full description of the requirements please see the list below</t>
  </si>
  <si>
    <r>
      <t xml:space="preserve">All the drawings have to be in </t>
    </r>
    <r>
      <rPr>
        <b/>
        <i/>
        <sz val="12"/>
        <rFont val="Times New Roman"/>
        <family val="1"/>
      </rPr>
      <t>iCAD standard 2005 rev 8.0 Supplement to the National CAD standard version 3.0</t>
    </r>
  </si>
  <si>
    <t>Drawing that does not follow iCAD standards will be returned for correction.</t>
  </si>
  <si>
    <t>Drawing #</t>
  </si>
  <si>
    <t xml:space="preserve">DWG </t>
  </si>
  <si>
    <t>Title</t>
  </si>
  <si>
    <t>Dwg</t>
  </si>
  <si>
    <t xml:space="preserve">Layout </t>
  </si>
  <si>
    <t>X-Ref</t>
  </si>
  <si>
    <t xml:space="preserve">Layer </t>
  </si>
  <si>
    <t>Model/</t>
  </si>
  <si>
    <t>Text</t>
  </si>
  <si>
    <t>Blocks</t>
  </si>
  <si>
    <t>Annot.</t>
  </si>
  <si>
    <t>North</t>
  </si>
  <si>
    <t xml:space="preserve">Rev </t>
  </si>
  <si>
    <t>Dim.</t>
  </si>
  <si>
    <t>Ltype</t>
  </si>
  <si>
    <t>Purge</t>
  </si>
  <si>
    <t>Notes</t>
  </si>
  <si>
    <t xml:space="preserve">Block </t>
  </si>
  <si>
    <t>created</t>
  </si>
  <si>
    <t>with</t>
  </si>
  <si>
    <t>Paper</t>
  </si>
  <si>
    <t>Symbols</t>
  </si>
  <si>
    <t>Arrow</t>
  </si>
  <si>
    <t>descrip</t>
  </si>
  <si>
    <t>Style</t>
  </si>
  <si>
    <t xml:space="preserve"> </t>
  </si>
  <si>
    <t>no.</t>
  </si>
  <si>
    <t>Name</t>
  </si>
  <si>
    <t>correctly</t>
  </si>
  <si>
    <t>empty</t>
  </si>
  <si>
    <t>hasTitleBlock</t>
  </si>
  <si>
    <t>chk13</t>
  </si>
  <si>
    <t>Allowable line types</t>
  </si>
  <si>
    <t>found</t>
  </si>
  <si>
    <t>SDASH3</t>
  </si>
  <si>
    <t>SDASH2</t>
  </si>
  <si>
    <t>SDASH1</t>
  </si>
  <si>
    <t>SDASH</t>
  </si>
  <si>
    <t>DASH</t>
  </si>
  <si>
    <t>MDASH</t>
  </si>
  <si>
    <t>MDASH1</t>
  </si>
  <si>
    <t>LDASH</t>
  </si>
  <si>
    <t>LDASH1</t>
  </si>
  <si>
    <t>LDASH2</t>
  </si>
  <si>
    <t>LDASH3</t>
  </si>
  <si>
    <t>SCENTER</t>
  </si>
  <si>
    <t>CENTER</t>
  </si>
  <si>
    <t>MCENTER</t>
  </si>
  <si>
    <t>LCENTER</t>
  </si>
  <si>
    <t>SPHANTOM</t>
  </si>
  <si>
    <t>PHANTOM</t>
  </si>
  <si>
    <t>MPHANTOM</t>
  </si>
  <si>
    <t>LPHANTOM</t>
  </si>
  <si>
    <t>SDOT</t>
  </si>
  <si>
    <t>DOT</t>
  </si>
  <si>
    <t>MDOT</t>
  </si>
  <si>
    <t>LDOT</t>
  </si>
  <si>
    <t>SDASHDOT</t>
  </si>
  <si>
    <t>DASHDOT</t>
  </si>
  <si>
    <t>MDASHDOT</t>
  </si>
  <si>
    <t>LDASHDOT</t>
  </si>
  <si>
    <t>SDIVIDE</t>
  </si>
  <si>
    <t>DIVIDE</t>
  </si>
  <si>
    <t>MDIVIDE</t>
  </si>
  <si>
    <t>LDIVIDE</t>
  </si>
  <si>
    <t>SBORDER</t>
  </si>
  <si>
    <t>BORDER</t>
  </si>
  <si>
    <t>MBORDER</t>
  </si>
  <si>
    <t>LBORDER</t>
  </si>
  <si>
    <t>HW</t>
  </si>
  <si>
    <t>RHW</t>
  </si>
  <si>
    <t>FISH</t>
  </si>
  <si>
    <t>Layer0 model</t>
  </si>
  <si>
    <t>Layer 0 paper</t>
  </si>
  <si>
    <t>IsView</t>
  </si>
  <si>
    <t>Building</t>
  </si>
  <si>
    <t>Check 1 analysis</t>
  </si>
  <si>
    <r>
      <t xml:space="preserve">1. Drawing number should be per the </t>
    </r>
    <r>
      <rPr>
        <b/>
        <sz val="10"/>
        <color indexed="8"/>
        <rFont val="Times New Roman"/>
        <family val="1"/>
      </rPr>
      <t>Naming convention</t>
    </r>
    <r>
      <rPr>
        <sz val="10"/>
        <color indexed="8"/>
        <rFont val="Times New Roman"/>
        <family val="1"/>
      </rPr>
      <t xml:space="preserve"> and equal to the file number.</t>
    </r>
  </si>
  <si>
    <t>According to the naming convention</t>
  </si>
  <si>
    <t>this file is:</t>
  </si>
  <si>
    <t>drawing</t>
  </si>
  <si>
    <t>file</t>
  </si>
  <si>
    <t>it is</t>
  </si>
  <si>
    <t>it shows</t>
  </si>
  <si>
    <t>design</t>
  </si>
  <si>
    <t>of the</t>
  </si>
  <si>
    <t>discipline</t>
  </si>
  <si>
    <t>type is</t>
  </si>
  <si>
    <t>KST-2-F-.dwg</t>
  </si>
  <si>
    <t>number are</t>
  </si>
  <si>
    <t>The drawing name and drawing</t>
  </si>
  <si>
    <t>Check 2 analysis</t>
  </si>
  <si>
    <t>2. Title name should be by standard.</t>
  </si>
  <si>
    <t>Extractions from title block:</t>
  </si>
  <si>
    <t>LC in title?</t>
  </si>
  <si>
    <t>Sector or Overview in title?</t>
  </si>
  <si>
    <t>Layout or View in title?</t>
  </si>
  <si>
    <t>Title1 proper?</t>
  </si>
  <si>
    <t>Title 2 proper?</t>
  </si>
  <si>
    <t>Title 4 proper?</t>
  </si>
  <si>
    <t>Title 3 proper?</t>
  </si>
  <si>
    <t>Check 3 analysis</t>
  </si>
  <si>
    <r>
      <t xml:space="preserve">3. Drawing should be created according to </t>
    </r>
    <r>
      <rPr>
        <b/>
        <sz val="10"/>
        <color indexed="8"/>
        <rFont val="Times New Roman"/>
        <family val="1"/>
      </rPr>
      <t>Fab 28 Construction specific CAD guide</t>
    </r>
    <r>
      <rPr>
        <sz val="10"/>
        <color indexed="8"/>
        <rFont val="Times New Roman"/>
        <family val="1"/>
      </rPr>
      <t>:</t>
    </r>
  </si>
  <si>
    <r>
      <t xml:space="preserve">- layout </t>
    </r>
    <r>
      <rPr>
        <b/>
        <sz val="10"/>
        <color indexed="8"/>
        <rFont val="Times New Roman"/>
        <family val="1"/>
      </rPr>
      <t>View</t>
    </r>
    <r>
      <rPr>
        <sz val="10"/>
        <color indexed="8"/>
        <rFont val="Times New Roman"/>
        <family val="1"/>
      </rPr>
      <t xml:space="preserve"> drawings should have a </t>
    </r>
    <r>
      <rPr>
        <b/>
        <sz val="10"/>
        <color indexed="8"/>
        <rFont val="Times New Roman"/>
        <family val="1"/>
      </rPr>
      <t>Master X-Ref</t>
    </r>
    <r>
      <rPr>
        <sz val="10"/>
        <color indexed="8"/>
        <rFont val="Times New Roman"/>
        <family val="1"/>
      </rPr>
      <t xml:space="preserve"> (for example: </t>
    </r>
    <r>
      <rPr>
        <b/>
        <sz val="10"/>
        <color indexed="8"/>
        <rFont val="Times New Roman"/>
        <family val="1"/>
      </rPr>
      <t>KBA-1-C-</t>
    </r>
    <r>
      <rPr>
        <sz val="10"/>
        <color indexed="8"/>
        <rFont val="Times New Roman"/>
        <family val="1"/>
      </rPr>
      <t xml:space="preserve"> should be based on </t>
    </r>
    <r>
      <rPr>
        <b/>
        <sz val="10"/>
        <color indexed="8"/>
        <rFont val="Times New Roman"/>
        <family val="1"/>
      </rPr>
      <t>GBA-1-OV</t>
    </r>
    <r>
      <rPr>
        <sz val="10"/>
        <color indexed="8"/>
        <rFont val="Times New Roman"/>
        <family val="1"/>
      </rPr>
      <t>)</t>
    </r>
  </si>
  <si>
    <r>
      <t xml:space="preserve"> - non layout drawings can be without x-refs (except of </t>
    </r>
    <r>
      <rPr>
        <i/>
        <sz val="10"/>
        <color indexed="8"/>
        <rFont val="Times New Roman"/>
        <family val="1"/>
      </rPr>
      <t>enlarged views</t>
    </r>
    <r>
      <rPr>
        <sz val="10"/>
        <color indexed="8"/>
        <rFont val="Times New Roman"/>
        <family val="1"/>
      </rPr>
      <t>).</t>
    </r>
  </si>
  <si>
    <t>Proper xref name</t>
  </si>
  <si>
    <t>View</t>
  </si>
  <si>
    <t>Xref</t>
  </si>
  <si>
    <t>xref name should be:</t>
  </si>
  <si>
    <t>first letter:</t>
  </si>
  <si>
    <t>second letter:</t>
  </si>
  <si>
    <t>third letter:</t>
  </si>
  <si>
    <t>fourth letter:</t>
  </si>
  <si>
    <t>fifth letter:</t>
  </si>
  <si>
    <t>sixth letter:</t>
  </si>
  <si>
    <t>seventh letter:</t>
  </si>
  <si>
    <t>Eighth letter:</t>
  </si>
  <si>
    <t>Xref for check:</t>
  </si>
  <si>
    <t>isEnlarged view?</t>
  </si>
  <si>
    <t>Check 4 analysis</t>
  </si>
  <si>
    <t>Are there xrefs?</t>
  </si>
  <si>
    <t>Is enlarged?</t>
  </si>
  <si>
    <t>4. Layout drawing should have external references (X-Ref)</t>
  </si>
  <si>
    <t>Check 5 analysis</t>
  </si>
  <si>
    <t>5. Should be used just two types of background drawings:</t>
  </si>
  <si>
    <t xml:space="preserve"> - Existing X-Ref</t>
  </si>
  <si>
    <t xml:space="preserve"> - New X-Refs created according to Fab 28 Construction specific CAD guide </t>
  </si>
  <si>
    <t>Check 6 analysis</t>
  </si>
  <si>
    <t>6. X-Ref's insertion point should be Lachish Campus 0,0,0.</t>
  </si>
  <si>
    <t>Check 7 analysis</t>
  </si>
  <si>
    <t>7. X-Ref's saved path should contain only X-Ref dwg name (without the path).</t>
  </si>
  <si>
    <t>Check 8 analysis</t>
  </si>
  <si>
    <t>8. Layer "0" must be empty of all entities, (only blocks should be created on layer "0").</t>
  </si>
  <si>
    <t>Entities in drawing</t>
  </si>
  <si>
    <t>Viewport entities not shown in list</t>
  </si>
  <si>
    <t>Check 9 analysis</t>
  </si>
  <si>
    <t>9. Layer name per standard (color &amp; line type by layer).</t>
  </si>
  <si>
    <t>Check 10 analysis</t>
  </si>
  <si>
    <t>10. Paper space: Title block, Key plan,  General &amp; Key notes, Legends</t>
  </si>
  <si>
    <t xml:space="preserve">non layout – X-Ref or/and main drawings (technical information) </t>
  </si>
  <si>
    <t>Model space:</t>
  </si>
  <si>
    <t xml:space="preserve"> layout -  just X-Ref drawings </t>
  </si>
  <si>
    <t>is Layout?</t>
  </si>
  <si>
    <t>Entity count</t>
  </si>
  <si>
    <t>Check 11 analysis</t>
  </si>
  <si>
    <t>11. Style &amp; size of text by standard.</t>
  </si>
  <si>
    <t>grid xref should be</t>
  </si>
  <si>
    <t>Check 12 analysis</t>
  </si>
  <si>
    <r>
      <t>12. The standard blocks should be</t>
    </r>
    <r>
      <rPr>
        <sz val="10"/>
        <color indexed="18"/>
        <rFont val="Times New Roman"/>
        <family val="1"/>
      </rPr>
      <t xml:space="preserve"> </t>
    </r>
    <r>
      <rPr>
        <sz val="10"/>
        <color indexed="8"/>
        <rFont val="Times New Roman"/>
        <family val="1"/>
      </rPr>
      <t>used in the drawings. Do not redefine or explode the standard blocks!</t>
    </r>
  </si>
  <si>
    <t xml:space="preserve">  The designer can create a new block if required, but the new block names should be according to standard.  </t>
  </si>
  <si>
    <t>$0$G-INORTH</t>
  </si>
  <si>
    <t>has bind error</t>
  </si>
  <si>
    <t>has dollar error</t>
  </si>
</sst>
</file>

<file path=xl/styles.xml><?xml version="1.0" encoding="utf-8"?>
<styleSheet xmlns="http://schemas.openxmlformats.org/spreadsheetml/2006/main">
  <numFmts count="1">
    <numFmt numFmtId="164" formatCode="B1dd\-mmm\-yy"/>
  </numFmts>
  <fonts count="17">
    <font>
      <sz val="11"/>
      <color theme="1"/>
      <name val="Arial"/>
      <family val="2"/>
      <charset val="177"/>
      <scheme val="minor"/>
    </font>
    <font>
      <b/>
      <sz val="8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2"/>
      <name val="Arial"/>
      <family val="2"/>
    </font>
    <font>
      <sz val="12"/>
      <name val="Times New Roman"/>
      <family val="1"/>
    </font>
    <font>
      <b/>
      <i/>
      <sz val="12"/>
      <name val="Times New Roman"/>
      <family val="1"/>
    </font>
    <font>
      <sz val="8"/>
      <name val="Arial"/>
      <family val="2"/>
    </font>
    <font>
      <b/>
      <sz val="8"/>
      <color indexed="18"/>
      <name val="Arial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sz val="10"/>
      <color indexed="18"/>
      <name val="Times New Roman"/>
      <family val="1"/>
    </font>
    <font>
      <sz val="10"/>
      <name val="Times New Roman"/>
      <family val="1"/>
    </font>
    <font>
      <sz val="1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2" borderId="0" xfId="0" applyFill="1"/>
    <xf numFmtId="0" fontId="0" fillId="0" borderId="1" xfId="0" applyBorder="1"/>
    <xf numFmtId="0" fontId="14" fillId="0" borderId="1" xfId="0" applyFont="1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1" fillId="0" borderId="18" xfId="0" applyFont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19" xfId="0" applyFont="1" applyBorder="1"/>
    <xf numFmtId="0" fontId="2" fillId="0" borderId="20" xfId="0" applyNumberFormat="1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0" xfId="0" applyFont="1"/>
    <xf numFmtId="0" fontId="2" fillId="0" borderId="23" xfId="0" applyFont="1" applyBorder="1"/>
    <xf numFmtId="0" fontId="2" fillId="0" borderId="0" xfId="0" applyFont="1" applyFill="1" applyBorder="1"/>
    <xf numFmtId="49" fontId="2" fillId="0" borderId="0" xfId="0" applyNumberFormat="1" applyFont="1"/>
    <xf numFmtId="49" fontId="0" fillId="0" borderId="0" xfId="0" applyNumberFormat="1"/>
    <xf numFmtId="0" fontId="0" fillId="0" borderId="25" xfId="0" applyBorder="1"/>
    <xf numFmtId="0" fontId="0" fillId="0" borderId="0" xfId="0" applyBorder="1"/>
    <xf numFmtId="0" fontId="0" fillId="0" borderId="26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164" fontId="0" fillId="0" borderId="1" xfId="0" applyNumberFormat="1" applyBorder="1"/>
    <xf numFmtId="0" fontId="0" fillId="0" borderId="9" xfId="0" applyFill="1" applyBorder="1"/>
    <xf numFmtId="0" fontId="0" fillId="0" borderId="12" xfId="0" applyBorder="1"/>
    <xf numFmtId="0" fontId="3" fillId="0" borderId="0" xfId="0" applyFont="1" applyAlignment="1"/>
    <xf numFmtId="0" fontId="4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5" fillId="0" borderId="0" xfId="0" applyFont="1"/>
    <xf numFmtId="0" fontId="7" fillId="0" borderId="27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top" wrapText="1"/>
    </xf>
    <xf numFmtId="0" fontId="7" fillId="0" borderId="27" xfId="0" applyFont="1" applyBorder="1" applyAlignment="1">
      <alignment horizont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top" wrapText="1"/>
    </xf>
    <xf numFmtId="0" fontId="7" fillId="0" borderId="28" xfId="0" applyFont="1" applyBorder="1" applyAlignment="1">
      <alignment horizontal="center" wrapText="1"/>
    </xf>
    <xf numFmtId="0" fontId="1" fillId="0" borderId="29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vertical="top" wrapText="1"/>
    </xf>
    <xf numFmtId="0" fontId="1" fillId="0" borderId="30" xfId="0" applyFont="1" applyBorder="1" applyAlignment="1">
      <alignment horizontal="center" vertical="center" wrapText="1"/>
    </xf>
    <xf numFmtId="0" fontId="7" fillId="0" borderId="30" xfId="0" applyFont="1" applyBorder="1" applyAlignment="1">
      <alignment vertical="top" wrapText="1"/>
    </xf>
    <xf numFmtId="0" fontId="1" fillId="0" borderId="30" xfId="0" applyFont="1" applyBorder="1" applyAlignment="1">
      <alignment vertical="center" wrapText="1"/>
    </xf>
    <xf numFmtId="0" fontId="7" fillId="0" borderId="30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2" borderId="13" xfId="0" applyFill="1" applyBorder="1"/>
    <xf numFmtId="0" fontId="0" fillId="0" borderId="31" xfId="0" applyBorder="1"/>
    <xf numFmtId="0" fontId="15" fillId="0" borderId="22" xfId="0" applyFont="1" applyBorder="1"/>
    <xf numFmtId="0" fontId="0" fillId="2" borderId="0" xfId="0" applyFill="1" applyBorder="1"/>
    <xf numFmtId="0" fontId="0" fillId="0" borderId="0" xfId="0" applyFill="1"/>
    <xf numFmtId="0" fontId="0" fillId="0" borderId="21" xfId="0" applyFill="1" applyBorder="1"/>
    <xf numFmtId="0" fontId="0" fillId="2" borderId="19" xfId="0" applyFill="1" applyBorder="1"/>
    <xf numFmtId="0" fontId="0" fillId="2" borderId="25" xfId="0" applyFill="1" applyBorder="1"/>
    <xf numFmtId="0" fontId="0" fillId="0" borderId="25" xfId="0" applyFill="1" applyBorder="1"/>
    <xf numFmtId="0" fontId="0" fillId="0" borderId="20" xfId="0" applyFill="1" applyBorder="1"/>
    <xf numFmtId="0" fontId="16" fillId="0" borderId="21" xfId="0" applyFont="1" applyBorder="1" applyAlignment="1">
      <alignment horizontal="left" indent="1"/>
    </xf>
    <xf numFmtId="0" fontId="0" fillId="0" borderId="22" xfId="0" applyFill="1" applyBorder="1"/>
    <xf numFmtId="0" fontId="2" fillId="0" borderId="21" xfId="0" applyFont="1" applyFill="1" applyBorder="1"/>
    <xf numFmtId="0" fontId="2" fillId="2" borderId="21" xfId="0" applyFont="1" applyFill="1" applyBorder="1"/>
    <xf numFmtId="1" fontId="0" fillId="0" borderId="0" xfId="0" applyNumberFormat="1" applyBorder="1"/>
    <xf numFmtId="0" fontId="0" fillId="0" borderId="26" xfId="0" applyFill="1" applyBorder="1"/>
    <xf numFmtId="0" fontId="0" fillId="0" borderId="24" xfId="0" applyFill="1" applyBorder="1"/>
    <xf numFmtId="0" fontId="16" fillId="0" borderId="21" xfId="0" applyFont="1" applyBorder="1"/>
    <xf numFmtId="0" fontId="0" fillId="0" borderId="23" xfId="0" applyFill="1" applyBorder="1"/>
    <xf numFmtId="0" fontId="0" fillId="2" borderId="20" xfId="0" applyFill="1" applyBorder="1"/>
    <xf numFmtId="0" fontId="16" fillId="0" borderId="0" xfId="0" applyFont="1" applyBorder="1" applyAlignment="1">
      <alignment horizontal="left" indent="1"/>
    </xf>
    <xf numFmtId="0" fontId="16" fillId="0" borderId="22" xfId="0" applyFont="1" applyBorder="1" applyAlignment="1">
      <alignment horizontal="left" indent="1"/>
    </xf>
    <xf numFmtId="0" fontId="0" fillId="2" borderId="26" xfId="0" applyFill="1" applyBorder="1"/>
    <xf numFmtId="0" fontId="0" fillId="2" borderId="6" xfId="0" applyFill="1" applyBorder="1"/>
    <xf numFmtId="0" fontId="0" fillId="0" borderId="4" xfId="0" applyFill="1" applyBorder="1"/>
    <xf numFmtId="0" fontId="0" fillId="2" borderId="4" xfId="0" applyFill="1" applyBorder="1"/>
    <xf numFmtId="0" fontId="16" fillId="0" borderId="0" xfId="0" applyFont="1" applyBorder="1"/>
    <xf numFmtId="0" fontId="13" fillId="0" borderId="21" xfId="0" applyFont="1" applyBorder="1" applyAlignment="1">
      <alignment horizontal="left" indent="1"/>
    </xf>
    <xf numFmtId="0" fontId="0" fillId="2" borderId="8" xfId="0" applyFill="1" applyBorder="1"/>
    <xf numFmtId="0" fontId="0" fillId="2" borderId="5" xfId="0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16" fillId="3" borderId="21" xfId="0" applyFont="1" applyFill="1" applyBorder="1" applyAlignment="1">
      <alignment horizontal="left" indent="1"/>
    </xf>
    <xf numFmtId="0" fontId="0" fillId="3" borderId="0" xfId="0" applyFill="1" applyBorder="1"/>
    <xf numFmtId="0" fontId="0" fillId="3" borderId="22" xfId="0" applyFill="1" applyBorder="1"/>
    <xf numFmtId="14" fontId="4" fillId="0" borderId="0" xfId="0" applyNumberFormat="1" applyFont="1" applyAlignment="1">
      <alignment horizontal="left"/>
    </xf>
  </cellXfs>
  <cellStyles count="1">
    <cellStyle name="Normal" xfId="0" builtinId="0"/>
  </cellStyles>
  <dxfs count="2">
    <dxf>
      <font>
        <condense val="0"/>
        <extend val="0"/>
        <color indexed="18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371475</xdr:colOff>
      <xdr:row>4</xdr:row>
      <xdr:rowOff>104775</xdr:rowOff>
    </xdr:from>
    <xdr:to>
      <xdr:col>20</xdr:col>
      <xdr:colOff>0</xdr:colOff>
      <xdr:row>7</xdr:row>
      <xdr:rowOff>190500</xdr:rowOff>
    </xdr:to>
    <xdr:sp macro="" textlink="">
      <xdr:nvSpPr>
        <xdr:cNvPr id="2" name="Text Box 4"/>
        <xdr:cNvSpPr txBox="1">
          <a:spLocks noChangeArrowheads="1"/>
        </xdr:cNvSpPr>
      </xdr:nvSpPr>
      <xdr:spPr bwMode="auto">
        <a:xfrm>
          <a:off x="11344275" y="904875"/>
          <a:ext cx="2371725" cy="685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For Clarifications Turn To: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Tzeitin Lili                 68-57628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Liser Elena                 68-57627  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1"/>
  <sheetViews>
    <sheetView workbookViewId="0">
      <selection activeCell="C4" sqref="C4:D4"/>
    </sheetView>
  </sheetViews>
  <sheetFormatPr defaultRowHeight="14.25"/>
  <cols>
    <col min="3" max="3" width="20.375" bestFit="1" customWidth="1"/>
  </cols>
  <sheetData>
    <row r="1" spans="1:20" ht="15.75">
      <c r="A1" s="46" t="s">
        <v>728</v>
      </c>
      <c r="C1" s="47" t="s">
        <v>729</v>
      </c>
      <c r="T1" s="48"/>
    </row>
    <row r="2" spans="1:20" ht="15.75">
      <c r="A2" s="49" t="s">
        <v>730</v>
      </c>
      <c r="C2" s="47" t="s">
        <v>731</v>
      </c>
      <c r="T2" s="48"/>
    </row>
    <row r="3" spans="1:20" ht="15.75">
      <c r="A3" s="49" t="s">
        <v>732</v>
      </c>
      <c r="C3" s="47" t="s">
        <v>733</v>
      </c>
      <c r="T3" s="48"/>
    </row>
    <row r="4" spans="1:20" ht="15.75">
      <c r="A4" s="49" t="s">
        <v>734</v>
      </c>
      <c r="C4" s="106">
        <f>Date</f>
        <v>0</v>
      </c>
      <c r="D4" s="106"/>
      <c r="T4" s="48"/>
    </row>
    <row r="5" spans="1:20" ht="15.75">
      <c r="A5" s="49"/>
      <c r="T5" s="48"/>
    </row>
    <row r="6" spans="1:20" ht="15.75">
      <c r="A6" s="50" t="s">
        <v>735</v>
      </c>
      <c r="T6" s="48"/>
    </row>
    <row r="7" spans="1:20" ht="15.75">
      <c r="A7" s="50" t="s">
        <v>736</v>
      </c>
      <c r="T7" s="48"/>
    </row>
    <row r="8" spans="1:20" ht="15.75">
      <c r="A8" s="50" t="s">
        <v>737</v>
      </c>
      <c r="T8" s="48"/>
    </row>
    <row r="9" spans="1:20" ht="16.5" thickBot="1">
      <c r="A9" s="50"/>
      <c r="T9" s="48"/>
    </row>
    <row r="10" spans="1:20">
      <c r="A10" s="51"/>
      <c r="B10" s="52">
        <v>1</v>
      </c>
      <c r="C10" s="52">
        <v>2</v>
      </c>
      <c r="D10" s="52">
        <v>3</v>
      </c>
      <c r="E10" s="52">
        <v>4</v>
      </c>
      <c r="F10" s="52">
        <v>5</v>
      </c>
      <c r="G10" s="53">
        <v>6</v>
      </c>
      <c r="H10" s="52">
        <v>7</v>
      </c>
      <c r="I10" s="52">
        <v>8</v>
      </c>
      <c r="J10" s="52">
        <v>9</v>
      </c>
      <c r="K10" s="52">
        <v>10</v>
      </c>
      <c r="L10" s="52">
        <v>11</v>
      </c>
      <c r="M10" s="52">
        <v>12</v>
      </c>
      <c r="N10" s="52">
        <v>13</v>
      </c>
      <c r="O10" s="52">
        <v>14</v>
      </c>
      <c r="P10" s="52">
        <v>15</v>
      </c>
      <c r="Q10" s="52">
        <v>16</v>
      </c>
      <c r="R10" s="52">
        <v>17</v>
      </c>
      <c r="S10" s="52">
        <v>18</v>
      </c>
      <c r="T10" s="53"/>
    </row>
    <row r="11" spans="1:20">
      <c r="A11" s="54" t="s">
        <v>738</v>
      </c>
      <c r="B11" s="55" t="s">
        <v>739</v>
      </c>
      <c r="C11" s="55" t="s">
        <v>740</v>
      </c>
      <c r="D11" s="55" t="s">
        <v>741</v>
      </c>
      <c r="E11" s="55" t="s">
        <v>742</v>
      </c>
      <c r="F11" s="55" t="s">
        <v>743</v>
      </c>
      <c r="G11" s="56" t="s">
        <v>743</v>
      </c>
      <c r="H11" s="55" t="s">
        <v>743</v>
      </c>
      <c r="I11" s="55" t="s">
        <v>710</v>
      </c>
      <c r="J11" s="55" t="s">
        <v>744</v>
      </c>
      <c r="K11" s="55" t="s">
        <v>745</v>
      </c>
      <c r="L11" s="55" t="s">
        <v>746</v>
      </c>
      <c r="M11" s="55" t="s">
        <v>747</v>
      </c>
      <c r="N11" s="55" t="s">
        <v>748</v>
      </c>
      <c r="O11" s="55" t="s">
        <v>749</v>
      </c>
      <c r="P11" s="55" t="s">
        <v>750</v>
      </c>
      <c r="Q11" s="55" t="s">
        <v>751</v>
      </c>
      <c r="R11" s="55" t="s">
        <v>752</v>
      </c>
      <c r="S11" s="55" t="s">
        <v>753</v>
      </c>
      <c r="T11" s="56" t="s">
        <v>754</v>
      </c>
    </row>
    <row r="12" spans="1:20">
      <c r="A12" s="54"/>
      <c r="B12" s="55" t="s">
        <v>14</v>
      </c>
      <c r="C12" s="55" t="s">
        <v>755</v>
      </c>
      <c r="D12" s="55" t="s">
        <v>756</v>
      </c>
      <c r="E12" s="55" t="s">
        <v>757</v>
      </c>
      <c r="F12" s="55"/>
      <c r="G12" s="56" t="s">
        <v>85</v>
      </c>
      <c r="H12" s="55" t="s">
        <v>33</v>
      </c>
      <c r="I12" s="55">
        <v>0</v>
      </c>
      <c r="J12" s="55" t="s">
        <v>59</v>
      </c>
      <c r="K12" s="55" t="s">
        <v>758</v>
      </c>
      <c r="L12" s="55"/>
      <c r="M12" s="55"/>
      <c r="N12" s="55" t="s">
        <v>759</v>
      </c>
      <c r="O12" s="55" t="s">
        <v>760</v>
      </c>
      <c r="P12" s="55" t="s">
        <v>761</v>
      </c>
      <c r="Q12" s="55" t="s">
        <v>762</v>
      </c>
      <c r="R12" s="55" t="s">
        <v>763</v>
      </c>
      <c r="S12" s="55"/>
      <c r="T12" s="56"/>
    </row>
    <row r="13" spans="1:20" ht="15" thickBot="1">
      <c r="A13" s="57"/>
      <c r="B13" s="58" t="s">
        <v>764</v>
      </c>
      <c r="C13" s="58" t="s">
        <v>765</v>
      </c>
      <c r="D13" s="58" t="s">
        <v>766</v>
      </c>
      <c r="E13" s="58" t="s">
        <v>743</v>
      </c>
      <c r="F13" s="58"/>
      <c r="G13" s="59"/>
      <c r="H13" s="58"/>
      <c r="I13" s="58" t="s">
        <v>767</v>
      </c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9"/>
    </row>
    <row r="14" spans="1:20" ht="15.75" thickTop="1" thickBot="1">
      <c r="A14" s="60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2"/>
    </row>
    <row r="15" spans="1:20" ht="15" thickBot="1">
      <c r="A15" s="60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2"/>
    </row>
    <row r="16" spans="1:20" ht="15" thickBot="1">
      <c r="A16" s="60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2"/>
    </row>
    <row r="17" spans="1:20" ht="15" thickBot="1">
      <c r="A17" s="63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4"/>
    </row>
    <row r="18" spans="1:20" ht="15" thickBot="1">
      <c r="A18" s="63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4"/>
    </row>
    <row r="19" spans="1:20" ht="15" thickBot="1">
      <c r="A19" s="63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4"/>
    </row>
    <row r="20" spans="1:20" ht="15" thickBot="1">
      <c r="A20" s="63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4"/>
    </row>
    <row r="21" spans="1:20" ht="15" thickBot="1">
      <c r="A21" s="63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4"/>
    </row>
    <row r="22" spans="1:20" ht="15" thickBot="1">
      <c r="A22" s="65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6"/>
    </row>
    <row r="23" spans="1:20" ht="15" thickBot="1">
      <c r="A23" s="65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6"/>
    </row>
    <row r="24" spans="1:20" ht="15" thickBot="1">
      <c r="A24" s="65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6"/>
    </row>
    <row r="25" spans="1:20" ht="15" thickBot="1">
      <c r="A25" s="65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6"/>
    </row>
    <row r="26" spans="1:20" ht="15" thickBot="1">
      <c r="A26" s="65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6"/>
    </row>
    <row r="27" spans="1:20" ht="15" thickBot="1">
      <c r="A27" s="65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6"/>
    </row>
    <row r="28" spans="1:20" ht="15" thickBot="1">
      <c r="A28" s="65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6"/>
    </row>
    <row r="29" spans="1:20" ht="15" thickBot="1">
      <c r="A29" s="65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6"/>
    </row>
    <row r="30" spans="1:20" ht="15" thickBot="1">
      <c r="A30" s="65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6"/>
    </row>
    <row r="31" spans="1:20" ht="15" thickBot="1">
      <c r="A31" s="65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6"/>
    </row>
    <row r="32" spans="1:20" ht="15" thickBot="1">
      <c r="A32" s="65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6"/>
    </row>
    <row r="33" spans="1:20" ht="15" thickBot="1">
      <c r="A33" s="65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6"/>
    </row>
    <row r="34" spans="1:20" ht="15" thickBot="1">
      <c r="A34" s="65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6"/>
    </row>
    <row r="35" spans="1:20" ht="15" thickBot="1">
      <c r="A35" s="65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6"/>
    </row>
    <row r="36" spans="1:20" ht="15" thickBot="1">
      <c r="A36" s="65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6"/>
    </row>
    <row r="37" spans="1:20" ht="15" thickBot="1">
      <c r="A37" s="65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6"/>
    </row>
    <row r="38" spans="1:20" ht="15" thickBot="1">
      <c r="A38" s="65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6"/>
    </row>
    <row r="39" spans="1:20" ht="15" thickBot="1">
      <c r="A39" s="65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6"/>
    </row>
    <row r="40" spans="1:20" ht="15" thickBot="1">
      <c r="A40" s="65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6"/>
    </row>
    <row r="41" spans="1:20" ht="15" thickBot="1">
      <c r="A41" s="65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6"/>
    </row>
    <row r="42" spans="1:20" ht="15" thickBot="1">
      <c r="A42" s="65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6"/>
    </row>
    <row r="43" spans="1:20" ht="15" thickBot="1">
      <c r="A43" s="65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6"/>
    </row>
    <row r="44" spans="1:20" ht="15" thickBot="1">
      <c r="A44" s="65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6"/>
    </row>
    <row r="45" spans="1:20" ht="15" thickBot="1">
      <c r="A45" s="65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6"/>
    </row>
    <row r="46" spans="1:20" ht="15" thickBot="1">
      <c r="A46" s="65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6"/>
    </row>
    <row r="47" spans="1:20" ht="15" thickBot="1">
      <c r="A47" s="65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6"/>
    </row>
    <row r="48" spans="1:20" ht="15" thickBot="1">
      <c r="A48" s="65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6"/>
    </row>
    <row r="49" spans="1:20" ht="15" thickBot="1">
      <c r="A49" s="65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6"/>
    </row>
    <row r="50" spans="1:20" ht="15" thickBot="1">
      <c r="A50" s="65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6"/>
    </row>
    <row r="51" spans="1:20" ht="15" thickBot="1">
      <c r="A51" s="65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6"/>
    </row>
    <row r="52" spans="1:20" ht="15" thickBot="1">
      <c r="A52" s="65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6"/>
    </row>
    <row r="53" spans="1:20" ht="15" thickBot="1">
      <c r="A53" s="65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6"/>
    </row>
    <row r="54" spans="1:20" ht="15" thickBot="1">
      <c r="A54" s="65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6"/>
    </row>
    <row r="55" spans="1:20" ht="15" thickBot="1">
      <c r="A55" s="65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6"/>
    </row>
    <row r="56" spans="1:20" ht="15" thickBot="1">
      <c r="A56" s="65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6"/>
    </row>
    <row r="57" spans="1:20" ht="15" thickBot="1">
      <c r="A57" s="65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6"/>
    </row>
    <row r="58" spans="1:20" ht="15" thickBot="1">
      <c r="A58" s="65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6"/>
    </row>
    <row r="59" spans="1:20" ht="15" thickBot="1">
      <c r="A59" s="65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6"/>
    </row>
    <row r="60" spans="1:20" ht="15" thickBot="1">
      <c r="A60" s="65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6"/>
    </row>
    <row r="61" spans="1:20" ht="15" thickBot="1">
      <c r="A61" s="65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6"/>
    </row>
    <row r="62" spans="1:20" ht="15" thickBot="1">
      <c r="A62" s="65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6"/>
    </row>
    <row r="63" spans="1:20" ht="15" thickBot="1">
      <c r="A63" s="65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6"/>
    </row>
    <row r="64" spans="1:20" ht="15" thickBot="1">
      <c r="A64" s="65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6"/>
    </row>
    <row r="65" spans="1:20" ht="15" thickBot="1">
      <c r="A65" s="65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6"/>
    </row>
    <row r="66" spans="1:20" ht="15" thickBot="1">
      <c r="A66" s="65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6"/>
    </row>
    <row r="67" spans="1:20" ht="15" thickBot="1">
      <c r="A67" s="65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6"/>
    </row>
    <row r="68" spans="1:20">
      <c r="A68" s="67"/>
      <c r="T68" s="48"/>
    </row>
    <row r="69" spans="1:20">
      <c r="A69" s="67"/>
      <c r="T69" s="48"/>
    </row>
    <row r="70" spans="1:20">
      <c r="A70" s="67"/>
      <c r="T70" s="48"/>
    </row>
    <row r="71" spans="1:20">
      <c r="A71" s="67"/>
      <c r="T71" s="48"/>
    </row>
  </sheetData>
  <mergeCells count="1">
    <mergeCell ref="C4:D4"/>
  </mergeCells>
  <conditionalFormatting sqref="B14:S67">
    <cfRule type="cellIs" dxfId="1" priority="1" stopIfTrue="1" operator="equal">
      <formula>"X"</formula>
    </cfRule>
    <cfRule type="cellIs" dxfId="0" priority="2" stopIfTrue="1" operator="equal">
      <formula>"ok"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L151"/>
  <sheetViews>
    <sheetView tabSelected="1" workbookViewId="0">
      <selection activeCell="B2" sqref="B2"/>
    </sheetView>
  </sheetViews>
  <sheetFormatPr defaultRowHeight="14.25"/>
  <cols>
    <col min="1" max="1" width="15.75" bestFit="1" customWidth="1"/>
    <col min="2" max="2" width="25.625" bestFit="1" customWidth="1"/>
    <col min="3" max="3" width="11.125" bestFit="1" customWidth="1"/>
    <col min="4" max="4" width="11.125" customWidth="1"/>
    <col min="5" max="5" width="24.25" customWidth="1"/>
    <col min="6" max="6" width="18.625" bestFit="1" customWidth="1"/>
    <col min="7" max="7" width="15.625" customWidth="1"/>
    <col min="8" max="8" width="18.625" bestFit="1" customWidth="1"/>
    <col min="9" max="9" width="8.375" bestFit="1" customWidth="1"/>
    <col min="10" max="10" width="8.375" customWidth="1"/>
    <col min="11" max="11" width="17.875" customWidth="1"/>
    <col min="12" max="12" width="25.625" bestFit="1" customWidth="1"/>
    <col min="13" max="13" width="23" bestFit="1" customWidth="1"/>
    <col min="14" max="15" width="8.375" customWidth="1"/>
    <col min="16" max="16" width="14.875" bestFit="1" customWidth="1"/>
    <col min="17" max="17" width="9.5" bestFit="1" customWidth="1"/>
    <col min="18" max="19" width="8.375" customWidth="1"/>
    <col min="20" max="23" width="11.125" customWidth="1"/>
    <col min="24" max="24" width="14.875" bestFit="1" customWidth="1"/>
    <col min="25" max="26" width="14.875" customWidth="1"/>
    <col min="27" max="27" width="11.125" customWidth="1"/>
    <col min="28" max="28" width="14.875" bestFit="1" customWidth="1"/>
    <col min="29" max="33" width="11.125" customWidth="1"/>
    <col min="34" max="34" width="15.75" bestFit="1" customWidth="1"/>
    <col min="35" max="38" width="11.125" customWidth="1"/>
    <col min="39" max="39" width="14.875" bestFit="1" customWidth="1"/>
    <col min="40" max="41" width="14.875" customWidth="1"/>
    <col min="42" max="42" width="11.5" customWidth="1"/>
    <col min="44" max="44" width="4.75" bestFit="1" customWidth="1"/>
    <col min="45" max="45" width="7" bestFit="1" customWidth="1"/>
    <col min="46" max="46" width="10.375" bestFit="1" customWidth="1"/>
    <col min="47" max="47" width="14.375" bestFit="1" customWidth="1"/>
    <col min="48" max="48" width="2.875" bestFit="1" customWidth="1"/>
    <col min="49" max="49" width="6.5" bestFit="1" customWidth="1"/>
    <col min="50" max="51" width="5.5" bestFit="1" customWidth="1"/>
    <col min="52" max="52" width="8.25" bestFit="1" customWidth="1"/>
    <col min="53" max="53" width="20.375" bestFit="1" customWidth="1"/>
    <col min="54" max="54" width="10.375" bestFit="1" customWidth="1"/>
    <col min="56" max="56" width="5.75" bestFit="1" customWidth="1"/>
    <col min="57" max="57" width="14" bestFit="1" customWidth="1"/>
    <col min="58" max="58" width="9.125" bestFit="1" customWidth="1"/>
    <col min="59" max="59" width="7.625" bestFit="1" customWidth="1"/>
    <col min="60" max="60" width="14" bestFit="1" customWidth="1"/>
    <col min="61" max="61" width="5" bestFit="1" customWidth="1"/>
    <col min="62" max="62" width="11.125" bestFit="1" customWidth="1"/>
    <col min="63" max="63" width="11.125" customWidth="1"/>
    <col min="64" max="64" width="15.875" customWidth="1"/>
    <col min="65" max="66" width="14.875" customWidth="1"/>
    <col min="67" max="69" width="11.125" customWidth="1"/>
    <col min="70" max="70" width="14.875" bestFit="1" customWidth="1"/>
    <col min="71" max="73" width="11.125" customWidth="1"/>
    <col min="74" max="74" width="4.75" bestFit="1" customWidth="1"/>
    <col min="75" max="75" width="13.875" bestFit="1" customWidth="1"/>
    <col min="76" max="76" width="5.75" bestFit="1" customWidth="1"/>
    <col min="77" max="77" width="5.75" customWidth="1"/>
    <col min="78" max="78" width="15.875" bestFit="1" customWidth="1"/>
    <col min="79" max="79" width="8" customWidth="1"/>
    <col min="80" max="84" width="9" customWidth="1"/>
    <col min="85" max="85" width="7.5" bestFit="1" customWidth="1"/>
    <col min="86" max="86" width="10.875" bestFit="1" customWidth="1"/>
    <col min="87" max="87" width="7.625" bestFit="1" customWidth="1"/>
    <col min="88" max="88" width="8.5" bestFit="1" customWidth="1"/>
    <col min="89" max="89" width="6.375" bestFit="1" customWidth="1"/>
    <col min="90" max="90" width="9.125" bestFit="1" customWidth="1"/>
    <col min="91" max="91" width="9.125" customWidth="1"/>
    <col min="92" max="92" width="11.875" bestFit="1" customWidth="1"/>
    <col min="93" max="93" width="12" bestFit="1" customWidth="1"/>
    <col min="95" max="96" width="10.875" bestFit="1" customWidth="1"/>
    <col min="97" max="97" width="12.125" bestFit="1" customWidth="1"/>
    <col min="98" max="98" width="10.625" bestFit="1" customWidth="1"/>
    <col min="99" max="99" width="13.875" bestFit="1" customWidth="1"/>
    <col min="100" max="100" width="76.375" bestFit="1" customWidth="1"/>
    <col min="101" max="101" width="10.875" bestFit="1" customWidth="1"/>
    <col min="102" max="102" width="11.375" bestFit="1" customWidth="1"/>
    <col min="103" max="104" width="9.125" customWidth="1"/>
    <col min="105" max="105" width="15.875" bestFit="1" customWidth="1"/>
    <col min="106" max="106" width="10.375" bestFit="1" customWidth="1"/>
    <col min="110" max="110" width="13.25" bestFit="1" customWidth="1"/>
    <col min="112" max="112" width="9.375" customWidth="1"/>
    <col min="113" max="115" width="9" style="38"/>
    <col min="116" max="119" width="13.125" customWidth="1"/>
    <col min="120" max="120" width="13" bestFit="1" customWidth="1"/>
    <col min="121" max="121" width="6" bestFit="1" customWidth="1"/>
    <col min="122" max="122" width="18.625" bestFit="1" customWidth="1"/>
    <col min="123" max="123" width="8.25" bestFit="1" customWidth="1"/>
    <col min="125" max="125" width="5.625" bestFit="1" customWidth="1"/>
    <col min="127" max="127" width="7.625" bestFit="1" customWidth="1"/>
    <col min="128" max="128" width="14.625" bestFit="1" customWidth="1"/>
    <col min="129" max="129" width="9.25" bestFit="1" customWidth="1"/>
    <col min="130" max="130" width="10.75" bestFit="1" customWidth="1"/>
    <col min="132" max="132" width="9.25" bestFit="1" customWidth="1"/>
    <col min="133" max="133" width="10.25" bestFit="1" customWidth="1"/>
    <col min="134" max="134" width="8.875" bestFit="1" customWidth="1"/>
    <col min="135" max="136" width="10.375" bestFit="1" customWidth="1"/>
    <col min="137" max="137" width="9.875" bestFit="1" customWidth="1"/>
    <col min="138" max="138" width="10.375" bestFit="1" customWidth="1"/>
    <col min="139" max="139" width="11.25" bestFit="1" customWidth="1"/>
    <col min="140" max="140" width="8.75" bestFit="1" customWidth="1"/>
    <col min="141" max="141" width="10.25" bestFit="1" customWidth="1"/>
    <col min="142" max="142" width="11.125" bestFit="1" customWidth="1"/>
    <col min="143" max="148" width="3.875" bestFit="1" customWidth="1"/>
    <col min="149" max="149" width="3.875" customWidth="1"/>
    <col min="188" max="188" width="10.875" bestFit="1" customWidth="1"/>
    <col min="190" max="190" width="7" bestFit="1" customWidth="1"/>
    <col min="191" max="191" width="13.125" bestFit="1" customWidth="1"/>
    <col min="192" max="192" width="13.125" customWidth="1"/>
  </cols>
  <sheetData>
    <row r="1" spans="1:194">
      <c r="A1" s="45" t="s">
        <v>0</v>
      </c>
      <c r="B1" s="6" t="s">
        <v>826</v>
      </c>
      <c r="C1" s="68"/>
      <c r="D1" s="68"/>
      <c r="E1" s="75" t="s">
        <v>814</v>
      </c>
      <c r="F1" s="77"/>
      <c r="G1" s="77"/>
      <c r="H1" s="77"/>
      <c r="I1" s="78"/>
      <c r="J1" s="68"/>
      <c r="K1" s="75" t="s">
        <v>829</v>
      </c>
      <c r="L1" s="77"/>
      <c r="M1" s="77"/>
      <c r="N1" s="78"/>
      <c r="O1" s="68"/>
      <c r="P1" s="75" t="s">
        <v>839</v>
      </c>
      <c r="Q1" s="77"/>
      <c r="R1" s="77"/>
      <c r="S1" s="77"/>
      <c r="T1" s="77"/>
      <c r="U1" s="77"/>
      <c r="V1" s="78"/>
      <c r="W1" s="68"/>
      <c r="X1" s="75" t="s">
        <v>857</v>
      </c>
      <c r="Y1" s="76"/>
      <c r="Z1" s="88"/>
      <c r="AA1" s="68"/>
      <c r="AB1" s="75" t="s">
        <v>861</v>
      </c>
      <c r="AC1" s="77"/>
      <c r="AD1" s="77"/>
      <c r="AE1" s="77"/>
      <c r="AF1" s="78"/>
      <c r="AG1" s="68"/>
      <c r="AH1" s="75" t="s">
        <v>865</v>
      </c>
      <c r="AI1" s="77"/>
      <c r="AJ1" s="77"/>
      <c r="AK1" s="78"/>
      <c r="AL1" s="68"/>
      <c r="AM1" s="75" t="s">
        <v>867</v>
      </c>
      <c r="AN1" s="76"/>
      <c r="AO1" s="76"/>
      <c r="AP1" s="78"/>
      <c r="AR1" s="18" t="s">
        <v>139</v>
      </c>
      <c r="AS1" s="16"/>
      <c r="AT1" s="5" t="s">
        <v>32</v>
      </c>
      <c r="AU1" s="5" t="s">
        <v>33</v>
      </c>
      <c r="AV1" s="5"/>
      <c r="AW1" s="5" t="s">
        <v>34</v>
      </c>
      <c r="AX1" s="5" t="s">
        <v>35</v>
      </c>
      <c r="AY1" s="5" t="s">
        <v>36</v>
      </c>
      <c r="AZ1" s="5" t="s">
        <v>37</v>
      </c>
      <c r="BA1" s="5" t="s">
        <v>38</v>
      </c>
      <c r="BB1" s="5" t="s">
        <v>39</v>
      </c>
      <c r="BC1" s="5"/>
      <c r="BD1" s="5" t="s">
        <v>40</v>
      </c>
      <c r="BE1" s="5"/>
      <c r="BF1" s="5" t="s">
        <v>42</v>
      </c>
      <c r="BG1" s="5" t="s">
        <v>43</v>
      </c>
      <c r="BH1" s="5" t="s">
        <v>41</v>
      </c>
      <c r="BI1" s="5" t="s">
        <v>44</v>
      </c>
      <c r="BJ1" s="2" t="s">
        <v>45</v>
      </c>
      <c r="BK1" s="38"/>
      <c r="BL1" s="75" t="s">
        <v>869</v>
      </c>
      <c r="BM1" s="76"/>
      <c r="BN1" s="76"/>
      <c r="BO1" s="37"/>
      <c r="BP1" s="23"/>
      <c r="BQ1" s="38"/>
      <c r="BR1" s="75" t="s">
        <v>873</v>
      </c>
      <c r="BS1" s="37"/>
      <c r="BT1" s="37"/>
      <c r="BU1" s="37"/>
      <c r="BV1" s="69" t="s">
        <v>63</v>
      </c>
      <c r="BW1" s="5" t="s">
        <v>59</v>
      </c>
      <c r="BX1" s="6" t="s">
        <v>60</v>
      </c>
      <c r="BY1" s="38"/>
      <c r="BZ1" s="75" t="s">
        <v>875</v>
      </c>
      <c r="CA1" s="37"/>
      <c r="CB1" s="37"/>
      <c r="CC1" s="37"/>
      <c r="CD1" s="37"/>
      <c r="CE1" s="23"/>
      <c r="CG1" s="75" t="s">
        <v>882</v>
      </c>
      <c r="CH1" s="76"/>
      <c r="CI1" s="37"/>
      <c r="CJ1" s="37"/>
      <c r="CK1" s="37"/>
      <c r="CL1" s="37"/>
      <c r="CM1" s="37"/>
      <c r="CN1" s="45" t="s">
        <v>690</v>
      </c>
      <c r="CO1" s="6"/>
      <c r="CP1" s="37"/>
      <c r="CQ1" s="5" t="s">
        <v>694</v>
      </c>
      <c r="CR1" s="5" t="s">
        <v>693</v>
      </c>
      <c r="CS1" s="5" t="s">
        <v>689</v>
      </c>
      <c r="CT1" s="5" t="s">
        <v>672</v>
      </c>
      <c r="CU1" s="5"/>
      <c r="CV1" s="5"/>
      <c r="CW1" s="5"/>
      <c r="CX1" s="6"/>
      <c r="CZ1" s="38"/>
      <c r="DA1" s="75" t="s">
        <v>885</v>
      </c>
      <c r="DB1" s="37"/>
      <c r="DC1" s="37"/>
      <c r="DD1" s="37"/>
      <c r="DE1" s="37"/>
      <c r="DF1" s="37"/>
      <c r="DG1" s="37"/>
      <c r="DH1" s="23"/>
      <c r="DJ1" s="22" t="s">
        <v>658</v>
      </c>
      <c r="DK1" s="23" t="str">
        <f>IF(SUM('chk13'!C1:C50)&gt;0,"Yes","No")</f>
        <v>Yes</v>
      </c>
      <c r="DM1" s="22" t="s">
        <v>582</v>
      </c>
      <c r="DN1" s="23" t="str">
        <f>IF(titleletter1="C","Yes","No")</f>
        <v>No</v>
      </c>
      <c r="DO1" s="38"/>
      <c r="DP1" s="15" t="s">
        <v>591</v>
      </c>
      <c r="DQ1" s="5" t="str">
        <f>IF(IsView="Yes",IF(isRecordDrawing="Yes","ok","x"),"na")</f>
        <v>ok</v>
      </c>
      <c r="DR1" s="40" t="s">
        <v>607</v>
      </c>
      <c r="DS1" s="2" t="str">
        <f>IF(VLOOKUP("RECORD DRAWING",RevDescriptions,1)="RECORD DRAWING","Yes","No")</f>
        <v>Yes</v>
      </c>
      <c r="DT1" s="4" t="s">
        <v>591</v>
      </c>
      <c r="DU1" s="23"/>
      <c r="DW1" s="15" t="s">
        <v>66</v>
      </c>
      <c r="DX1" s="5" t="s">
        <v>59</v>
      </c>
      <c r="DY1" s="5" t="s">
        <v>126</v>
      </c>
      <c r="DZ1" s="5" t="s">
        <v>127</v>
      </c>
      <c r="EA1" s="5" t="s">
        <v>128</v>
      </c>
      <c r="EB1" s="5" t="s">
        <v>129</v>
      </c>
      <c r="EC1" s="5" t="s">
        <v>130</v>
      </c>
      <c r="ED1" s="5" t="s">
        <v>131</v>
      </c>
      <c r="EE1" s="5" t="s">
        <v>132</v>
      </c>
      <c r="EF1" s="5" t="s">
        <v>133</v>
      </c>
      <c r="EG1" s="5" t="s">
        <v>134</v>
      </c>
      <c r="EH1" s="5" t="s">
        <v>135</v>
      </c>
      <c r="EI1" s="5" t="s">
        <v>136</v>
      </c>
      <c r="EJ1" s="41" t="s">
        <v>659</v>
      </c>
      <c r="EK1" s="44" t="s">
        <v>660</v>
      </c>
      <c r="EL1" s="6" t="s">
        <v>137</v>
      </c>
      <c r="EM1" s="76">
        <v>341</v>
      </c>
      <c r="EN1" s="76">
        <v>342</v>
      </c>
      <c r="EO1" s="76">
        <v>343</v>
      </c>
      <c r="EP1" s="76">
        <v>344</v>
      </c>
      <c r="EQ1" s="76">
        <v>371</v>
      </c>
      <c r="ER1" s="76">
        <v>372</v>
      </c>
      <c r="ES1" s="76"/>
      <c r="ET1" s="37"/>
      <c r="EU1" s="22"/>
      <c r="EV1" s="37"/>
      <c r="EW1" s="5" t="s">
        <v>669</v>
      </c>
      <c r="EX1" s="5" t="s">
        <v>667</v>
      </c>
      <c r="EY1" s="5" t="s">
        <v>663</v>
      </c>
      <c r="EZ1" s="5" t="s">
        <v>666</v>
      </c>
      <c r="FA1" s="5"/>
      <c r="FB1" s="5" t="s">
        <v>661</v>
      </c>
      <c r="FC1" s="5" t="s">
        <v>662</v>
      </c>
      <c r="FD1" s="37"/>
      <c r="FE1" s="37" t="s">
        <v>696</v>
      </c>
      <c r="FF1" s="37" t="s">
        <v>701</v>
      </c>
      <c r="FG1" s="76" t="s">
        <v>702</v>
      </c>
      <c r="FH1" s="37" t="s">
        <v>703</v>
      </c>
      <c r="FI1" s="37" t="s">
        <v>704</v>
      </c>
      <c r="FJ1" s="76" t="s">
        <v>705</v>
      </c>
      <c r="FK1" s="37" t="s">
        <v>706</v>
      </c>
      <c r="FL1" s="37" t="s">
        <v>707</v>
      </c>
      <c r="FM1" s="37" t="s">
        <v>708</v>
      </c>
      <c r="FN1" s="37" t="s">
        <v>709</v>
      </c>
      <c r="FO1" s="37" t="s">
        <v>710</v>
      </c>
      <c r="FP1" s="37" t="s">
        <v>711</v>
      </c>
      <c r="FQ1" s="37" t="s">
        <v>712</v>
      </c>
      <c r="FR1" s="37" t="s">
        <v>713</v>
      </c>
      <c r="FS1" s="76" t="s">
        <v>714</v>
      </c>
      <c r="FT1" s="37" t="s">
        <v>715</v>
      </c>
      <c r="FU1" s="76" t="s">
        <v>716</v>
      </c>
      <c r="FV1" s="76" t="s">
        <v>717</v>
      </c>
      <c r="FW1" s="76" t="s">
        <v>718</v>
      </c>
      <c r="FX1" s="76" t="s">
        <v>719</v>
      </c>
      <c r="FY1" s="37" t="s">
        <v>720</v>
      </c>
      <c r="FZ1" s="76" t="s">
        <v>721</v>
      </c>
      <c r="GA1" s="37" t="s">
        <v>722</v>
      </c>
      <c r="GB1" s="37" t="s">
        <v>723</v>
      </c>
      <c r="GC1" s="37" t="s">
        <v>724</v>
      </c>
      <c r="GD1" s="37" t="s">
        <v>725</v>
      </c>
      <c r="GE1" s="37" t="s">
        <v>726</v>
      </c>
      <c r="GF1" s="88" t="s">
        <v>727</v>
      </c>
      <c r="GH1" s="4" t="s">
        <v>68</v>
      </c>
      <c r="GI1" s="2" t="str">
        <f>IF(SUM(lineTypeError)&gt;0,"x","ok")</f>
        <v>x</v>
      </c>
      <c r="GL1" s="1" t="s">
        <v>70</v>
      </c>
    </row>
    <row r="2" spans="1:194" ht="15" thickBot="1">
      <c r="A2" s="9" t="s">
        <v>138</v>
      </c>
      <c r="B2" s="11"/>
      <c r="C2" s="68"/>
      <c r="D2" s="68"/>
      <c r="E2" s="103" t="s">
        <v>815</v>
      </c>
      <c r="F2" s="104"/>
      <c r="G2" s="104"/>
      <c r="H2" s="104"/>
      <c r="I2" s="105"/>
      <c r="J2" s="68"/>
      <c r="K2" s="79" t="s">
        <v>830</v>
      </c>
      <c r="L2" s="68"/>
      <c r="M2" s="68"/>
      <c r="N2" s="80"/>
      <c r="O2" s="68"/>
      <c r="P2" s="86" t="s">
        <v>840</v>
      </c>
      <c r="Q2" s="68"/>
      <c r="R2" s="68"/>
      <c r="S2" s="68"/>
      <c r="T2" s="68"/>
      <c r="U2" s="68"/>
      <c r="V2" s="80"/>
      <c r="W2" s="68"/>
      <c r="X2" s="79" t="s">
        <v>860</v>
      </c>
      <c r="Y2" s="89"/>
      <c r="Z2" s="90"/>
      <c r="AA2" s="68"/>
      <c r="AB2" s="86" t="s">
        <v>862</v>
      </c>
      <c r="AC2" s="68"/>
      <c r="AD2" s="68"/>
      <c r="AE2" s="68"/>
      <c r="AF2" s="80"/>
      <c r="AG2" s="68"/>
      <c r="AH2" s="79" t="s">
        <v>866</v>
      </c>
      <c r="AI2" s="68"/>
      <c r="AJ2" s="68"/>
      <c r="AK2" s="80"/>
      <c r="AL2" s="68"/>
      <c r="AM2" s="79" t="s">
        <v>868</v>
      </c>
      <c r="AN2" s="89"/>
      <c r="AO2" s="89"/>
      <c r="AP2" s="80"/>
      <c r="AR2" s="19" t="s">
        <v>140</v>
      </c>
      <c r="AS2" s="17" t="s">
        <v>31</v>
      </c>
      <c r="AT2" s="2" t="s">
        <v>82</v>
      </c>
      <c r="AU2" s="2" t="s">
        <v>83</v>
      </c>
      <c r="AV2" s="2">
        <v>12</v>
      </c>
      <c r="AW2" s="2"/>
      <c r="AX2" s="2"/>
      <c r="AY2" s="2" t="s">
        <v>86</v>
      </c>
      <c r="AZ2" s="2" t="s">
        <v>86</v>
      </c>
      <c r="BA2" s="2"/>
      <c r="BB2" s="2"/>
      <c r="BC2" s="2"/>
      <c r="BD2" s="2" t="s">
        <v>85</v>
      </c>
      <c r="BE2" s="2"/>
      <c r="BF2" s="2" t="s">
        <v>84</v>
      </c>
      <c r="BG2" s="2"/>
      <c r="BH2" s="2" t="str">
        <f>IF(LEN(BD2)&gt;2,IF(BD2="0,0,0","No","Yes"),"")</f>
        <v>No</v>
      </c>
      <c r="BI2" s="2"/>
      <c r="BJ2" s="2"/>
      <c r="BK2" s="38"/>
      <c r="BL2" s="79" t="s">
        <v>870</v>
      </c>
      <c r="BM2" s="89"/>
      <c r="BN2" s="89"/>
      <c r="BO2" s="38"/>
      <c r="BP2" s="25"/>
      <c r="BQ2" s="38"/>
      <c r="BR2" s="86" t="s">
        <v>874</v>
      </c>
      <c r="BS2" s="38"/>
      <c r="BT2" s="38"/>
      <c r="BU2" s="38"/>
      <c r="BV2" s="17"/>
      <c r="BW2" s="2">
        <v>0</v>
      </c>
      <c r="BX2" s="8"/>
      <c r="BY2" s="38"/>
      <c r="BZ2" s="86" t="s">
        <v>876</v>
      </c>
      <c r="CA2" s="38"/>
      <c r="CB2" s="38"/>
      <c r="CC2" s="38"/>
      <c r="CD2" s="38"/>
      <c r="CE2" s="25"/>
      <c r="CG2" s="79" t="s">
        <v>883</v>
      </c>
      <c r="CH2" s="38"/>
      <c r="CI2" s="38"/>
      <c r="CJ2" s="38"/>
      <c r="CK2" s="38"/>
      <c r="CL2" s="38"/>
      <c r="CM2" s="38"/>
      <c r="CN2" s="7" t="s">
        <v>99</v>
      </c>
      <c r="CO2" s="8">
        <v>2.38</v>
      </c>
      <c r="CP2" s="38"/>
      <c r="CQ2" s="2">
        <f t="shared" ref="CQ2:CQ33" si="0">IF(ISERROR(CR2-FIXED(CR2,0)),"",CR2-FIXED(CR2,0))</f>
        <v>0.37480314960629924</v>
      </c>
      <c r="CR2" s="2">
        <f t="shared" ref="CR2:CR33" si="1">IF(ISERROR(CT2/CS2),"",CT2/CS2)</f>
        <v>0.37480314960629924</v>
      </c>
      <c r="CS2" s="2">
        <f t="shared" ref="CS2:CS33" si="2">IF(ISERROR(VLOOKUP(CW2,$CN$2:$CO$5,2)),"",VLOOKUP(CW2,$CN$2:$CO$5,2))</f>
        <v>6.35</v>
      </c>
      <c r="CT2" s="2">
        <v>2.38</v>
      </c>
      <c r="CU2" s="2">
        <v>0</v>
      </c>
      <c r="CV2" s="2" t="s">
        <v>673</v>
      </c>
      <c r="CW2" s="2" t="s">
        <v>100</v>
      </c>
      <c r="CX2" s="8" t="s">
        <v>674</v>
      </c>
      <c r="CZ2" s="38"/>
      <c r="DA2" s="86" t="s">
        <v>886</v>
      </c>
      <c r="DB2" s="38"/>
      <c r="DC2" s="38"/>
      <c r="DD2" s="38"/>
      <c r="DE2" s="38"/>
      <c r="DF2" s="38"/>
      <c r="DG2" s="38"/>
      <c r="DH2" s="25"/>
      <c r="DJ2" s="9" t="s">
        <v>769</v>
      </c>
      <c r="DK2" s="97" t="str">
        <f>IF(hasAnnotation="Yes","na","x")</f>
        <v>na</v>
      </c>
      <c r="DM2" s="24" t="s">
        <v>568</v>
      </c>
      <c r="DN2" s="25" t="str">
        <f>IsLayout</f>
        <v>Yes</v>
      </c>
      <c r="DO2" s="38"/>
      <c r="DP2" s="24"/>
      <c r="DQ2" s="38"/>
      <c r="DR2" s="38"/>
      <c r="DS2" s="38"/>
      <c r="DT2" s="38"/>
      <c r="DU2" s="25"/>
      <c r="DW2" s="7" t="s">
        <v>67</v>
      </c>
      <c r="DX2" s="2" t="s">
        <v>99</v>
      </c>
      <c r="DY2" s="2">
        <v>0</v>
      </c>
      <c r="DZ2" s="2">
        <v>1</v>
      </c>
      <c r="EA2" s="2"/>
      <c r="EB2" s="2"/>
      <c r="EC2" s="2"/>
      <c r="ED2" s="2"/>
      <c r="EE2" s="2"/>
      <c r="EF2" s="2"/>
      <c r="EG2" s="2"/>
      <c r="EH2" s="2"/>
      <c r="EI2" s="2"/>
      <c r="EJ2" s="2"/>
      <c r="EK2" s="13"/>
      <c r="EL2" s="8"/>
      <c r="EM2" s="38"/>
      <c r="EN2" s="38"/>
      <c r="EO2" s="38"/>
      <c r="EP2" s="38"/>
      <c r="EQ2" s="38"/>
      <c r="ER2" s="38"/>
      <c r="ES2" s="38"/>
      <c r="ET2" s="38"/>
      <c r="EU2" s="24" t="s">
        <v>668</v>
      </c>
      <c r="EV2" s="38" t="str">
        <f>IF(SUM(EW2:EW14)&gt;0,"No","Yes")</f>
        <v>No</v>
      </c>
      <c r="EW2" s="2" t="str">
        <f t="shared" ref="EW2:EW14" si="3">IF(EX2="No",1,"")</f>
        <v/>
      </c>
      <c r="EX2" s="2" t="str">
        <f t="shared" ref="EX2:EX14" si="4">IF(LEN(FB2)&gt;2,IF(OR(AND(FC2=1,FB2="STANDARD"),FC2=EY2,FC2=EZ2),"Yes","No"),"")</f>
        <v>Yes</v>
      </c>
      <c r="EY2" s="2" t="str">
        <f t="shared" ref="EY2:EY14" si="5">IF(ISERROR(VALUE(REPLACE(FB2,1,8,""))),"",VALUE(REPLACE(FB2,1,8,"")))</f>
        <v/>
      </c>
      <c r="EZ2" s="2" t="str">
        <f t="shared" ref="EZ2:EZ14" si="6">IF(ISERROR(VALUE(REPLACE(FB2,1,9,""))),"",VALUE(REPLACE(FB2,1,9,"")))</f>
        <v/>
      </c>
      <c r="FA2" s="2">
        <v>1</v>
      </c>
      <c r="FB2" s="2" t="str">
        <f t="shared" ref="FB2:FB14" si="7">INDEX(DimStyleNames,FA2)</f>
        <v>STANDARD</v>
      </c>
      <c r="FC2" s="2">
        <f t="shared" ref="FC2:FC14" si="8">INDEX(DimStyleScales,FA2)</f>
        <v>1</v>
      </c>
      <c r="FD2" s="38"/>
      <c r="FE2" s="38"/>
      <c r="FF2" s="38" t="s">
        <v>697</v>
      </c>
      <c r="FG2" s="38">
        <v>256</v>
      </c>
      <c r="FH2" s="38">
        <v>0</v>
      </c>
      <c r="FI2" s="38" t="s">
        <v>698</v>
      </c>
      <c r="FJ2" s="38">
        <v>256</v>
      </c>
      <c r="FK2" s="38">
        <v>1</v>
      </c>
      <c r="FL2" s="38">
        <v>1</v>
      </c>
      <c r="FM2" s="38">
        <v>3</v>
      </c>
      <c r="FN2" s="38">
        <v>0</v>
      </c>
      <c r="FO2" s="38">
        <v>0</v>
      </c>
      <c r="FP2" s="38">
        <v>1</v>
      </c>
      <c r="FQ2" s="38">
        <v>96.28115991107876</v>
      </c>
      <c r="FR2" s="38" t="s">
        <v>699</v>
      </c>
      <c r="FS2" s="38">
        <v>0</v>
      </c>
      <c r="FT2" s="38">
        <v>0</v>
      </c>
      <c r="FU2" s="38">
        <v>0</v>
      </c>
      <c r="FV2" s="38">
        <v>1</v>
      </c>
      <c r="FW2" s="38" t="s">
        <v>99</v>
      </c>
      <c r="FX2" s="38">
        <v>0</v>
      </c>
      <c r="FY2" s="38" t="b">
        <v>0</v>
      </c>
      <c r="FZ2" s="38">
        <v>2.38</v>
      </c>
      <c r="GA2" s="38"/>
      <c r="GB2" s="38"/>
      <c r="GC2" s="38">
        <v>0</v>
      </c>
      <c r="GD2" s="38" t="s">
        <v>99</v>
      </c>
      <c r="GE2" s="38"/>
      <c r="GF2" s="25">
        <v>2</v>
      </c>
    </row>
    <row r="3" spans="1:194">
      <c r="A3" s="38"/>
      <c r="B3" s="38"/>
      <c r="C3" s="68"/>
      <c r="E3" s="24"/>
      <c r="F3" s="38"/>
      <c r="G3" s="38"/>
      <c r="H3" s="38"/>
      <c r="I3" s="25"/>
      <c r="J3" s="38"/>
      <c r="K3" s="24"/>
      <c r="L3" s="38"/>
      <c r="M3" s="38"/>
      <c r="N3" s="25"/>
      <c r="O3" s="38"/>
      <c r="P3" s="86" t="s">
        <v>841</v>
      </c>
      <c r="Q3" s="38"/>
      <c r="R3" s="38"/>
      <c r="S3" s="38"/>
      <c r="T3" s="38"/>
      <c r="U3" s="38"/>
      <c r="V3" s="25"/>
      <c r="W3" s="38"/>
      <c r="X3" s="24"/>
      <c r="Y3" s="38"/>
      <c r="Z3" s="25"/>
      <c r="AA3" s="38"/>
      <c r="AB3" s="86" t="s">
        <v>863</v>
      </c>
      <c r="AC3" s="38"/>
      <c r="AD3" s="38"/>
      <c r="AE3" s="38"/>
      <c r="AF3" s="25"/>
      <c r="AG3" s="38"/>
      <c r="AH3" s="24"/>
      <c r="AI3" s="38"/>
      <c r="AJ3" s="38"/>
      <c r="AK3" s="25"/>
      <c r="AL3" s="38"/>
      <c r="AM3" s="24"/>
      <c r="AN3" s="38"/>
      <c r="AO3" s="38"/>
      <c r="AP3" s="25"/>
      <c r="AR3" s="19" t="s">
        <v>141</v>
      </c>
      <c r="AS3" s="17"/>
      <c r="AT3" s="2" t="s">
        <v>109</v>
      </c>
      <c r="AU3" s="2" t="s">
        <v>110</v>
      </c>
      <c r="AV3" s="2">
        <v>12</v>
      </c>
      <c r="AW3" s="2"/>
      <c r="AX3" s="2"/>
      <c r="AY3" s="2" t="s">
        <v>86</v>
      </c>
      <c r="AZ3" s="2" t="s">
        <v>86</v>
      </c>
      <c r="BA3" s="2"/>
      <c r="BB3" s="2"/>
      <c r="BC3" s="2"/>
      <c r="BD3" s="2" t="s">
        <v>85</v>
      </c>
      <c r="BE3" s="2"/>
      <c r="BF3" s="2" t="s">
        <v>84</v>
      </c>
      <c r="BG3" s="2"/>
      <c r="BH3" s="2" t="str">
        <f t="shared" ref="BH3:BH40" si="9">IF(LEN(BD3)&gt;2,IF(BD3="0,0,0","No","Yes"),"")</f>
        <v>No</v>
      </c>
      <c r="BI3" s="2"/>
      <c r="BJ3" s="2"/>
      <c r="BK3" s="38"/>
      <c r="BL3" s="24"/>
      <c r="BM3" s="38"/>
      <c r="BN3" s="38"/>
      <c r="BO3" s="38"/>
      <c r="BP3" s="25"/>
      <c r="BQ3" s="38"/>
      <c r="BR3" s="24"/>
      <c r="BS3" s="38"/>
      <c r="BT3" s="38"/>
      <c r="BU3" s="38"/>
      <c r="BV3" s="17"/>
      <c r="BW3" s="2" t="s">
        <v>96</v>
      </c>
      <c r="BX3" s="8"/>
      <c r="BY3" s="38"/>
      <c r="BZ3" s="86" t="s">
        <v>878</v>
      </c>
      <c r="CA3" s="95" t="s">
        <v>879</v>
      </c>
      <c r="CB3" s="38"/>
      <c r="CC3" s="38"/>
      <c r="CD3" s="38"/>
      <c r="CE3" s="25"/>
      <c r="CG3" s="24"/>
      <c r="CH3" s="38"/>
      <c r="CI3" s="38"/>
      <c r="CJ3" s="38"/>
      <c r="CK3" s="38"/>
      <c r="CL3" s="38"/>
      <c r="CM3" s="38"/>
      <c r="CN3" s="7" t="s">
        <v>691</v>
      </c>
      <c r="CO3" s="8">
        <v>2.38</v>
      </c>
      <c r="CP3" s="38"/>
      <c r="CQ3" s="2">
        <f t="shared" si="0"/>
        <v>0</v>
      </c>
      <c r="CR3" s="2">
        <f t="shared" si="1"/>
        <v>1</v>
      </c>
      <c r="CS3" s="2">
        <f t="shared" si="2"/>
        <v>2.38</v>
      </c>
      <c r="CT3" s="2">
        <v>2.38</v>
      </c>
      <c r="CU3" s="2" t="s">
        <v>98</v>
      </c>
      <c r="CV3" s="2" t="s">
        <v>675</v>
      </c>
      <c r="CW3" s="2" t="s">
        <v>99</v>
      </c>
      <c r="CX3" s="8" t="s">
        <v>676</v>
      </c>
      <c r="CZ3" s="38"/>
      <c r="DA3" s="96" t="s">
        <v>887</v>
      </c>
      <c r="DB3" s="38"/>
      <c r="DC3" s="38"/>
      <c r="DD3" s="38"/>
      <c r="DE3" s="38"/>
      <c r="DF3" s="38"/>
      <c r="DG3" s="38"/>
      <c r="DH3" s="25"/>
      <c r="DM3" s="24" t="s">
        <v>583</v>
      </c>
      <c r="DN3" s="25" t="str">
        <f>IsEnlarged</f>
        <v>No</v>
      </c>
      <c r="DO3" s="38"/>
      <c r="DP3" s="15" t="s">
        <v>591</v>
      </c>
      <c r="DQ3" s="41" t="s">
        <v>592</v>
      </c>
      <c r="DR3" s="41" t="s">
        <v>593</v>
      </c>
      <c r="DS3" s="41" t="s">
        <v>594</v>
      </c>
      <c r="DT3" s="41" t="s">
        <v>595</v>
      </c>
      <c r="DU3" s="42" t="s">
        <v>596</v>
      </c>
      <c r="DW3" s="7"/>
      <c r="DX3" s="2" t="s">
        <v>664</v>
      </c>
      <c r="DY3" s="2"/>
      <c r="DZ3" s="2">
        <v>100</v>
      </c>
      <c r="EA3" s="2"/>
      <c r="EB3" s="2"/>
      <c r="EC3" s="2"/>
      <c r="ED3" s="2"/>
      <c r="EE3" s="2"/>
      <c r="EF3" s="2"/>
      <c r="EG3" s="2"/>
      <c r="EH3" s="2"/>
      <c r="EI3" s="2"/>
      <c r="EJ3" s="2"/>
      <c r="EK3" s="13"/>
      <c r="EL3" s="8"/>
      <c r="EM3" s="38"/>
      <c r="EN3" s="38"/>
      <c r="EO3" s="38"/>
      <c r="EP3" s="38"/>
      <c r="EQ3" s="38"/>
      <c r="ER3" s="38"/>
      <c r="ES3" s="38"/>
      <c r="ET3" s="38"/>
      <c r="EU3" s="7" t="s">
        <v>66</v>
      </c>
      <c r="EV3" s="4" t="str">
        <f>IF(dimScaleOk="No","x","ok")</f>
        <v>x</v>
      </c>
      <c r="EW3" s="2" t="str">
        <f t="shared" si="3"/>
        <v/>
      </c>
      <c r="EX3" s="2" t="str">
        <f t="shared" si="4"/>
        <v>Yes</v>
      </c>
      <c r="EY3" s="2">
        <f t="shared" si="5"/>
        <v>100</v>
      </c>
      <c r="EZ3" s="2">
        <f t="shared" si="6"/>
        <v>0</v>
      </c>
      <c r="FA3" s="2">
        <v>2</v>
      </c>
      <c r="FB3" s="2" t="str">
        <f t="shared" si="7"/>
        <v>STANDARD100</v>
      </c>
      <c r="FC3" s="2">
        <f t="shared" si="8"/>
        <v>100</v>
      </c>
      <c r="FD3" s="38"/>
      <c r="FE3" s="38"/>
      <c r="FF3" s="38" t="s">
        <v>697</v>
      </c>
      <c r="FG3" s="38">
        <v>256</v>
      </c>
      <c r="FH3" s="38">
        <v>0</v>
      </c>
      <c r="FI3" s="38" t="s">
        <v>698</v>
      </c>
      <c r="FJ3" s="38">
        <v>256</v>
      </c>
      <c r="FK3" s="38">
        <v>1</v>
      </c>
      <c r="FL3" s="38">
        <v>1</v>
      </c>
      <c r="FM3" s="38">
        <v>3</v>
      </c>
      <c r="FN3" s="38">
        <v>0</v>
      </c>
      <c r="FO3" s="38">
        <v>0</v>
      </c>
      <c r="FP3" s="38">
        <v>1</v>
      </c>
      <c r="FQ3" s="38">
        <v>200.71435459544273</v>
      </c>
      <c r="FR3" s="38" t="s">
        <v>700</v>
      </c>
      <c r="FS3" s="38">
        <v>0</v>
      </c>
      <c r="FT3" s="38">
        <v>0</v>
      </c>
      <c r="FU3" s="38">
        <v>0</v>
      </c>
      <c r="FV3" s="38">
        <v>1</v>
      </c>
      <c r="FW3" s="38" t="s">
        <v>99</v>
      </c>
      <c r="FX3" s="38">
        <v>0</v>
      </c>
      <c r="FY3" s="38" t="b">
        <v>0</v>
      </c>
      <c r="FZ3" s="38">
        <v>2.38</v>
      </c>
      <c r="GA3" s="38"/>
      <c r="GB3" s="38"/>
      <c r="GC3" s="38">
        <v>0</v>
      </c>
      <c r="GD3" s="38" t="s">
        <v>99</v>
      </c>
      <c r="GE3" s="38"/>
      <c r="GF3" s="25">
        <v>2</v>
      </c>
      <c r="GH3" s="15" t="s">
        <v>68</v>
      </c>
      <c r="GI3" s="5" t="s">
        <v>59</v>
      </c>
      <c r="GJ3" s="6" t="s">
        <v>771</v>
      </c>
    </row>
    <row r="4" spans="1:194" ht="15" thickBot="1">
      <c r="A4" s="38"/>
      <c r="B4" s="38"/>
      <c r="C4" s="68"/>
      <c r="E4" s="21" t="str">
        <f>thisdwg</f>
        <v>KST-2-F-.dwg</v>
      </c>
      <c r="F4" s="38"/>
      <c r="G4" s="38"/>
      <c r="H4" s="38"/>
      <c r="I4" s="25"/>
      <c r="J4" s="38"/>
      <c r="K4" s="7" t="s">
        <v>1</v>
      </c>
      <c r="L4" s="2">
        <v>0</v>
      </c>
      <c r="M4" s="38"/>
      <c r="N4" s="25"/>
      <c r="O4" s="38"/>
      <c r="P4" s="86" t="s">
        <v>842</v>
      </c>
      <c r="Q4" s="38"/>
      <c r="R4" s="38"/>
      <c r="S4" s="38"/>
      <c r="T4" s="38"/>
      <c r="U4" s="38"/>
      <c r="V4" s="25"/>
      <c r="W4" s="38"/>
      <c r="X4" s="24" t="s">
        <v>859</v>
      </c>
      <c r="Y4" s="38" t="str">
        <f>IsEnlarged</f>
        <v>No</v>
      </c>
      <c r="Z4" s="25"/>
      <c r="AA4" s="38"/>
      <c r="AB4" s="86" t="s">
        <v>864</v>
      </c>
      <c r="AC4" s="38"/>
      <c r="AD4" s="38"/>
      <c r="AE4" s="38"/>
      <c r="AF4" s="25"/>
      <c r="AG4" s="38"/>
      <c r="AH4" s="93" t="s">
        <v>670</v>
      </c>
      <c r="AI4" s="2" t="str">
        <f>IF(ISERROR(VLOOKUP("Yes",originRange,1,FALSE)),"No",IF(VLOOKUP("Yes",originRange,1,FALSE)="Yes","Yes","No"))</f>
        <v>No</v>
      </c>
      <c r="AJ4" s="40"/>
      <c r="AK4" s="25"/>
      <c r="AL4" s="38"/>
      <c r="AM4" s="93" t="s">
        <v>671</v>
      </c>
      <c r="AN4" s="40" t="str">
        <f>IF(ISERROR(VLOOKUP("Yes",pathRange,1,FALSE)),"No",IF(VLOOKUP("Yes",pathRange,1,FALSE)="Yes","Yes","No"))</f>
        <v>No</v>
      </c>
      <c r="AO4" s="4" t="s">
        <v>142</v>
      </c>
      <c r="AP4" s="25"/>
      <c r="AR4" s="20" t="s">
        <v>142</v>
      </c>
      <c r="AS4" s="17"/>
      <c r="AT4" s="2" t="s">
        <v>111</v>
      </c>
      <c r="AU4" s="2" t="s">
        <v>112</v>
      </c>
      <c r="AV4" s="2">
        <v>12</v>
      </c>
      <c r="AW4" s="2"/>
      <c r="AX4" s="2"/>
      <c r="AY4" s="2" t="s">
        <v>86</v>
      </c>
      <c r="AZ4" s="2" t="s">
        <v>86</v>
      </c>
      <c r="BA4" s="2"/>
      <c r="BB4" s="2"/>
      <c r="BC4" s="2"/>
      <c r="BD4" s="2" t="s">
        <v>85</v>
      </c>
      <c r="BE4" s="2"/>
      <c r="BF4" s="2" t="s">
        <v>84</v>
      </c>
      <c r="BG4" s="2"/>
      <c r="BH4" s="2" t="str">
        <f t="shared" si="9"/>
        <v>No</v>
      </c>
      <c r="BI4" s="2"/>
      <c r="BJ4" s="2"/>
      <c r="BK4" s="38"/>
      <c r="BL4" s="7" t="s">
        <v>47</v>
      </c>
      <c r="BM4" s="2">
        <v>2</v>
      </c>
      <c r="BN4" s="40"/>
      <c r="BO4" s="38"/>
      <c r="BP4" s="25"/>
      <c r="BQ4" s="38"/>
      <c r="BR4" s="94" t="s">
        <v>63</v>
      </c>
      <c r="BS4" s="2" t="s">
        <v>72</v>
      </c>
      <c r="BT4" s="38"/>
      <c r="BU4" s="38"/>
      <c r="BV4" s="17"/>
      <c r="BW4" s="2" t="s">
        <v>71</v>
      </c>
      <c r="BX4" s="8"/>
      <c r="BY4" s="38"/>
      <c r="BZ4" s="24"/>
      <c r="CA4" s="95" t="s">
        <v>877</v>
      </c>
      <c r="CB4" s="38"/>
      <c r="CC4" s="38"/>
      <c r="CD4" s="38"/>
      <c r="CE4" s="25"/>
      <c r="CG4" s="24"/>
      <c r="CH4" s="38"/>
      <c r="CI4" s="38"/>
      <c r="CJ4" s="38"/>
      <c r="CK4" s="38"/>
      <c r="CL4" s="38"/>
      <c r="CM4" s="38"/>
      <c r="CN4" s="7" t="s">
        <v>692</v>
      </c>
      <c r="CO4" s="8">
        <v>4.76</v>
      </c>
      <c r="CP4" s="38"/>
      <c r="CQ4" s="2">
        <f t="shared" si="0"/>
        <v>0</v>
      </c>
      <c r="CR4" s="2">
        <f t="shared" si="1"/>
        <v>1</v>
      </c>
      <c r="CS4" s="2">
        <f t="shared" si="2"/>
        <v>2.38</v>
      </c>
      <c r="CT4" s="2">
        <v>2.38</v>
      </c>
      <c r="CU4" s="2" t="s">
        <v>98</v>
      </c>
      <c r="CV4" s="2" t="s">
        <v>677</v>
      </c>
      <c r="CW4" s="2" t="s">
        <v>99</v>
      </c>
      <c r="CX4" s="8" t="s">
        <v>676</v>
      </c>
      <c r="CZ4" s="38"/>
      <c r="DA4" s="24"/>
      <c r="DB4" s="38"/>
      <c r="DC4" s="38"/>
      <c r="DD4" s="38"/>
      <c r="DE4" s="38"/>
      <c r="DF4" s="38"/>
      <c r="DG4" s="38"/>
      <c r="DH4" s="25"/>
      <c r="DM4" s="24" t="s">
        <v>584</v>
      </c>
      <c r="DN4" s="25" t="str">
        <f>IF(northarrowqty=1,"Yes","No")</f>
        <v>Yes</v>
      </c>
      <c r="DO4" s="38"/>
      <c r="DP4" s="7" t="s">
        <v>597</v>
      </c>
      <c r="DQ4" s="2"/>
      <c r="DR4" s="2"/>
      <c r="DS4" s="2"/>
      <c r="DT4" s="43"/>
      <c r="DU4" s="8"/>
      <c r="DW4" s="7"/>
      <c r="DX4" s="2" t="s">
        <v>665</v>
      </c>
      <c r="DY4" s="2"/>
      <c r="DZ4" s="2">
        <v>150</v>
      </c>
      <c r="EA4" s="2"/>
      <c r="EB4" s="2"/>
      <c r="EC4" s="2"/>
      <c r="ED4" s="2"/>
      <c r="EE4" s="2"/>
      <c r="EF4" s="2"/>
      <c r="EG4" s="2"/>
      <c r="EH4" s="2"/>
      <c r="EI4" s="2"/>
      <c r="EJ4" s="2"/>
      <c r="EK4" s="13"/>
      <c r="EL4" s="8"/>
      <c r="EM4" s="38"/>
      <c r="EN4" s="38"/>
      <c r="EO4" s="38"/>
      <c r="EP4" s="38"/>
      <c r="EQ4" s="38"/>
      <c r="ER4" s="38"/>
      <c r="ES4" s="38"/>
      <c r="ET4" s="38"/>
      <c r="EU4" s="24"/>
      <c r="EV4" s="38"/>
      <c r="EW4" s="2">
        <f t="shared" si="3"/>
        <v>1</v>
      </c>
      <c r="EX4" s="2" t="str">
        <f t="shared" si="4"/>
        <v>No</v>
      </c>
      <c r="EY4" s="2">
        <f t="shared" si="5"/>
        <v>-200</v>
      </c>
      <c r="EZ4" s="2">
        <f t="shared" si="6"/>
        <v>200</v>
      </c>
      <c r="FA4" s="2">
        <v>3</v>
      </c>
      <c r="FB4" s="2" t="str">
        <f t="shared" si="7"/>
        <v>STANDARD-200</v>
      </c>
      <c r="FC4" s="2">
        <f t="shared" si="8"/>
        <v>150</v>
      </c>
      <c r="FD4" s="38"/>
      <c r="FE4" s="38"/>
      <c r="FF4" s="38" t="s">
        <v>697</v>
      </c>
      <c r="FG4" s="38">
        <v>256</v>
      </c>
      <c r="FH4" s="38">
        <v>0</v>
      </c>
      <c r="FI4" s="38" t="s">
        <v>698</v>
      </c>
      <c r="FJ4" s="38">
        <v>256</v>
      </c>
      <c r="FK4" s="38">
        <v>1</v>
      </c>
      <c r="FL4" s="38">
        <v>1</v>
      </c>
      <c r="FM4" s="38">
        <v>3</v>
      </c>
      <c r="FN4" s="38">
        <v>0</v>
      </c>
      <c r="FO4" s="38">
        <v>0</v>
      </c>
      <c r="FP4" s="38">
        <v>1</v>
      </c>
      <c r="FQ4" s="38">
        <v>302.69769007975628</v>
      </c>
      <c r="FR4" s="38" t="s">
        <v>699</v>
      </c>
      <c r="FS4" s="38">
        <v>0</v>
      </c>
      <c r="FT4" s="38">
        <v>0</v>
      </c>
      <c r="FU4" s="38">
        <v>0</v>
      </c>
      <c r="FV4" s="38">
        <v>1</v>
      </c>
      <c r="FW4" s="38" t="s">
        <v>99</v>
      </c>
      <c r="FX4" s="38">
        <v>0</v>
      </c>
      <c r="FY4" s="38" t="b">
        <v>0</v>
      </c>
      <c r="FZ4" s="38">
        <v>2.38</v>
      </c>
      <c r="GA4" s="38"/>
      <c r="GB4" s="38"/>
      <c r="GC4" s="38">
        <v>0</v>
      </c>
      <c r="GD4" s="38" t="s">
        <v>99</v>
      </c>
      <c r="GE4" s="38"/>
      <c r="GF4" s="25">
        <v>2</v>
      </c>
      <c r="GH4" s="7" t="s">
        <v>69</v>
      </c>
      <c r="GI4" s="2" t="s">
        <v>123</v>
      </c>
      <c r="GJ4" s="8">
        <f t="shared" ref="GJ4:GJ39" si="10">IF(ISERROR(MATCH(GI4,allowedLineTypes,0)),IF(LEN(GI4)&gt;0,1,""),IF(MATCH(GI4,allowedLineTypes,0)&gt;0,0,1))</f>
        <v>0</v>
      </c>
    </row>
    <row r="5" spans="1:194" ht="15" thickBot="1">
      <c r="A5" s="38"/>
      <c r="B5" s="38"/>
      <c r="C5" s="68"/>
      <c r="E5" s="22" t="str">
        <f>REPLACE(thisdwg,FIND(".dwg",thisdwg),4,"")</f>
        <v>KST-2-F-</v>
      </c>
      <c r="F5" s="23"/>
      <c r="G5" s="22" t="s">
        <v>816</v>
      </c>
      <c r="H5" s="37"/>
      <c r="I5" s="23"/>
      <c r="J5" s="38"/>
      <c r="K5" s="7" t="s">
        <v>2</v>
      </c>
      <c r="L5" s="2">
        <v>1</v>
      </c>
      <c r="M5" s="38"/>
      <c r="N5" s="25"/>
      <c r="O5" s="38"/>
      <c r="P5" s="24"/>
      <c r="Q5" s="38"/>
      <c r="R5" s="38"/>
      <c r="S5" s="38"/>
      <c r="T5" s="38"/>
      <c r="U5" s="38"/>
      <c r="V5" s="25"/>
      <c r="W5" s="38"/>
      <c r="X5" s="24" t="s">
        <v>162</v>
      </c>
      <c r="Y5" s="38" t="str">
        <f>IsLayout</f>
        <v>Yes</v>
      </c>
      <c r="Z5" s="25"/>
      <c r="AA5" s="38"/>
      <c r="AB5" s="24"/>
      <c r="AC5" s="38"/>
      <c r="AD5" s="38"/>
      <c r="AE5" s="38"/>
      <c r="AF5" s="25"/>
      <c r="AG5" s="38"/>
      <c r="AH5" s="94" t="s">
        <v>141</v>
      </c>
      <c r="AI5" s="2" t="str">
        <f>IF(IsView="Yes",IF(hasOriginProblem="Yes","x","ok"),"na")</f>
        <v>ok</v>
      </c>
      <c r="AJ5" s="38"/>
      <c r="AK5" s="25"/>
      <c r="AL5" s="38"/>
      <c r="AM5" s="94" t="s">
        <v>142</v>
      </c>
      <c r="AN5" s="2" t="str">
        <f>IF(hasPathProblem="Yes","x","ok")</f>
        <v>ok</v>
      </c>
      <c r="AO5" s="38"/>
      <c r="AP5" s="25"/>
      <c r="AS5" s="7"/>
      <c r="AT5" s="2" t="s">
        <v>113</v>
      </c>
      <c r="AU5" s="2" t="s">
        <v>114</v>
      </c>
      <c r="AV5" s="2">
        <v>12</v>
      </c>
      <c r="AW5" s="2"/>
      <c r="AX5" s="2"/>
      <c r="AY5" s="2" t="s">
        <v>86</v>
      </c>
      <c r="AZ5" s="2" t="s">
        <v>86</v>
      </c>
      <c r="BA5" s="2"/>
      <c r="BB5" s="2"/>
      <c r="BC5" s="2"/>
      <c r="BD5" s="2" t="s">
        <v>85</v>
      </c>
      <c r="BE5" s="2"/>
      <c r="BF5" s="2" t="s">
        <v>84</v>
      </c>
      <c r="BG5" s="2"/>
      <c r="BH5" s="2" t="str">
        <f t="shared" si="9"/>
        <v>No</v>
      </c>
      <c r="BI5" s="2"/>
      <c r="BJ5" s="2"/>
      <c r="BK5" s="38"/>
      <c r="BL5" s="94" t="s">
        <v>46</v>
      </c>
      <c r="BM5" s="2" t="str">
        <f>IF(layer0ents&gt;0,"x","ok")</f>
        <v>x</v>
      </c>
      <c r="BN5" s="38"/>
      <c r="BO5" s="38"/>
      <c r="BP5" s="25"/>
      <c r="BQ5" s="38"/>
      <c r="BR5" s="24"/>
      <c r="BS5" s="38"/>
      <c r="BT5" s="38"/>
      <c r="BU5" s="38"/>
      <c r="BV5" s="17"/>
      <c r="BW5" s="2" t="s">
        <v>97</v>
      </c>
      <c r="BX5" s="8"/>
      <c r="BY5" s="38"/>
      <c r="BZ5" s="24"/>
      <c r="CA5" s="38"/>
      <c r="CB5" s="38"/>
      <c r="CC5" s="38"/>
      <c r="CD5" s="38"/>
      <c r="CE5" s="25"/>
      <c r="CG5" s="15" t="s">
        <v>61</v>
      </c>
      <c r="CH5" s="5" t="s">
        <v>59</v>
      </c>
      <c r="CI5" s="5" t="s">
        <v>101</v>
      </c>
      <c r="CJ5" s="5" t="s">
        <v>102</v>
      </c>
      <c r="CK5" s="5" t="s">
        <v>103</v>
      </c>
      <c r="CL5" s="12" t="s">
        <v>104</v>
      </c>
      <c r="CM5" s="38"/>
      <c r="CN5" s="9" t="s">
        <v>100</v>
      </c>
      <c r="CO5" s="11">
        <v>6.35</v>
      </c>
      <c r="CP5" s="38"/>
      <c r="CQ5" s="2">
        <f t="shared" si="0"/>
        <v>0</v>
      </c>
      <c r="CR5" s="2">
        <f t="shared" si="1"/>
        <v>1</v>
      </c>
      <c r="CS5" s="2">
        <f t="shared" si="2"/>
        <v>2.38</v>
      </c>
      <c r="CT5" s="2">
        <v>2.38</v>
      </c>
      <c r="CU5" s="2" t="s">
        <v>98</v>
      </c>
      <c r="CV5" s="2" t="s">
        <v>678</v>
      </c>
      <c r="CW5" s="2" t="s">
        <v>99</v>
      </c>
      <c r="CX5" s="8" t="s">
        <v>676</v>
      </c>
      <c r="CY5" s="38"/>
      <c r="CZ5" s="38"/>
      <c r="DA5" s="24"/>
      <c r="DB5" s="38"/>
      <c r="DC5" s="38"/>
      <c r="DD5" s="38"/>
      <c r="DE5" s="4" t="s">
        <v>64</v>
      </c>
      <c r="DF5" s="2" t="str">
        <f>IF(OR(hasBindError&gt;0,hasDollarError&gt;0),"x","-")</f>
        <v>x</v>
      </c>
      <c r="DG5" s="38"/>
      <c r="DH5" s="25"/>
      <c r="DL5" s="38"/>
      <c r="DM5" s="24" t="s">
        <v>585</v>
      </c>
      <c r="DN5" s="25" t="str">
        <f>IF(OR(AND(IsCivil="Yes",OR(northarrowangle=0,northarrowangle=90)),AND(IsCivil="No",northarrowangle=90)),"Yes","No")</f>
        <v>Yes</v>
      </c>
      <c r="DO5" s="38"/>
      <c r="DP5" s="7" t="s">
        <v>598</v>
      </c>
      <c r="DQ5" s="2"/>
      <c r="DR5" s="2"/>
      <c r="DS5" s="2"/>
      <c r="DT5" s="2"/>
      <c r="DU5" s="8"/>
      <c r="DW5" s="7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13"/>
      <c r="EL5" s="8"/>
      <c r="EM5" s="38"/>
      <c r="EN5" s="38"/>
      <c r="EO5" s="38"/>
      <c r="EP5" s="38"/>
      <c r="EQ5" s="38"/>
      <c r="ER5" s="38"/>
      <c r="ES5" s="38"/>
      <c r="ET5" s="38"/>
      <c r="EU5" s="24"/>
      <c r="EV5" s="38"/>
      <c r="EW5" s="2" t="str">
        <f t="shared" si="3"/>
        <v/>
      </c>
      <c r="EX5" s="2" t="str">
        <f t="shared" si="4"/>
        <v/>
      </c>
      <c r="EY5" s="2" t="str">
        <f t="shared" si="5"/>
        <v/>
      </c>
      <c r="EZ5" s="2" t="str">
        <f t="shared" si="6"/>
        <v/>
      </c>
      <c r="FA5" s="2">
        <v>4</v>
      </c>
      <c r="FB5" s="2">
        <f t="shared" si="7"/>
        <v>0</v>
      </c>
      <c r="FC5" s="2">
        <f t="shared" si="8"/>
        <v>0</v>
      </c>
      <c r="FD5" s="38"/>
      <c r="FE5" s="38"/>
      <c r="FF5" s="38" t="s">
        <v>697</v>
      </c>
      <c r="FG5" s="38">
        <v>256</v>
      </c>
      <c r="FH5" s="38">
        <v>0</v>
      </c>
      <c r="FI5" s="38" t="s">
        <v>698</v>
      </c>
      <c r="FJ5" s="38">
        <v>256</v>
      </c>
      <c r="FK5" s="38">
        <v>1</v>
      </c>
      <c r="FL5" s="38">
        <v>1</v>
      </c>
      <c r="FM5" s="38">
        <v>3</v>
      </c>
      <c r="FN5" s="38">
        <v>0</v>
      </c>
      <c r="FO5" s="38">
        <v>0</v>
      </c>
      <c r="FP5" s="38">
        <v>1</v>
      </c>
      <c r="FQ5" s="38">
        <v>371.25770180277982</v>
      </c>
      <c r="FR5" s="38" t="s">
        <v>699</v>
      </c>
      <c r="FS5" s="38">
        <v>0</v>
      </c>
      <c r="FT5" s="38">
        <v>0</v>
      </c>
      <c r="FU5" s="38">
        <v>0</v>
      </c>
      <c r="FV5" s="38">
        <v>1</v>
      </c>
      <c r="FW5" s="38" t="s">
        <v>99</v>
      </c>
      <c r="FX5" s="38">
        <v>0</v>
      </c>
      <c r="FY5" s="38" t="b">
        <v>0</v>
      </c>
      <c r="FZ5" s="38">
        <v>2.38</v>
      </c>
      <c r="GA5" s="38"/>
      <c r="GB5" s="38"/>
      <c r="GC5" s="38">
        <v>0</v>
      </c>
      <c r="GD5" s="38" t="s">
        <v>99</v>
      </c>
      <c r="GE5" s="38"/>
      <c r="GF5" s="25">
        <v>2</v>
      </c>
      <c r="GH5" s="7"/>
      <c r="GI5" s="2" t="s">
        <v>124</v>
      </c>
      <c r="GJ5" s="8">
        <f t="shared" si="10"/>
        <v>0</v>
      </c>
    </row>
    <row r="6" spans="1:194" ht="15" thickBot="1">
      <c r="A6" s="38"/>
      <c r="B6" s="38"/>
      <c r="C6" s="68"/>
      <c r="D6" s="38"/>
      <c r="E6" s="24" t="s">
        <v>143</v>
      </c>
      <c r="F6" s="25" t="str">
        <f>MID(thisdwg,1,1)</f>
        <v>K</v>
      </c>
      <c r="G6" s="74" t="s">
        <v>817</v>
      </c>
      <c r="H6" s="38" t="str">
        <f>IF(IsLayout="Yes","a layout","a non-layout")</f>
        <v>a layout</v>
      </c>
      <c r="I6" s="25" t="s">
        <v>818</v>
      </c>
      <c r="J6" s="38"/>
      <c r="K6" s="7" t="s">
        <v>3</v>
      </c>
      <c r="L6" s="3" t="str">
        <f>IF(titleqtymodel+titleqtypaper&lt;2,"Yes","No")</f>
        <v>Yes</v>
      </c>
      <c r="M6" s="38"/>
      <c r="N6" s="25"/>
      <c r="O6" s="38"/>
      <c r="P6" s="24"/>
      <c r="Q6" s="38"/>
      <c r="R6" s="38"/>
      <c r="S6" s="38"/>
      <c r="T6" s="38"/>
      <c r="U6" s="38"/>
      <c r="V6" s="25"/>
      <c r="W6" s="38"/>
      <c r="X6" s="24" t="s">
        <v>858</v>
      </c>
      <c r="Y6" s="38" t="str">
        <f>IF(COUNTIF(xrefnames,"*")&gt;0,"Yes","No")</f>
        <v>Yes</v>
      </c>
      <c r="Z6" s="25"/>
      <c r="AA6" s="38"/>
      <c r="AB6" s="24"/>
      <c r="AC6" s="38"/>
      <c r="AD6" s="38"/>
      <c r="AE6" s="38"/>
      <c r="AF6" s="25"/>
      <c r="AG6" s="38"/>
      <c r="AH6" s="26"/>
      <c r="AI6" s="39"/>
      <c r="AJ6" s="39"/>
      <c r="AK6" s="27"/>
      <c r="AL6" s="38"/>
      <c r="AM6" s="26"/>
      <c r="AN6" s="39"/>
      <c r="AO6" s="39"/>
      <c r="AP6" s="27"/>
      <c r="AS6" s="7"/>
      <c r="AT6" s="2" t="s">
        <v>115</v>
      </c>
      <c r="AU6" s="2" t="s">
        <v>116</v>
      </c>
      <c r="AV6" s="2">
        <v>12</v>
      </c>
      <c r="AW6" s="2"/>
      <c r="AX6" s="2"/>
      <c r="AY6" s="2" t="s">
        <v>86</v>
      </c>
      <c r="AZ6" s="2" t="s">
        <v>86</v>
      </c>
      <c r="BA6" s="2"/>
      <c r="BB6" s="2"/>
      <c r="BC6" s="2"/>
      <c r="BD6" s="2" t="s">
        <v>85</v>
      </c>
      <c r="BE6" s="2"/>
      <c r="BF6" s="2" t="s">
        <v>84</v>
      </c>
      <c r="BG6" s="2"/>
      <c r="BH6" s="2" t="str">
        <f t="shared" si="9"/>
        <v>No</v>
      </c>
      <c r="BI6" s="2"/>
      <c r="BJ6" s="2"/>
      <c r="BK6" s="38"/>
      <c r="BL6" s="24"/>
      <c r="BM6" s="38"/>
      <c r="BN6" s="38"/>
      <c r="BO6" s="38"/>
      <c r="BP6" s="25"/>
      <c r="BQ6" s="38"/>
      <c r="BR6" s="24"/>
      <c r="BS6" s="38"/>
      <c r="BT6" s="38"/>
      <c r="BU6" s="38"/>
      <c r="BV6" s="17"/>
      <c r="BW6" s="2" t="s">
        <v>98</v>
      </c>
      <c r="BX6" s="8"/>
      <c r="BY6" s="38"/>
      <c r="BZ6" s="24" t="s">
        <v>880</v>
      </c>
      <c r="CA6" s="38" t="str">
        <f>IsLayout</f>
        <v>Yes</v>
      </c>
      <c r="CB6" s="38"/>
      <c r="CC6" s="38"/>
      <c r="CD6" s="38"/>
      <c r="CE6" s="25"/>
      <c r="CG6" s="7" t="s">
        <v>62</v>
      </c>
      <c r="CH6" s="2" t="s">
        <v>99</v>
      </c>
      <c r="CI6" s="2"/>
      <c r="CJ6" s="2" t="s">
        <v>105</v>
      </c>
      <c r="CK6" s="2">
        <v>0</v>
      </c>
      <c r="CL6" s="13">
        <v>1</v>
      </c>
      <c r="CM6" s="38"/>
      <c r="CN6" s="38"/>
      <c r="CO6" s="38"/>
      <c r="CP6" s="38"/>
      <c r="CQ6" s="2">
        <f t="shared" si="0"/>
        <v>0</v>
      </c>
      <c r="CR6" s="2">
        <f t="shared" si="1"/>
        <v>1</v>
      </c>
      <c r="CS6" s="2">
        <f t="shared" si="2"/>
        <v>2.38</v>
      </c>
      <c r="CT6" s="2">
        <v>2.38</v>
      </c>
      <c r="CU6" s="2" t="s">
        <v>98</v>
      </c>
      <c r="CV6" s="2" t="s">
        <v>679</v>
      </c>
      <c r="CW6" s="2" t="s">
        <v>99</v>
      </c>
      <c r="CX6" s="8" t="s">
        <v>676</v>
      </c>
      <c r="CY6" s="38"/>
      <c r="CZ6" s="38"/>
      <c r="DA6" s="15" t="s">
        <v>64</v>
      </c>
      <c r="DB6" s="5" t="s">
        <v>59</v>
      </c>
      <c r="DC6" s="12"/>
      <c r="DD6" s="38">
        <f>SUM(DD7:DD45)</f>
        <v>1</v>
      </c>
      <c r="DE6" s="38">
        <f>SUM(DE7:DE45)</f>
        <v>1</v>
      </c>
      <c r="DF6" t="s">
        <v>889</v>
      </c>
      <c r="DG6" s="38" t="str">
        <f>IF(hasBindError&gt;0,"Yes","No")</f>
        <v>Yes</v>
      </c>
      <c r="DH6" s="25"/>
      <c r="DL6" s="38"/>
      <c r="DM6" s="24"/>
      <c r="DN6" s="25"/>
      <c r="DO6" s="38"/>
      <c r="DP6" s="7" t="s">
        <v>599</v>
      </c>
      <c r="DQ6" s="2"/>
      <c r="DR6" s="2"/>
      <c r="DS6" s="2"/>
      <c r="DT6" s="2"/>
      <c r="DU6" s="8"/>
      <c r="DW6" s="7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13"/>
      <c r="EL6" s="8"/>
      <c r="EM6" s="38"/>
      <c r="EN6" s="38"/>
      <c r="EO6" s="38"/>
      <c r="EP6" s="38"/>
      <c r="EQ6" s="38"/>
      <c r="ER6" s="38"/>
      <c r="ES6" s="38"/>
      <c r="ET6" s="38"/>
      <c r="EU6" s="24"/>
      <c r="EV6" s="38"/>
      <c r="EW6" s="2" t="str">
        <f t="shared" si="3"/>
        <v/>
      </c>
      <c r="EX6" s="2" t="str">
        <f t="shared" si="4"/>
        <v/>
      </c>
      <c r="EY6" s="2" t="str">
        <f t="shared" si="5"/>
        <v/>
      </c>
      <c r="EZ6" s="2" t="str">
        <f t="shared" si="6"/>
        <v/>
      </c>
      <c r="FA6" s="2">
        <v>5</v>
      </c>
      <c r="FB6" s="2">
        <f t="shared" si="7"/>
        <v>0</v>
      </c>
      <c r="FC6" s="2">
        <f t="shared" si="8"/>
        <v>0</v>
      </c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25"/>
      <c r="GH6" s="7"/>
      <c r="GI6" s="2" t="s">
        <v>125</v>
      </c>
      <c r="GJ6" s="8">
        <f t="shared" si="10"/>
        <v>0</v>
      </c>
    </row>
    <row r="7" spans="1:194">
      <c r="C7" s="68"/>
      <c r="E7" s="24" t="s">
        <v>144</v>
      </c>
      <c r="F7" s="25" t="str">
        <f>MID(thisdwg,2,1)</f>
        <v>S</v>
      </c>
      <c r="G7" s="24" t="s">
        <v>820</v>
      </c>
      <c r="H7" s="38" t="str">
        <f>IF(IsView="Yes","a view","an xref")</f>
        <v>a view</v>
      </c>
      <c r="I7" s="25" t="s">
        <v>819</v>
      </c>
      <c r="J7" s="38"/>
      <c r="K7" s="7" t="s">
        <v>4</v>
      </c>
      <c r="L7" s="3" t="s">
        <v>71</v>
      </c>
      <c r="M7" s="38"/>
      <c r="N7" s="25"/>
      <c r="O7" s="38"/>
      <c r="P7" s="86" t="s">
        <v>856</v>
      </c>
      <c r="Q7" s="38" t="str">
        <f>IsEnlarged</f>
        <v>No</v>
      </c>
      <c r="R7" s="38"/>
      <c r="S7" s="38"/>
      <c r="T7" s="38"/>
      <c r="U7" s="22" t="s">
        <v>844</v>
      </c>
      <c r="V7" s="23" t="s">
        <v>845</v>
      </c>
      <c r="W7" s="38"/>
      <c r="X7" s="24"/>
      <c r="Y7" s="38"/>
      <c r="Z7" s="25"/>
      <c r="AA7" s="38"/>
      <c r="AB7" s="24"/>
      <c r="AC7" s="38"/>
      <c r="AD7" s="38"/>
      <c r="AE7" s="38"/>
      <c r="AF7" s="25"/>
      <c r="AG7" s="38"/>
      <c r="AS7" s="7"/>
      <c r="AT7" s="2" t="s">
        <v>91</v>
      </c>
      <c r="AU7" s="2" t="s">
        <v>92</v>
      </c>
      <c r="AV7" s="2">
        <v>12</v>
      </c>
      <c r="AW7" s="2"/>
      <c r="AX7" s="2"/>
      <c r="AY7" s="2" t="s">
        <v>86</v>
      </c>
      <c r="AZ7" s="2" t="s">
        <v>86</v>
      </c>
      <c r="BA7" s="2"/>
      <c r="BB7" s="2"/>
      <c r="BC7" s="2"/>
      <c r="BD7" s="2" t="s">
        <v>85</v>
      </c>
      <c r="BE7" s="2"/>
      <c r="BF7" s="2" t="s">
        <v>84</v>
      </c>
      <c r="BG7" s="2"/>
      <c r="BH7" s="2" t="str">
        <f t="shared" si="9"/>
        <v>No</v>
      </c>
      <c r="BI7" s="2"/>
      <c r="BJ7" s="2"/>
      <c r="BK7" s="38"/>
      <c r="BL7" s="24"/>
      <c r="BM7" s="38"/>
      <c r="BN7" s="38"/>
      <c r="BO7" s="38"/>
      <c r="BP7" s="25"/>
      <c r="BQ7" s="38"/>
      <c r="BR7" s="24"/>
      <c r="BS7" s="38"/>
      <c r="BT7" s="38"/>
      <c r="BU7" s="38"/>
      <c r="BV7" s="17"/>
      <c r="BW7" s="2"/>
      <c r="BX7" s="8"/>
      <c r="BY7" s="38"/>
      <c r="BZ7" s="24"/>
      <c r="CA7" s="38"/>
      <c r="CB7" s="38"/>
      <c r="CC7" s="38"/>
      <c r="CD7" s="38"/>
      <c r="CE7" s="25"/>
      <c r="CG7" s="7"/>
      <c r="CH7" s="2" t="s">
        <v>100</v>
      </c>
      <c r="CI7" s="2"/>
      <c r="CJ7" s="2" t="s">
        <v>106</v>
      </c>
      <c r="CK7" s="2">
        <v>0</v>
      </c>
      <c r="CL7" s="13">
        <v>1</v>
      </c>
      <c r="CM7" s="38"/>
      <c r="CN7" s="22" t="s">
        <v>695</v>
      </c>
      <c r="CO7" s="23" t="str">
        <f>IF(SUM(textHeightRemainder)&gt;0,"Yes","No")</f>
        <v>Yes</v>
      </c>
      <c r="CP7" s="38"/>
      <c r="CQ7" s="2">
        <f t="shared" si="0"/>
        <v>0</v>
      </c>
      <c r="CR7" s="2">
        <f t="shared" si="1"/>
        <v>1</v>
      </c>
      <c r="CS7" s="2">
        <f t="shared" si="2"/>
        <v>2.38</v>
      </c>
      <c r="CT7" s="2">
        <v>2.38</v>
      </c>
      <c r="CU7" s="2" t="s">
        <v>98</v>
      </c>
      <c r="CV7" s="2" t="s">
        <v>680</v>
      </c>
      <c r="CW7" s="2" t="s">
        <v>99</v>
      </c>
      <c r="CX7" s="8" t="s">
        <v>676</v>
      </c>
      <c r="CY7" s="38"/>
      <c r="CZ7" s="38"/>
      <c r="DA7" s="7" t="s">
        <v>65</v>
      </c>
      <c r="DB7" s="2" t="s">
        <v>107</v>
      </c>
      <c r="DC7" s="13"/>
      <c r="DD7" s="38">
        <f>IF(ISERROR(FIND("$0$",DB7)),0,1)</f>
        <v>0</v>
      </c>
      <c r="DE7" s="38">
        <f>IF(ISERROR(FIND("$",DB7)),0,1)</f>
        <v>0</v>
      </c>
      <c r="DF7" s="38" t="s">
        <v>890</v>
      </c>
      <c r="DG7" s="38" t="str">
        <f>IF(hasDollarError&gt;0,"Yes","No")</f>
        <v>Yes</v>
      </c>
      <c r="DH7" s="25"/>
      <c r="DL7" s="38"/>
      <c r="DM7" s="7" t="s">
        <v>581</v>
      </c>
      <c r="DN7" s="98" t="str">
        <f>IF(IsView="Yes",IF(AND(IsLayout="No",DN3="No"),"na",IF(AND(northarrowok="Yes",OR(IsLayout="Yes",DN3="Yes")),"ok","x")),"na")</f>
        <v>ok</v>
      </c>
      <c r="DO7" s="38"/>
      <c r="DP7" s="7" t="s">
        <v>600</v>
      </c>
      <c r="DQ7" s="2"/>
      <c r="DR7" s="2"/>
      <c r="DS7" s="2"/>
      <c r="DT7" s="2"/>
      <c r="DU7" s="8"/>
      <c r="DW7" s="7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13"/>
      <c r="EL7" s="8"/>
      <c r="EM7" s="38"/>
      <c r="EN7" s="38"/>
      <c r="EO7" s="38"/>
      <c r="EP7" s="38"/>
      <c r="EQ7" s="38"/>
      <c r="ER7" s="38"/>
      <c r="ES7" s="38"/>
      <c r="ET7" s="38"/>
      <c r="EU7" s="24"/>
      <c r="EV7" s="38"/>
      <c r="EW7" s="2" t="str">
        <f t="shared" si="3"/>
        <v/>
      </c>
      <c r="EX7" s="2" t="str">
        <f t="shared" si="4"/>
        <v/>
      </c>
      <c r="EY7" s="2" t="str">
        <f t="shared" si="5"/>
        <v/>
      </c>
      <c r="EZ7" s="2" t="str">
        <f t="shared" si="6"/>
        <v/>
      </c>
      <c r="FA7" s="2">
        <v>6</v>
      </c>
      <c r="FB7" s="2">
        <f t="shared" si="7"/>
        <v>0</v>
      </c>
      <c r="FC7" s="2">
        <f t="shared" si="8"/>
        <v>0</v>
      </c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25"/>
      <c r="GH7" s="7"/>
      <c r="GI7" s="2" t="s">
        <v>784</v>
      </c>
      <c r="GJ7" s="8">
        <f t="shared" si="10"/>
        <v>0</v>
      </c>
    </row>
    <row r="8" spans="1:194" ht="15" thickBot="1">
      <c r="C8" s="68"/>
      <c r="E8" s="24" t="s">
        <v>145</v>
      </c>
      <c r="F8" s="25" t="str">
        <f>MID(thisdwg,3,1)</f>
        <v>T</v>
      </c>
      <c r="G8" s="24" t="s">
        <v>821</v>
      </c>
      <c r="H8" s="38" t="str">
        <f>building</f>
        <v>CUB</v>
      </c>
      <c r="I8" s="25" t="s">
        <v>822</v>
      </c>
      <c r="J8" s="38"/>
      <c r="K8" s="24"/>
      <c r="L8" s="38"/>
      <c r="M8" s="38"/>
      <c r="N8" s="25"/>
      <c r="O8" s="38"/>
      <c r="P8" s="30" t="s">
        <v>568</v>
      </c>
      <c r="Q8" s="38" t="str">
        <f>IsLayout</f>
        <v>Yes</v>
      </c>
      <c r="R8" s="38"/>
      <c r="S8" s="38"/>
      <c r="T8" s="38"/>
      <c r="U8" s="24" t="s">
        <v>235</v>
      </c>
      <c r="V8" s="25" t="s">
        <v>255</v>
      </c>
      <c r="W8" s="38"/>
      <c r="X8" s="87" t="s">
        <v>139</v>
      </c>
      <c r="Y8" s="91" t="str">
        <f>IF(IsView="Yes",IF(OR(IsLayout="Yes",IsEnlarged="Yes"),IF(Y6="Yes","ok","x"),"na"),"na")</f>
        <v>ok</v>
      </c>
      <c r="Z8" s="27"/>
      <c r="AA8" s="38"/>
      <c r="AB8" s="92" t="s">
        <v>140</v>
      </c>
      <c r="AC8" s="10" t="str">
        <f>IF(IsView="Yes","-","na")</f>
        <v>-</v>
      </c>
      <c r="AD8" s="39"/>
      <c r="AE8" s="39"/>
      <c r="AF8" s="27"/>
      <c r="AG8" s="38"/>
      <c r="AS8" s="7"/>
      <c r="AT8" s="2" t="s">
        <v>117</v>
      </c>
      <c r="AU8" s="2" t="s">
        <v>118</v>
      </c>
      <c r="AV8" s="2">
        <v>12</v>
      </c>
      <c r="AW8" s="2"/>
      <c r="AX8" s="2"/>
      <c r="AY8" s="2" t="s">
        <v>86</v>
      </c>
      <c r="AZ8" s="2" t="s">
        <v>86</v>
      </c>
      <c r="BA8" s="2"/>
      <c r="BB8" s="2"/>
      <c r="BC8" s="2"/>
      <c r="BD8" s="2" t="s">
        <v>85</v>
      </c>
      <c r="BE8" s="2"/>
      <c r="BF8" s="2" t="s">
        <v>84</v>
      </c>
      <c r="BG8" s="2"/>
      <c r="BH8" s="2" t="str">
        <f t="shared" si="9"/>
        <v>No</v>
      </c>
      <c r="BI8" s="2"/>
      <c r="BJ8" s="2"/>
      <c r="BK8" s="38"/>
      <c r="BL8" s="24" t="s">
        <v>872</v>
      </c>
      <c r="BM8" s="38"/>
      <c r="BN8" s="38"/>
      <c r="BO8" s="38"/>
      <c r="BP8" s="25"/>
      <c r="BQ8" s="38"/>
      <c r="BR8" s="24"/>
      <c r="BS8" s="38"/>
      <c r="BT8" s="38"/>
      <c r="BU8" s="38"/>
      <c r="BV8" s="17"/>
      <c r="BW8" s="2"/>
      <c r="BX8" s="8"/>
      <c r="BY8" s="38"/>
      <c r="BZ8" s="24" t="s">
        <v>881</v>
      </c>
      <c r="CA8" s="38"/>
      <c r="CB8" s="38"/>
      <c r="CC8" s="38"/>
      <c r="CD8" s="38"/>
      <c r="CE8" s="25"/>
      <c r="CG8" s="7"/>
      <c r="CH8" s="2"/>
      <c r="CI8" s="2"/>
      <c r="CJ8" s="2"/>
      <c r="CK8" s="2"/>
      <c r="CL8" s="13"/>
      <c r="CM8" s="38"/>
      <c r="CN8" s="40" t="s">
        <v>61</v>
      </c>
      <c r="CO8" s="4" t="str">
        <f>IF(textHeightProblem="Yes","x","ok")</f>
        <v>x</v>
      </c>
      <c r="CP8" s="38"/>
      <c r="CQ8" s="2">
        <f t="shared" si="0"/>
        <v>0</v>
      </c>
      <c r="CR8" s="2">
        <f t="shared" si="1"/>
        <v>1</v>
      </c>
      <c r="CS8" s="2">
        <f t="shared" si="2"/>
        <v>2.38</v>
      </c>
      <c r="CT8" s="2">
        <v>2.38</v>
      </c>
      <c r="CU8" s="2" t="s">
        <v>98</v>
      </c>
      <c r="CV8" s="2" t="s">
        <v>681</v>
      </c>
      <c r="CW8" s="2" t="s">
        <v>99</v>
      </c>
      <c r="CX8" s="8" t="s">
        <v>676</v>
      </c>
      <c r="CY8" s="38"/>
      <c r="CZ8" s="38"/>
      <c r="DA8" s="7"/>
      <c r="DB8" s="2" t="s">
        <v>82</v>
      </c>
      <c r="DC8" s="13"/>
      <c r="DD8" s="38">
        <f t="shared" ref="DD8:DD16" si="11">IF(ISERROR(FIND("$0$",DB8)),0,1)</f>
        <v>0</v>
      </c>
      <c r="DE8" s="38">
        <f t="shared" ref="DE8:DE45" si="12">IF(ISERROR(FIND("$",DB8)),0,1)</f>
        <v>0</v>
      </c>
      <c r="DF8" s="38"/>
      <c r="DG8" s="38"/>
      <c r="DH8" s="25"/>
      <c r="DL8" s="38"/>
      <c r="DM8" s="99"/>
      <c r="DN8" s="100"/>
      <c r="DO8" s="38"/>
      <c r="DP8" s="7" t="s">
        <v>601</v>
      </c>
      <c r="DQ8" s="2">
        <v>0</v>
      </c>
      <c r="DR8" s="2" t="s">
        <v>602</v>
      </c>
      <c r="DS8" s="2" t="s">
        <v>603</v>
      </c>
      <c r="DT8" s="43">
        <v>38929</v>
      </c>
      <c r="DU8" s="8"/>
      <c r="DW8" s="7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13"/>
      <c r="EL8" s="8"/>
      <c r="EM8" s="38"/>
      <c r="EN8" s="38"/>
      <c r="EO8" s="38"/>
      <c r="EP8" s="38"/>
      <c r="EQ8" s="38"/>
      <c r="ER8" s="38"/>
      <c r="ES8" s="38"/>
      <c r="ET8" s="38"/>
      <c r="EU8" s="24"/>
      <c r="EV8" s="38"/>
      <c r="EW8" s="2" t="str">
        <f t="shared" si="3"/>
        <v/>
      </c>
      <c r="EX8" s="2" t="str">
        <f t="shared" si="4"/>
        <v/>
      </c>
      <c r="EY8" s="2" t="str">
        <f t="shared" si="5"/>
        <v/>
      </c>
      <c r="EZ8" s="2" t="str">
        <f t="shared" si="6"/>
        <v/>
      </c>
      <c r="FA8" s="2">
        <v>7</v>
      </c>
      <c r="FB8" s="2">
        <f t="shared" si="7"/>
        <v>0</v>
      </c>
      <c r="FC8" s="2">
        <f t="shared" si="8"/>
        <v>0</v>
      </c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25"/>
      <c r="GH8" s="7"/>
      <c r="GI8" s="2" t="s">
        <v>799</v>
      </c>
      <c r="GJ8" s="8">
        <f t="shared" si="10"/>
        <v>0</v>
      </c>
    </row>
    <row r="9" spans="1:194" ht="15" thickBot="1">
      <c r="C9" s="68"/>
      <c r="E9" s="24" t="s">
        <v>146</v>
      </c>
      <c r="F9" s="25" t="str">
        <f>MID(thisdwg,4,1)</f>
        <v>-</v>
      </c>
      <c r="G9" s="24" t="s">
        <v>823</v>
      </c>
      <c r="H9" s="38" t="str">
        <f>discipline</f>
        <v xml:space="preserve">Telecommunications </v>
      </c>
      <c r="I9" s="25" t="s">
        <v>824</v>
      </c>
      <c r="J9" s="38"/>
      <c r="K9" s="24" t="s">
        <v>831</v>
      </c>
      <c r="L9" s="38"/>
      <c r="M9" s="38"/>
      <c r="N9" s="25"/>
      <c r="O9" s="38"/>
      <c r="P9" s="30" t="s">
        <v>843</v>
      </c>
      <c r="Q9" s="38" t="str">
        <f>IF(IsLayout="Yes",xrefNameProper,"")</f>
        <v>GST-2-OV</v>
      </c>
      <c r="R9" s="38"/>
      <c r="S9" s="38"/>
      <c r="T9" s="38"/>
      <c r="U9" s="26" t="s">
        <v>241</v>
      </c>
      <c r="V9" s="27" t="s">
        <v>317</v>
      </c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S9" s="7"/>
      <c r="AT9" s="2" t="s">
        <v>119</v>
      </c>
      <c r="AU9" s="2" t="s">
        <v>120</v>
      </c>
      <c r="AV9" s="2">
        <v>12</v>
      </c>
      <c r="AW9" s="2"/>
      <c r="AX9" s="2"/>
      <c r="AY9" s="2" t="s">
        <v>86</v>
      </c>
      <c r="AZ9" s="2" t="s">
        <v>86</v>
      </c>
      <c r="BA9" s="2"/>
      <c r="BB9" s="2"/>
      <c r="BC9" s="2"/>
      <c r="BD9" s="2" t="s">
        <v>85</v>
      </c>
      <c r="BE9" s="2"/>
      <c r="BF9" s="2" t="s">
        <v>84</v>
      </c>
      <c r="BG9" s="2"/>
      <c r="BH9" s="2" t="str">
        <f t="shared" si="9"/>
        <v>No</v>
      </c>
      <c r="BI9" s="2"/>
      <c r="BJ9" s="2"/>
      <c r="BK9" s="38"/>
      <c r="BL9" s="7" t="s">
        <v>871</v>
      </c>
      <c r="BM9" s="2"/>
      <c r="BN9" s="38"/>
      <c r="BO9" s="38"/>
      <c r="BP9" s="25"/>
      <c r="BQ9" s="38"/>
      <c r="BR9" s="24"/>
      <c r="BS9" s="38"/>
      <c r="BT9" s="38"/>
      <c r="BU9" s="38"/>
      <c r="BV9" s="17"/>
      <c r="BW9" s="2"/>
      <c r="BX9" s="8"/>
      <c r="BY9" s="38"/>
      <c r="BZ9" s="7" t="s">
        <v>49</v>
      </c>
      <c r="CA9" s="2">
        <v>31</v>
      </c>
      <c r="CB9" s="40"/>
      <c r="CC9" s="38"/>
      <c r="CD9" s="38"/>
      <c r="CE9" s="25"/>
      <c r="CG9" s="7"/>
      <c r="CH9" s="2"/>
      <c r="CI9" s="2"/>
      <c r="CJ9" s="2"/>
      <c r="CK9" s="2"/>
      <c r="CL9" s="13"/>
      <c r="CM9" s="38"/>
      <c r="CN9" s="38"/>
      <c r="CO9" s="38"/>
      <c r="CP9" s="38"/>
      <c r="CQ9" s="2">
        <f t="shared" si="0"/>
        <v>0</v>
      </c>
      <c r="CR9" s="2">
        <f t="shared" si="1"/>
        <v>1</v>
      </c>
      <c r="CS9" s="2">
        <f t="shared" si="2"/>
        <v>2.38</v>
      </c>
      <c r="CT9" s="2">
        <v>2.38</v>
      </c>
      <c r="CU9" s="2" t="s">
        <v>98</v>
      </c>
      <c r="CV9" s="2" t="s">
        <v>682</v>
      </c>
      <c r="CW9" s="2" t="s">
        <v>99</v>
      </c>
      <c r="CX9" s="8" t="s">
        <v>676</v>
      </c>
      <c r="CY9" s="38"/>
      <c r="CZ9" s="38"/>
      <c r="DA9" s="7"/>
      <c r="DB9" s="2" t="s">
        <v>108</v>
      </c>
      <c r="DC9" s="13"/>
      <c r="DD9" s="38">
        <f t="shared" si="11"/>
        <v>0</v>
      </c>
      <c r="DE9" s="38">
        <f t="shared" si="12"/>
        <v>0</v>
      </c>
      <c r="DF9" s="38"/>
      <c r="DG9" s="38"/>
      <c r="DH9" s="25"/>
      <c r="DL9" s="38"/>
      <c r="DM9" s="40" t="s">
        <v>579</v>
      </c>
      <c r="DN9" s="2">
        <v>1</v>
      </c>
      <c r="DO9" s="4"/>
      <c r="DP9" s="7" t="s">
        <v>604</v>
      </c>
      <c r="DQ9" s="2"/>
      <c r="DR9" s="2"/>
      <c r="DS9" s="2"/>
      <c r="DT9" s="2"/>
      <c r="DU9" s="8"/>
      <c r="DW9" s="7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13"/>
      <c r="EL9" s="8"/>
      <c r="EM9" s="38"/>
      <c r="EN9" s="38"/>
      <c r="EO9" s="38"/>
      <c r="EP9" s="38"/>
      <c r="EQ9" s="38"/>
      <c r="ER9" s="38"/>
      <c r="ES9" s="38"/>
      <c r="ET9" s="38"/>
      <c r="EU9" s="24"/>
      <c r="EV9" s="38"/>
      <c r="EW9" s="2" t="str">
        <f t="shared" si="3"/>
        <v/>
      </c>
      <c r="EX9" s="2" t="str">
        <f t="shared" si="4"/>
        <v/>
      </c>
      <c r="EY9" s="2" t="str">
        <f t="shared" si="5"/>
        <v/>
      </c>
      <c r="EZ9" s="2" t="str">
        <f t="shared" si="6"/>
        <v/>
      </c>
      <c r="FA9" s="2">
        <v>8</v>
      </c>
      <c r="FB9" s="2">
        <f t="shared" si="7"/>
        <v>0</v>
      </c>
      <c r="FC9" s="2">
        <f t="shared" si="8"/>
        <v>0</v>
      </c>
      <c r="FD9" s="38"/>
      <c r="FE9" s="38"/>
      <c r="FF9" s="38"/>
      <c r="FG9" s="38"/>
      <c r="FH9" s="38"/>
      <c r="FI9" s="38"/>
      <c r="FJ9" s="38"/>
      <c r="FK9" s="38"/>
      <c r="FL9" s="38"/>
      <c r="FM9" s="38"/>
      <c r="FN9" s="38"/>
      <c r="FO9" s="38"/>
      <c r="FP9" s="38"/>
      <c r="FQ9" s="38"/>
      <c r="FR9" s="38"/>
      <c r="FS9" s="38"/>
      <c r="FT9" s="38"/>
      <c r="FU9" s="38"/>
      <c r="FV9" s="38"/>
      <c r="FW9" s="38"/>
      <c r="FX9" s="38"/>
      <c r="FY9" s="38"/>
      <c r="FZ9" s="38"/>
      <c r="GA9" s="38"/>
      <c r="GB9" s="38"/>
      <c r="GC9" s="38"/>
      <c r="GD9" s="38"/>
      <c r="GE9" s="38"/>
      <c r="GF9" s="25"/>
      <c r="GH9" s="7"/>
      <c r="GI9" s="2" t="s">
        <v>334</v>
      </c>
      <c r="GJ9" s="8">
        <f t="shared" si="10"/>
        <v>0</v>
      </c>
    </row>
    <row r="10" spans="1:194">
      <c r="C10" s="68"/>
      <c r="E10" s="24" t="s">
        <v>147</v>
      </c>
      <c r="F10" s="25" t="str">
        <f>MID(thisdwg,5,1)</f>
        <v>2</v>
      </c>
      <c r="G10" s="24" t="s">
        <v>825</v>
      </c>
      <c r="H10" s="38" t="str">
        <f>IF(IsLayout="Yes","Layout",series)</f>
        <v>Layout</v>
      </c>
      <c r="I10" s="25"/>
      <c r="J10" s="38"/>
      <c r="K10" s="7" t="s">
        <v>5</v>
      </c>
      <c r="L10" s="2" t="s">
        <v>72</v>
      </c>
      <c r="M10" s="38"/>
      <c r="N10" s="25"/>
      <c r="O10" s="38"/>
      <c r="P10" s="24"/>
      <c r="Q10" s="38"/>
      <c r="R10" s="38"/>
      <c r="S10" s="38"/>
      <c r="T10" s="38"/>
      <c r="U10" s="38"/>
      <c r="V10" s="25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S10" s="7"/>
      <c r="AT10" s="2" t="s">
        <v>121</v>
      </c>
      <c r="AU10" s="2" t="s">
        <v>122</v>
      </c>
      <c r="AV10" s="2">
        <v>12</v>
      </c>
      <c r="AW10" s="2"/>
      <c r="AX10" s="2"/>
      <c r="AY10" s="2" t="s">
        <v>86</v>
      </c>
      <c r="AZ10" s="2" t="s">
        <v>86</v>
      </c>
      <c r="BA10" s="2"/>
      <c r="BB10" s="2" t="s">
        <v>86</v>
      </c>
      <c r="BC10" s="2"/>
      <c r="BD10" s="2" t="s">
        <v>85</v>
      </c>
      <c r="BE10" s="2"/>
      <c r="BF10" s="2" t="s">
        <v>84</v>
      </c>
      <c r="BG10" s="2"/>
      <c r="BH10" s="2" t="str">
        <f t="shared" si="9"/>
        <v>No</v>
      </c>
      <c r="BI10" s="2"/>
      <c r="BJ10" s="2"/>
      <c r="BK10" s="38"/>
      <c r="BL10" s="7" t="s">
        <v>810</v>
      </c>
      <c r="BM10" s="2" t="s">
        <v>811</v>
      </c>
      <c r="BN10" s="38"/>
      <c r="BO10" s="38"/>
      <c r="BP10" s="25"/>
      <c r="BQ10" s="38"/>
      <c r="BR10" s="24"/>
      <c r="BS10" s="38"/>
      <c r="BT10" s="38"/>
      <c r="BU10" s="38"/>
      <c r="BV10" s="17"/>
      <c r="BW10" s="2"/>
      <c r="BX10" s="8"/>
      <c r="BY10" s="38"/>
      <c r="BZ10" s="7" t="s">
        <v>50</v>
      </c>
      <c r="CA10" s="2">
        <v>11</v>
      </c>
      <c r="CB10" s="38"/>
      <c r="CC10" s="38"/>
      <c r="CD10" s="38"/>
      <c r="CE10" s="25"/>
      <c r="CG10" s="7"/>
      <c r="CH10" s="2"/>
      <c r="CI10" s="2"/>
      <c r="CJ10" s="2"/>
      <c r="CK10" s="2"/>
      <c r="CL10" s="13"/>
      <c r="CM10" s="38"/>
      <c r="CN10" s="38"/>
      <c r="CO10" s="38"/>
      <c r="CP10" s="38"/>
      <c r="CQ10" s="2">
        <f t="shared" si="0"/>
        <v>0</v>
      </c>
      <c r="CR10" s="2">
        <f t="shared" si="1"/>
        <v>1</v>
      </c>
      <c r="CS10" s="2">
        <f t="shared" si="2"/>
        <v>2.38</v>
      </c>
      <c r="CT10" s="2">
        <v>2.38</v>
      </c>
      <c r="CU10" s="2" t="s">
        <v>98</v>
      </c>
      <c r="CV10" s="2">
        <v>1</v>
      </c>
      <c r="CW10" s="2" t="s">
        <v>99</v>
      </c>
      <c r="CX10" s="8" t="s">
        <v>676</v>
      </c>
      <c r="CY10" s="38"/>
      <c r="CZ10" s="38"/>
      <c r="DA10" s="7"/>
      <c r="DB10" s="2" t="s">
        <v>87</v>
      </c>
      <c r="DC10" s="13"/>
      <c r="DD10" s="38">
        <f t="shared" si="11"/>
        <v>0</v>
      </c>
      <c r="DE10" s="38">
        <f t="shared" si="12"/>
        <v>0</v>
      </c>
      <c r="DF10" s="38"/>
      <c r="DG10" s="38"/>
      <c r="DH10" s="25"/>
      <c r="DL10" s="38"/>
      <c r="DM10" s="40" t="s">
        <v>580</v>
      </c>
      <c r="DN10" s="2">
        <v>90</v>
      </c>
      <c r="DP10" s="7" t="s">
        <v>605</v>
      </c>
      <c r="DQ10" s="2">
        <v>1</v>
      </c>
      <c r="DR10" s="2" t="s">
        <v>606</v>
      </c>
      <c r="DS10" s="2" t="s">
        <v>603</v>
      </c>
      <c r="DT10" s="43">
        <v>39453</v>
      </c>
      <c r="DU10" s="8"/>
      <c r="DW10" s="7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13"/>
      <c r="EL10" s="8"/>
      <c r="EM10" s="38"/>
      <c r="EN10" s="38"/>
      <c r="EO10" s="38"/>
      <c r="EP10" s="38"/>
      <c r="EQ10" s="38"/>
      <c r="ER10" s="38"/>
      <c r="ES10" s="38"/>
      <c r="ET10" s="38"/>
      <c r="EU10" s="24"/>
      <c r="EV10" s="38"/>
      <c r="EW10" s="2" t="str">
        <f t="shared" si="3"/>
        <v/>
      </c>
      <c r="EX10" s="2" t="str">
        <f t="shared" si="4"/>
        <v/>
      </c>
      <c r="EY10" s="2" t="str">
        <f t="shared" si="5"/>
        <v/>
      </c>
      <c r="EZ10" s="2" t="str">
        <f t="shared" si="6"/>
        <v/>
      </c>
      <c r="FA10" s="2">
        <v>9</v>
      </c>
      <c r="FB10" s="2">
        <f t="shared" si="7"/>
        <v>0</v>
      </c>
      <c r="FC10" s="2">
        <f t="shared" si="8"/>
        <v>0</v>
      </c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25"/>
      <c r="GH10" s="7"/>
      <c r="GI10" s="2" t="s">
        <v>334</v>
      </c>
      <c r="GJ10" s="8">
        <f t="shared" si="10"/>
        <v>0</v>
      </c>
    </row>
    <row r="11" spans="1:194">
      <c r="C11" s="68"/>
      <c r="E11" s="24" t="s">
        <v>148</v>
      </c>
      <c r="F11" s="25" t="str">
        <f>MID(thisdwg,6,1)</f>
        <v>-</v>
      </c>
      <c r="G11" s="24" t="str">
        <f>IF(IsLayout="Yes","Level is:","")</f>
        <v>Level is:</v>
      </c>
      <c r="H11" s="38" t="str">
        <f>IF(IsLayout="Yes",F27,"")</f>
        <v>Level 2 (Office-Roof)</v>
      </c>
      <c r="I11" s="25"/>
      <c r="J11" s="38"/>
      <c r="K11" s="7" t="s">
        <v>6</v>
      </c>
      <c r="L11" s="2" t="s">
        <v>72</v>
      </c>
      <c r="M11" s="38"/>
      <c r="N11" s="25"/>
      <c r="O11" s="38"/>
      <c r="P11" s="24"/>
      <c r="Q11" s="38"/>
      <c r="R11" s="38"/>
      <c r="S11" s="38"/>
      <c r="T11" s="38"/>
      <c r="U11" s="38"/>
      <c r="V11" s="25"/>
      <c r="W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S11" s="7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 t="str">
        <f t="shared" si="9"/>
        <v/>
      </c>
      <c r="BI11" s="2"/>
      <c r="BJ11" s="2"/>
      <c r="BK11" s="38"/>
      <c r="BL11" s="7"/>
      <c r="BM11" s="2"/>
      <c r="BN11" s="38"/>
      <c r="BO11" s="38"/>
      <c r="BP11" s="25"/>
      <c r="BQ11" s="38"/>
      <c r="BR11" s="24"/>
      <c r="BS11" s="38"/>
      <c r="BT11" s="38"/>
      <c r="BU11" s="38"/>
      <c r="BV11" s="17"/>
      <c r="BW11" s="2"/>
      <c r="BX11" s="8"/>
      <c r="BY11" s="38"/>
      <c r="BZ11" s="7" t="s">
        <v>51</v>
      </c>
      <c r="CA11" s="2">
        <v>0</v>
      </c>
      <c r="CB11" s="38"/>
      <c r="CC11" s="38"/>
      <c r="CD11" s="38"/>
      <c r="CE11" s="25"/>
      <c r="CG11" s="7"/>
      <c r="CH11" s="2"/>
      <c r="CI11" s="2"/>
      <c r="CJ11" s="2"/>
      <c r="CK11" s="2"/>
      <c r="CL11" s="13"/>
      <c r="CM11" s="38"/>
      <c r="CN11" s="38"/>
      <c r="CO11" s="38"/>
      <c r="CP11" s="38"/>
      <c r="CQ11" s="2">
        <f t="shared" si="0"/>
        <v>0</v>
      </c>
      <c r="CR11" s="2">
        <f t="shared" si="1"/>
        <v>1</v>
      </c>
      <c r="CS11" s="2">
        <f t="shared" si="2"/>
        <v>2.38</v>
      </c>
      <c r="CT11" s="2">
        <v>2.38</v>
      </c>
      <c r="CU11" s="2" t="s">
        <v>98</v>
      </c>
      <c r="CV11" s="2" t="s">
        <v>683</v>
      </c>
      <c r="CW11" s="2" t="s">
        <v>99</v>
      </c>
      <c r="CX11" s="8" t="s">
        <v>676</v>
      </c>
      <c r="CY11" s="38"/>
      <c r="CZ11" s="38"/>
      <c r="DA11" s="7"/>
      <c r="DB11" s="2" t="s">
        <v>88</v>
      </c>
      <c r="DC11" s="13"/>
      <c r="DD11" s="38">
        <f t="shared" si="11"/>
        <v>0</v>
      </c>
      <c r="DE11" s="38">
        <f t="shared" si="12"/>
        <v>0</v>
      </c>
      <c r="DF11" s="38"/>
      <c r="DG11" s="38"/>
      <c r="DH11" s="25"/>
      <c r="DL11" s="38"/>
      <c r="DM11" s="99"/>
      <c r="DN11" s="100"/>
      <c r="DO11" s="38"/>
      <c r="DP11" s="7"/>
      <c r="DQ11" s="2"/>
      <c r="DR11" s="2"/>
      <c r="DS11" s="2"/>
      <c r="DT11" s="2"/>
      <c r="DU11" s="8"/>
      <c r="DW11" s="7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13"/>
      <c r="EL11" s="8"/>
      <c r="EM11" s="38"/>
      <c r="EN11" s="38"/>
      <c r="EO11" s="38"/>
      <c r="EP11" s="38"/>
      <c r="EQ11" s="38"/>
      <c r="ER11" s="38"/>
      <c r="ES11" s="38"/>
      <c r="ET11" s="38"/>
      <c r="EU11" s="24"/>
      <c r="EV11" s="38"/>
      <c r="EW11" s="2" t="str">
        <f t="shared" si="3"/>
        <v/>
      </c>
      <c r="EX11" s="2" t="str">
        <f t="shared" si="4"/>
        <v/>
      </c>
      <c r="EY11" s="2" t="str">
        <f t="shared" si="5"/>
        <v/>
      </c>
      <c r="EZ11" s="2" t="str">
        <f t="shared" si="6"/>
        <v/>
      </c>
      <c r="FA11" s="2">
        <v>10</v>
      </c>
      <c r="FB11" s="2">
        <f t="shared" si="7"/>
        <v>0</v>
      </c>
      <c r="FC11" s="2">
        <f t="shared" si="8"/>
        <v>0</v>
      </c>
      <c r="FD11" s="38"/>
      <c r="FE11" s="38"/>
      <c r="FF11" s="38"/>
      <c r="FG11" s="38"/>
      <c r="FH11" s="38"/>
      <c r="FI11" s="38"/>
      <c r="FJ11" s="38"/>
      <c r="FK11" s="38"/>
      <c r="FL11" s="38"/>
      <c r="FM11" s="38"/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25"/>
      <c r="GH11" s="7"/>
      <c r="GI11" s="2" t="s">
        <v>807</v>
      </c>
      <c r="GJ11" s="8">
        <f t="shared" si="10"/>
        <v>0</v>
      </c>
    </row>
    <row r="12" spans="1:194" ht="15" thickBot="1">
      <c r="C12" s="68"/>
      <c r="E12" s="24" t="s">
        <v>149</v>
      </c>
      <c r="F12" s="25" t="str">
        <f>MID(thisdwg,7,1)</f>
        <v>F</v>
      </c>
      <c r="G12" s="26" t="str">
        <f>IF(IsLayout="Yes","in sector","")</f>
        <v>in sector</v>
      </c>
      <c r="H12" s="39" t="str">
        <f>IF(IsLayout="Yes",sector,"")</f>
        <v>Sector F-</v>
      </c>
      <c r="I12" s="27"/>
      <c r="J12" s="38"/>
      <c r="K12" s="7" t="s">
        <v>7</v>
      </c>
      <c r="L12" s="2" t="s">
        <v>73</v>
      </c>
      <c r="M12" s="38"/>
      <c r="N12" s="25"/>
      <c r="O12" s="38"/>
      <c r="P12" s="24" t="s">
        <v>577</v>
      </c>
      <c r="Q12" s="38" t="str">
        <f>IF(ISERROR(VLOOKUP(xrefNameProper,xrefnames,1,FALSE)),"No",IF(VLOOKUP(xrefNameProper,xrefnames,1,FALSE)=xrefNameProper,"Yes","No"))</f>
        <v>No</v>
      </c>
      <c r="R12" s="38"/>
      <c r="S12" s="38"/>
      <c r="T12" s="38"/>
      <c r="U12" s="38"/>
      <c r="V12" s="25"/>
      <c r="W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S12" s="7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 t="str">
        <f t="shared" si="9"/>
        <v/>
      </c>
      <c r="BI12" s="2"/>
      <c r="BJ12" s="2"/>
      <c r="BK12" s="38"/>
      <c r="BL12" s="7"/>
      <c r="BM12" s="2"/>
      <c r="BN12" s="38"/>
      <c r="BO12" s="38"/>
      <c r="BP12" s="25"/>
      <c r="BQ12" s="38"/>
      <c r="BR12" s="24"/>
      <c r="BS12" s="38"/>
      <c r="BT12" s="38"/>
      <c r="BU12" s="38"/>
      <c r="BV12" s="17"/>
      <c r="BW12" s="2"/>
      <c r="BX12" s="8"/>
      <c r="BY12" s="38"/>
      <c r="BZ12" s="7" t="s">
        <v>52</v>
      </c>
      <c r="CA12" s="2">
        <v>0</v>
      </c>
      <c r="CB12" s="38"/>
      <c r="CC12" s="38"/>
      <c r="CD12" s="38"/>
      <c r="CE12" s="25"/>
      <c r="CG12" s="7"/>
      <c r="CH12" s="2"/>
      <c r="CI12" s="2"/>
      <c r="CJ12" s="2"/>
      <c r="CK12" s="2"/>
      <c r="CL12" s="13"/>
      <c r="CM12" s="38"/>
      <c r="CN12" s="38"/>
      <c r="CO12" s="38"/>
      <c r="CP12" s="38"/>
      <c r="CQ12" s="2">
        <f t="shared" si="0"/>
        <v>0</v>
      </c>
      <c r="CR12" s="2">
        <f t="shared" si="1"/>
        <v>1</v>
      </c>
      <c r="CS12" s="2">
        <f t="shared" si="2"/>
        <v>6.35</v>
      </c>
      <c r="CT12" s="2">
        <v>6.35</v>
      </c>
      <c r="CU12" s="2" t="s">
        <v>98</v>
      </c>
      <c r="CV12" s="2" t="s">
        <v>684</v>
      </c>
      <c r="CW12" s="2" t="s">
        <v>100</v>
      </c>
      <c r="CX12" s="8" t="s">
        <v>676</v>
      </c>
      <c r="CY12" s="38"/>
      <c r="CZ12" s="38"/>
      <c r="DA12" s="7"/>
      <c r="DB12" s="2" t="s">
        <v>89</v>
      </c>
      <c r="DC12" s="13"/>
      <c r="DD12" s="38">
        <f t="shared" si="11"/>
        <v>0</v>
      </c>
      <c r="DE12" s="38">
        <f t="shared" si="12"/>
        <v>0</v>
      </c>
      <c r="DF12" s="38"/>
      <c r="DG12" s="38"/>
      <c r="DH12" s="25"/>
      <c r="DL12" s="38"/>
      <c r="DM12" s="99"/>
      <c r="DN12" s="100"/>
      <c r="DO12" s="38"/>
      <c r="DP12" s="7"/>
      <c r="DQ12" s="2"/>
      <c r="DR12" s="2"/>
      <c r="DS12" s="2"/>
      <c r="DT12" s="2"/>
      <c r="DU12" s="8"/>
      <c r="DW12" s="7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13"/>
      <c r="EL12" s="8"/>
      <c r="EM12" s="38"/>
      <c r="EN12" s="38"/>
      <c r="EO12" s="38"/>
      <c r="EP12" s="38"/>
      <c r="EQ12" s="38"/>
      <c r="ER12" s="38"/>
      <c r="ES12" s="38"/>
      <c r="ET12" s="38"/>
      <c r="EU12" s="24"/>
      <c r="EV12" s="38"/>
      <c r="EW12" s="2" t="str">
        <f t="shared" si="3"/>
        <v/>
      </c>
      <c r="EX12" s="2" t="str">
        <f t="shared" si="4"/>
        <v/>
      </c>
      <c r="EY12" s="2" t="str">
        <f t="shared" si="5"/>
        <v/>
      </c>
      <c r="EZ12" s="2" t="str">
        <f t="shared" si="6"/>
        <v/>
      </c>
      <c r="FA12" s="2">
        <v>11</v>
      </c>
      <c r="FB12" s="2">
        <f t="shared" si="7"/>
        <v>0</v>
      </c>
      <c r="FC12" s="2">
        <f t="shared" si="8"/>
        <v>0</v>
      </c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25"/>
      <c r="GH12" s="7"/>
      <c r="GI12" s="2" t="s">
        <v>785</v>
      </c>
      <c r="GJ12" s="8">
        <f t="shared" si="10"/>
        <v>0</v>
      </c>
    </row>
    <row r="13" spans="1:194" ht="15" thickBot="1">
      <c r="C13" s="68"/>
      <c r="E13" s="24" t="s">
        <v>150</v>
      </c>
      <c r="F13" s="25" t="str">
        <f>MID(thisdwg,8,1)</f>
        <v>-</v>
      </c>
      <c r="G13" s="38"/>
      <c r="H13" s="38"/>
      <c r="I13" s="25"/>
      <c r="J13" s="38"/>
      <c r="K13" s="7" t="s">
        <v>8</v>
      </c>
      <c r="L13" s="2" t="s">
        <v>74</v>
      </c>
      <c r="M13" s="38"/>
      <c r="N13" s="25"/>
      <c r="O13" s="38"/>
      <c r="P13" s="24"/>
      <c r="Q13" s="38"/>
      <c r="R13" s="38"/>
      <c r="S13" s="38"/>
      <c r="T13" s="38"/>
      <c r="U13" s="38"/>
      <c r="V13" s="25"/>
      <c r="W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S13" s="7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 t="str">
        <f t="shared" si="9"/>
        <v/>
      </c>
      <c r="BI13" s="2"/>
      <c r="BJ13" s="2"/>
      <c r="BK13" s="38"/>
      <c r="BL13" s="7"/>
      <c r="BM13" s="2"/>
      <c r="BN13" s="38"/>
      <c r="BO13" s="38"/>
      <c r="BP13" s="25"/>
      <c r="BQ13" s="38"/>
      <c r="BR13" s="24"/>
      <c r="BS13" s="38"/>
      <c r="BT13" s="38"/>
      <c r="BU13" s="38"/>
      <c r="BV13" s="17"/>
      <c r="BW13" s="2"/>
      <c r="BX13" s="8"/>
      <c r="BY13" s="38"/>
      <c r="BZ13" s="7" t="s">
        <v>53</v>
      </c>
      <c r="CA13" s="2">
        <v>44</v>
      </c>
      <c r="CB13" s="38"/>
      <c r="CC13" s="38"/>
      <c r="CD13" s="38"/>
      <c r="CE13" s="25"/>
      <c r="CG13" s="7"/>
      <c r="CH13" s="2"/>
      <c r="CI13" s="2"/>
      <c r="CJ13" s="2"/>
      <c r="CK13" s="2"/>
      <c r="CL13" s="13"/>
      <c r="CM13" s="38"/>
      <c r="CN13" s="38"/>
      <c r="CO13" s="38"/>
      <c r="CP13" s="38"/>
      <c r="CQ13" s="2">
        <f t="shared" si="0"/>
        <v>0</v>
      </c>
      <c r="CR13" s="2">
        <f t="shared" si="1"/>
        <v>1</v>
      </c>
      <c r="CS13" s="2">
        <f t="shared" si="2"/>
        <v>6.35</v>
      </c>
      <c r="CT13" s="2">
        <v>6.35</v>
      </c>
      <c r="CU13" s="2" t="s">
        <v>98</v>
      </c>
      <c r="CV13" s="2" t="s">
        <v>685</v>
      </c>
      <c r="CW13" s="2" t="s">
        <v>100</v>
      </c>
      <c r="CX13" s="8" t="s">
        <v>676</v>
      </c>
      <c r="CY13" s="38"/>
      <c r="CZ13" s="38"/>
      <c r="DA13" s="7"/>
      <c r="DB13" s="2" t="s">
        <v>90</v>
      </c>
      <c r="DC13" s="13"/>
      <c r="DD13" s="38">
        <f t="shared" si="11"/>
        <v>0</v>
      </c>
      <c r="DE13" s="38">
        <f t="shared" si="12"/>
        <v>0</v>
      </c>
      <c r="DF13" s="38"/>
      <c r="DG13" s="38"/>
      <c r="DH13" s="25"/>
      <c r="DL13" s="38"/>
      <c r="DM13" s="101"/>
      <c r="DN13" s="102"/>
      <c r="DO13" s="38"/>
      <c r="DP13" s="7"/>
      <c r="DQ13" s="2"/>
      <c r="DR13" s="2"/>
      <c r="DS13" s="2"/>
      <c r="DT13" s="2"/>
      <c r="DU13" s="8"/>
      <c r="DW13" s="7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13"/>
      <c r="EL13" s="8"/>
      <c r="EM13" s="38"/>
      <c r="EN13" s="38"/>
      <c r="EO13" s="38"/>
      <c r="EP13" s="38"/>
      <c r="EQ13" s="38"/>
      <c r="ER13" s="38"/>
      <c r="ES13" s="38"/>
      <c r="ET13" s="38"/>
      <c r="EU13" s="24"/>
      <c r="EV13" s="38"/>
      <c r="EW13" s="2" t="str">
        <f t="shared" si="3"/>
        <v/>
      </c>
      <c r="EX13" s="2" t="str">
        <f t="shared" si="4"/>
        <v/>
      </c>
      <c r="EY13" s="2" t="str">
        <f t="shared" si="5"/>
        <v/>
      </c>
      <c r="EZ13" s="2" t="str">
        <f t="shared" si="6"/>
        <v/>
      </c>
      <c r="FA13" s="2">
        <v>12</v>
      </c>
      <c r="FB13" s="2">
        <f t="shared" si="7"/>
        <v>0</v>
      </c>
      <c r="FC13" s="2">
        <f t="shared" si="8"/>
        <v>0</v>
      </c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25"/>
      <c r="GH13" s="7"/>
      <c r="GI13" s="2" t="s">
        <v>125</v>
      </c>
      <c r="GJ13" s="8">
        <f t="shared" si="10"/>
        <v>0</v>
      </c>
    </row>
    <row r="14" spans="1:194" ht="15" thickBot="1">
      <c r="E14" s="26" t="s">
        <v>151</v>
      </c>
      <c r="F14" s="39" t="str">
        <f>MID(thisdwg,9,1)</f>
        <v>.</v>
      </c>
      <c r="G14" s="22" t="s">
        <v>828</v>
      </c>
      <c r="H14" s="23"/>
      <c r="I14" s="25"/>
      <c r="J14" s="38"/>
      <c r="K14" s="7" t="s">
        <v>9</v>
      </c>
      <c r="L14" s="2" t="s">
        <v>75</v>
      </c>
      <c r="M14" s="38"/>
      <c r="N14" s="25"/>
      <c r="O14" s="38"/>
      <c r="P14" s="24" t="s">
        <v>578</v>
      </c>
      <c r="Q14" s="72" t="str">
        <f>IF(IsView="Yes",IF(OR(IsLayout="No",AND(OR(IsEnlarged="Yes",IsLayout="Yes"),properXrefFound="Yes")),"ok","x"),IF(paperall&lt;3,"ok","x"))</f>
        <v>x</v>
      </c>
      <c r="R14" s="68"/>
      <c r="S14" s="68"/>
      <c r="T14" s="38"/>
      <c r="U14" s="38"/>
      <c r="V14" s="25"/>
      <c r="W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S14" s="7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 t="str">
        <f t="shared" si="9"/>
        <v/>
      </c>
      <c r="BI14" s="2"/>
      <c r="BJ14" s="2"/>
      <c r="BK14" s="38"/>
      <c r="BL14" s="7"/>
      <c r="BM14" s="2"/>
      <c r="BN14" s="38"/>
      <c r="BO14" s="38"/>
      <c r="BP14" s="25"/>
      <c r="BQ14" s="38"/>
      <c r="BR14" s="24"/>
      <c r="BS14" s="38"/>
      <c r="BT14" s="38"/>
      <c r="BU14" s="38"/>
      <c r="BV14" s="17"/>
      <c r="BW14" s="2"/>
      <c r="BX14" s="8"/>
      <c r="BY14" s="38"/>
      <c r="BZ14" s="7" t="s">
        <v>54</v>
      </c>
      <c r="CA14" s="2">
        <v>0</v>
      </c>
      <c r="CB14" s="38"/>
      <c r="CC14" s="38"/>
      <c r="CD14" s="38"/>
      <c r="CE14" s="25"/>
      <c r="CG14" s="7"/>
      <c r="CH14" s="2"/>
      <c r="CI14" s="2"/>
      <c r="CJ14" s="2"/>
      <c r="CK14" s="2"/>
      <c r="CL14" s="13"/>
      <c r="CM14" s="38"/>
      <c r="CN14" s="38"/>
      <c r="CO14" s="38"/>
      <c r="CP14" s="38"/>
      <c r="CQ14" s="2">
        <f t="shared" si="0"/>
        <v>0</v>
      </c>
      <c r="CR14" s="2">
        <f t="shared" si="1"/>
        <v>1</v>
      </c>
      <c r="CS14" s="2">
        <f t="shared" si="2"/>
        <v>2.38</v>
      </c>
      <c r="CT14" s="2">
        <v>2.38</v>
      </c>
      <c r="CU14" s="2" t="s">
        <v>98</v>
      </c>
      <c r="CV14" s="2" t="s">
        <v>686</v>
      </c>
      <c r="CW14" s="2" t="s">
        <v>99</v>
      </c>
      <c r="CX14" s="8" t="s">
        <v>676</v>
      </c>
      <c r="CY14" s="38"/>
      <c r="CZ14" s="38"/>
      <c r="DA14" s="7"/>
      <c r="DB14" s="2" t="s">
        <v>91</v>
      </c>
      <c r="DC14" s="13"/>
      <c r="DD14" s="38">
        <f t="shared" si="11"/>
        <v>0</v>
      </c>
      <c r="DE14" s="38">
        <f t="shared" si="12"/>
        <v>0</v>
      </c>
      <c r="DF14" s="38"/>
      <c r="DG14" s="38"/>
      <c r="DH14" s="25"/>
      <c r="DL14" s="38"/>
      <c r="DM14" s="38"/>
      <c r="DN14" s="38"/>
      <c r="DO14" s="38"/>
      <c r="DP14" s="7"/>
      <c r="DQ14" s="2"/>
      <c r="DR14" s="2"/>
      <c r="DS14" s="2"/>
      <c r="DT14" s="2"/>
      <c r="DU14" s="8"/>
      <c r="DW14" s="7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13"/>
      <c r="EL14" s="8"/>
      <c r="EM14" s="38"/>
      <c r="EN14" s="38"/>
      <c r="EO14" s="38"/>
      <c r="EP14" s="38"/>
      <c r="EQ14" s="38"/>
      <c r="ER14" s="38"/>
      <c r="ES14" s="38"/>
      <c r="ET14" s="38"/>
      <c r="EU14" s="26"/>
      <c r="EV14" s="39"/>
      <c r="EW14" s="10" t="str">
        <f t="shared" si="3"/>
        <v/>
      </c>
      <c r="EX14" s="10" t="str">
        <f t="shared" si="4"/>
        <v/>
      </c>
      <c r="EY14" s="10" t="str">
        <f t="shared" si="5"/>
        <v/>
      </c>
      <c r="EZ14" s="10" t="str">
        <f t="shared" si="6"/>
        <v/>
      </c>
      <c r="FA14" s="10">
        <v>13</v>
      </c>
      <c r="FB14" s="10">
        <f t="shared" si="7"/>
        <v>0</v>
      </c>
      <c r="FC14" s="10">
        <f t="shared" si="8"/>
        <v>0</v>
      </c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27"/>
      <c r="GH14" s="7"/>
      <c r="GI14" s="2" t="s">
        <v>124</v>
      </c>
      <c r="GJ14" s="8">
        <f t="shared" si="10"/>
        <v>0</v>
      </c>
    </row>
    <row r="15" spans="1:194" ht="15" thickBot="1">
      <c r="E15" s="24"/>
      <c r="F15" s="38"/>
      <c r="G15" s="26" t="s">
        <v>827</v>
      </c>
      <c r="H15" s="27" t="str">
        <f>IF(dwgname=DwgNum,"equal","not equal")</f>
        <v>equal</v>
      </c>
      <c r="I15" s="25"/>
      <c r="J15" s="38"/>
      <c r="K15" s="7" t="s">
        <v>13</v>
      </c>
      <c r="L15" s="2" t="s">
        <v>79</v>
      </c>
      <c r="M15" s="38" t="s">
        <v>832</v>
      </c>
      <c r="N15" s="25" t="str">
        <f>IF(LEN(SUBSTITUTE(Title1,"LC",""))&lt;LEN(Title1),"Yes","No")</f>
        <v>Yes</v>
      </c>
      <c r="O15" s="38"/>
      <c r="P15" s="24"/>
      <c r="Q15" s="38"/>
      <c r="R15" s="38"/>
      <c r="S15" s="38"/>
      <c r="T15" s="38"/>
      <c r="U15" s="38"/>
      <c r="V15" s="25"/>
      <c r="W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S15" s="7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 t="str">
        <f t="shared" si="9"/>
        <v/>
      </c>
      <c r="BI15" s="2"/>
      <c r="BJ15" s="2"/>
      <c r="BK15" s="38"/>
      <c r="BL15" s="7"/>
      <c r="BM15" s="2"/>
      <c r="BN15" s="38"/>
      <c r="BO15" s="38"/>
      <c r="BP15" s="25"/>
      <c r="BQ15" s="38"/>
      <c r="BR15" s="24"/>
      <c r="BS15" s="38"/>
      <c r="BT15" s="38"/>
      <c r="BU15" s="38"/>
      <c r="BV15" s="17"/>
      <c r="BW15" s="2"/>
      <c r="BX15" s="8"/>
      <c r="BY15" s="38"/>
      <c r="BZ15" s="7" t="s">
        <v>55</v>
      </c>
      <c r="CA15" s="2">
        <v>7</v>
      </c>
      <c r="CB15" s="38"/>
      <c r="CC15" s="38"/>
      <c r="CD15" s="38"/>
      <c r="CE15" s="25"/>
      <c r="CG15" s="7"/>
      <c r="CH15" s="2"/>
      <c r="CI15" s="2"/>
      <c r="CJ15" s="2"/>
      <c r="CK15" s="2"/>
      <c r="CL15" s="13"/>
      <c r="CM15" s="38"/>
      <c r="CN15" s="38"/>
      <c r="CO15" s="38"/>
      <c r="CP15" s="38"/>
      <c r="CQ15" s="2">
        <f t="shared" si="0"/>
        <v>0</v>
      </c>
      <c r="CR15" s="2">
        <f t="shared" si="1"/>
        <v>1</v>
      </c>
      <c r="CS15" s="2">
        <f t="shared" si="2"/>
        <v>2.38</v>
      </c>
      <c r="CT15" s="2">
        <v>2.38</v>
      </c>
      <c r="CU15" s="2" t="s">
        <v>98</v>
      </c>
      <c r="CV15" s="2" t="s">
        <v>299</v>
      </c>
      <c r="CW15" s="2" t="s">
        <v>99</v>
      </c>
      <c r="CX15" s="8" t="s">
        <v>676</v>
      </c>
      <c r="CY15" s="38"/>
      <c r="CZ15" s="38"/>
      <c r="DA15" s="7"/>
      <c r="DB15" s="2" t="s">
        <v>93</v>
      </c>
      <c r="DC15" s="13"/>
      <c r="DD15" s="38">
        <f t="shared" si="11"/>
        <v>0</v>
      </c>
      <c r="DE15" s="38">
        <f t="shared" si="12"/>
        <v>0</v>
      </c>
      <c r="DF15" s="38"/>
      <c r="DG15" s="38"/>
      <c r="DH15" s="25"/>
      <c r="DL15" s="38"/>
      <c r="DM15" s="38"/>
      <c r="DN15" s="38"/>
      <c r="DO15" s="38"/>
      <c r="DP15" s="7"/>
      <c r="DQ15" s="2"/>
      <c r="DR15" s="2"/>
      <c r="DS15" s="2"/>
      <c r="DT15" s="2"/>
      <c r="DU15" s="8"/>
      <c r="DW15" s="9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4"/>
      <c r="EL15" s="11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27"/>
      <c r="GH15" s="7"/>
      <c r="GI15" s="2" t="s">
        <v>775</v>
      </c>
      <c r="GJ15" s="8">
        <f t="shared" si="10"/>
        <v>0</v>
      </c>
    </row>
    <row r="16" spans="1:194" ht="15" thickBot="1">
      <c r="E16" s="28" t="s">
        <v>152</v>
      </c>
      <c r="F16" s="29" t="str">
        <f>titleletter1</f>
        <v>K</v>
      </c>
      <c r="G16" s="38"/>
      <c r="H16" s="38"/>
      <c r="I16" s="25"/>
      <c r="J16" s="38"/>
      <c r="K16" s="7" t="s">
        <v>12</v>
      </c>
      <c r="L16" s="2" t="s">
        <v>78</v>
      </c>
      <c r="M16" s="38" t="s">
        <v>572</v>
      </c>
      <c r="N16" s="25" t="str">
        <f>IF(LEN(SUBSTITUTE(Title2,"LEVEL",""))&lt;LEN(Title2),"Yes","No")</f>
        <v>Yes</v>
      </c>
      <c r="O16" s="38"/>
      <c r="P16" s="74" t="s">
        <v>846</v>
      </c>
      <c r="Q16" s="38"/>
      <c r="R16" s="38"/>
      <c r="S16" s="38" t="s">
        <v>884</v>
      </c>
      <c r="T16" s="38"/>
      <c r="U16" s="38"/>
      <c r="V16" s="25"/>
      <c r="W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S16" s="7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 t="str">
        <f t="shared" si="9"/>
        <v/>
      </c>
      <c r="BI16" s="2"/>
      <c r="BJ16" s="2"/>
      <c r="BK16" s="38"/>
      <c r="BL16" s="7"/>
      <c r="BM16" s="2"/>
      <c r="BN16" s="38"/>
      <c r="BO16" s="38"/>
      <c r="BP16" s="25"/>
      <c r="BQ16" s="38"/>
      <c r="BR16" s="24"/>
      <c r="BS16" s="38"/>
      <c r="BT16" s="38"/>
      <c r="BU16" s="38"/>
      <c r="BV16" s="17"/>
      <c r="BW16" s="2"/>
      <c r="BX16" s="8"/>
      <c r="BY16" s="38"/>
      <c r="BZ16" s="7" t="s">
        <v>56</v>
      </c>
      <c r="CA16" s="2">
        <v>0</v>
      </c>
      <c r="CB16" s="38"/>
      <c r="CC16" s="38"/>
      <c r="CD16" s="38"/>
      <c r="CE16" s="25"/>
      <c r="CG16" s="7"/>
      <c r="CH16" s="2"/>
      <c r="CI16" s="2"/>
      <c r="CJ16" s="2"/>
      <c r="CK16" s="2"/>
      <c r="CL16" s="13"/>
      <c r="CM16" s="38"/>
      <c r="CN16" s="38"/>
      <c r="CO16" s="38"/>
      <c r="CP16" s="38"/>
      <c r="CQ16" s="2">
        <f t="shared" si="0"/>
        <v>0</v>
      </c>
      <c r="CR16" s="2">
        <f t="shared" si="1"/>
        <v>1</v>
      </c>
      <c r="CS16" s="2">
        <f t="shared" si="2"/>
        <v>2.38</v>
      </c>
      <c r="CT16" s="2">
        <v>2.38</v>
      </c>
      <c r="CU16" s="2" t="s">
        <v>98</v>
      </c>
      <c r="CV16" s="2" t="s">
        <v>223</v>
      </c>
      <c r="CW16" s="2" t="s">
        <v>99</v>
      </c>
      <c r="CX16" s="8" t="s">
        <v>676</v>
      </c>
      <c r="CY16" s="38"/>
      <c r="CZ16" s="38"/>
      <c r="DA16" s="7"/>
      <c r="DB16" s="2" t="s">
        <v>94</v>
      </c>
      <c r="DC16" s="13"/>
      <c r="DD16" s="38">
        <f t="shared" si="11"/>
        <v>0</v>
      </c>
      <c r="DE16" s="38">
        <f t="shared" si="12"/>
        <v>0</v>
      </c>
      <c r="DF16" s="38"/>
      <c r="DG16" s="38"/>
      <c r="DH16" s="25"/>
      <c r="DL16" s="38"/>
      <c r="DM16" s="38"/>
      <c r="DN16" s="38"/>
      <c r="DO16" s="38"/>
      <c r="DP16" s="9"/>
      <c r="DQ16" s="10"/>
      <c r="DR16" s="10"/>
      <c r="DS16" s="10"/>
      <c r="DT16" s="10"/>
      <c r="DU16" s="11"/>
      <c r="GH16" s="7"/>
      <c r="GI16" s="2" t="s">
        <v>809</v>
      </c>
      <c r="GJ16" s="8">
        <f t="shared" si="10"/>
        <v>1</v>
      </c>
    </row>
    <row r="17" spans="4:192">
      <c r="E17" s="30" t="s">
        <v>153</v>
      </c>
      <c r="F17" s="31" t="str">
        <f>IF(OR(titleletter1="K",titleletter1="G",titleletter1="M",titleletter1="R"),"Yes","No")</f>
        <v>Yes</v>
      </c>
      <c r="G17" s="38"/>
      <c r="I17" s="25"/>
      <c r="J17" s="38"/>
      <c r="K17" s="7" t="s">
        <v>11</v>
      </c>
      <c r="L17" s="2" t="s">
        <v>77</v>
      </c>
      <c r="M17" s="38" t="s">
        <v>833</v>
      </c>
      <c r="N17" s="25" t="str">
        <f>IF(OR(LEN(SUBSTITUTE(Title3,"OVERVIEW",""))&lt;LEN(Title3),LEN(SUBSTITUTE(Title3,"SECTOR",""))&lt;LEN(Title3)),"Yes","No")</f>
        <v>Yes</v>
      </c>
      <c r="O17" s="38"/>
      <c r="P17" s="74" t="s">
        <v>847</v>
      </c>
      <c r="Q17" s="38" t="str">
        <f>VLOOKUP(titleletter1,xrefLetterTable,2,FALSE)</f>
        <v>G</v>
      </c>
      <c r="R17" s="38"/>
      <c r="S17" s="38" t="str">
        <f>VLOOKUP(titleletter1,xrefLetterTable,2,FALSE)</f>
        <v>G</v>
      </c>
      <c r="T17" s="38"/>
      <c r="U17" s="38"/>
      <c r="V17" s="25"/>
      <c r="W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S17" s="7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 t="str">
        <f t="shared" si="9"/>
        <v/>
      </c>
      <c r="BI17" s="2"/>
      <c r="BJ17" s="2"/>
      <c r="BK17" s="38"/>
      <c r="BL17" s="7"/>
      <c r="BM17" s="2"/>
      <c r="BN17" s="38"/>
      <c r="BO17" s="38"/>
      <c r="BP17" s="25"/>
      <c r="BQ17" s="38"/>
      <c r="BR17" s="24"/>
      <c r="BS17" s="38"/>
      <c r="BT17" s="38"/>
      <c r="BU17" s="38"/>
      <c r="BV17" s="17"/>
      <c r="BW17" s="2"/>
      <c r="BX17" s="8"/>
      <c r="BY17" s="38"/>
      <c r="BZ17" s="7" t="s">
        <v>57</v>
      </c>
      <c r="CA17" s="2">
        <v>0</v>
      </c>
      <c r="CB17" s="38"/>
      <c r="CC17" s="38"/>
      <c r="CD17" s="38"/>
      <c r="CE17" s="25"/>
      <c r="CG17" s="7"/>
      <c r="CH17" s="2"/>
      <c r="CI17" s="2"/>
      <c r="CJ17" s="2"/>
      <c r="CK17" s="2"/>
      <c r="CL17" s="13"/>
      <c r="CM17" s="38"/>
      <c r="CN17" s="38"/>
      <c r="CO17" s="38"/>
      <c r="CP17" s="38"/>
      <c r="CQ17" s="2">
        <f t="shared" si="0"/>
        <v>0</v>
      </c>
      <c r="CR17" s="2">
        <f t="shared" si="1"/>
        <v>1</v>
      </c>
      <c r="CS17" s="2">
        <f t="shared" si="2"/>
        <v>2.38</v>
      </c>
      <c r="CT17" s="2">
        <v>2.38</v>
      </c>
      <c r="CU17" s="2" t="s">
        <v>98</v>
      </c>
      <c r="CV17" s="2" t="s">
        <v>687</v>
      </c>
      <c r="CW17" s="2" t="s">
        <v>99</v>
      </c>
      <c r="CX17" s="8" t="s">
        <v>676</v>
      </c>
      <c r="CY17" s="38"/>
      <c r="DA17" s="7"/>
      <c r="DB17" s="2" t="s">
        <v>95</v>
      </c>
      <c r="DC17" s="13"/>
      <c r="DD17" s="38">
        <f>IF(ISERROR(FIND("$0$",DB17)),0,1)</f>
        <v>0</v>
      </c>
      <c r="DE17" s="38">
        <f t="shared" si="12"/>
        <v>0</v>
      </c>
      <c r="DF17" s="38"/>
      <c r="DG17" s="38"/>
      <c r="DH17" s="25"/>
      <c r="DL17" s="38"/>
      <c r="DM17" s="38"/>
      <c r="DN17" s="38"/>
      <c r="DO17" s="38"/>
      <c r="GH17" s="7"/>
      <c r="GI17" s="2"/>
      <c r="GJ17" s="8" t="str">
        <f t="shared" si="10"/>
        <v/>
      </c>
    </row>
    <row r="18" spans="4:192">
      <c r="E18" s="30" t="s">
        <v>812</v>
      </c>
      <c r="F18" s="25" t="str">
        <f>IsView</f>
        <v>Yes</v>
      </c>
      <c r="G18" s="68"/>
      <c r="H18" s="38"/>
      <c r="I18" s="25"/>
      <c r="J18" s="38"/>
      <c r="K18" s="7" t="s">
        <v>10</v>
      </c>
      <c r="L18" s="2" t="s">
        <v>76</v>
      </c>
      <c r="M18" s="68" t="s">
        <v>834</v>
      </c>
      <c r="N18" s="25" t="str">
        <f>IF(OR(LEN(SUBSTITUTE(Title4,"LAYOUT",""))&lt;LEN(Title4),LEN(SUBSTITUTE(Title4,"VIEW",""))&lt;LEN(Title4)),"Yes","No")</f>
        <v>Yes</v>
      </c>
      <c r="O18" s="38"/>
      <c r="P18" s="74" t="s">
        <v>848</v>
      </c>
      <c r="Q18" s="38" t="str">
        <f>titleletter2</f>
        <v>S</v>
      </c>
      <c r="R18" s="38"/>
      <c r="S18" s="38" t="str">
        <f>titleletter2</f>
        <v>S</v>
      </c>
      <c r="T18" s="38"/>
      <c r="U18" s="38"/>
      <c r="V18" s="25"/>
      <c r="W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S18" s="7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 t="str">
        <f t="shared" si="9"/>
        <v/>
      </c>
      <c r="BI18" s="2"/>
      <c r="BJ18" s="2"/>
      <c r="BK18" s="38"/>
      <c r="BL18" s="7"/>
      <c r="BM18" s="2"/>
      <c r="BN18" s="38"/>
      <c r="BO18" s="38"/>
      <c r="BP18" s="25"/>
      <c r="BQ18" s="38"/>
      <c r="BR18" s="24"/>
      <c r="BS18" s="38"/>
      <c r="BT18" s="38"/>
      <c r="BU18" s="38"/>
      <c r="BV18" s="17"/>
      <c r="BW18" s="2"/>
      <c r="BX18" s="8"/>
      <c r="BY18" s="38"/>
      <c r="BZ18" s="7" t="s">
        <v>58</v>
      </c>
      <c r="CA18" s="2">
        <v>7</v>
      </c>
      <c r="CB18" s="38"/>
      <c r="CC18" s="38"/>
      <c r="CD18" s="38"/>
      <c r="CE18" s="25"/>
      <c r="CG18" s="7"/>
      <c r="CH18" s="2"/>
      <c r="CI18" s="2"/>
      <c r="CJ18" s="2"/>
      <c r="CK18" s="2"/>
      <c r="CL18" s="13"/>
      <c r="CM18" s="38"/>
      <c r="CN18" s="38"/>
      <c r="CO18" s="38"/>
      <c r="CP18" s="38"/>
      <c r="CQ18" s="2">
        <f t="shared" si="0"/>
        <v>0</v>
      </c>
      <c r="CR18" s="2">
        <f t="shared" si="1"/>
        <v>1</v>
      </c>
      <c r="CS18" s="2">
        <f t="shared" si="2"/>
        <v>2.38</v>
      </c>
      <c r="CT18" s="2">
        <v>2.38</v>
      </c>
      <c r="CU18" s="2" t="s">
        <v>98</v>
      </c>
      <c r="CV18" s="2" t="s">
        <v>688</v>
      </c>
      <c r="CW18" s="2" t="s">
        <v>99</v>
      </c>
      <c r="CX18" s="8" t="s">
        <v>676</v>
      </c>
      <c r="CY18" s="38"/>
      <c r="DA18" s="7"/>
      <c r="DB18" s="2" t="s">
        <v>888</v>
      </c>
      <c r="DC18" s="13"/>
      <c r="DD18" s="38">
        <f>IF(ISERROR(FIND("$0$",DB18)),0,1)</f>
        <v>1</v>
      </c>
      <c r="DE18" s="38">
        <f t="shared" si="12"/>
        <v>1</v>
      </c>
      <c r="DF18" s="38"/>
      <c r="DG18" s="38"/>
      <c r="DH18" s="25"/>
      <c r="DL18" s="38"/>
      <c r="DM18" s="38"/>
      <c r="DN18" s="38"/>
      <c r="DO18" s="38"/>
      <c r="GH18" s="7"/>
      <c r="GI18" s="2"/>
      <c r="GJ18" s="8" t="str">
        <f t="shared" si="10"/>
        <v/>
      </c>
    </row>
    <row r="19" spans="4:192" ht="15" thickBot="1">
      <c r="E19" s="24"/>
      <c r="F19" s="38"/>
      <c r="G19" s="38"/>
      <c r="H19" s="38"/>
      <c r="I19" s="25"/>
      <c r="J19" s="38"/>
      <c r="K19" s="7" t="s">
        <v>14</v>
      </c>
      <c r="L19" s="2" t="s">
        <v>80</v>
      </c>
      <c r="M19" s="38"/>
      <c r="N19" s="25"/>
      <c r="O19" s="38"/>
      <c r="P19" s="74" t="s">
        <v>849</v>
      </c>
      <c r="Q19" s="38" t="str">
        <f>titleletter3</f>
        <v>T</v>
      </c>
      <c r="R19" s="38"/>
      <c r="S19" s="38" t="s">
        <v>255</v>
      </c>
      <c r="T19" s="38"/>
      <c r="U19" s="38"/>
      <c r="V19" s="25"/>
      <c r="W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S19" s="7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 t="str">
        <f t="shared" si="9"/>
        <v/>
      </c>
      <c r="BI19" s="2"/>
      <c r="BJ19" s="2"/>
      <c r="BK19" s="38"/>
      <c r="BL19" s="7"/>
      <c r="BM19" s="2"/>
      <c r="BN19" s="38"/>
      <c r="BO19" s="38"/>
      <c r="BP19" s="25"/>
      <c r="BQ19" s="38"/>
      <c r="BR19" s="24"/>
      <c r="BS19" s="38"/>
      <c r="BT19" s="38"/>
      <c r="BU19" s="38"/>
      <c r="BV19" s="17"/>
      <c r="BW19" s="2"/>
      <c r="BX19" s="8"/>
      <c r="BY19" s="38"/>
      <c r="BZ19" s="24"/>
      <c r="CA19" s="38"/>
      <c r="CB19" s="38"/>
      <c r="CC19" s="38"/>
      <c r="CD19" s="38"/>
      <c r="CE19" s="25"/>
      <c r="CG19" s="9"/>
      <c r="CH19" s="10"/>
      <c r="CI19" s="10"/>
      <c r="CJ19" s="10"/>
      <c r="CK19" s="10"/>
      <c r="CL19" s="14"/>
      <c r="CM19" s="38"/>
      <c r="CN19" s="38"/>
      <c r="CO19" s="38"/>
      <c r="CP19" s="38"/>
      <c r="CQ19" s="2">
        <f t="shared" si="0"/>
        <v>0</v>
      </c>
      <c r="CR19" s="2">
        <f t="shared" si="1"/>
        <v>1</v>
      </c>
      <c r="CS19" s="2">
        <f t="shared" si="2"/>
        <v>2.38</v>
      </c>
      <c r="CT19" s="2">
        <v>2.38</v>
      </c>
      <c r="CU19" s="2" t="s">
        <v>98</v>
      </c>
      <c r="CV19" s="2" t="s">
        <v>213</v>
      </c>
      <c r="CW19" s="2" t="s">
        <v>99</v>
      </c>
      <c r="CX19" s="8" t="s">
        <v>676</v>
      </c>
      <c r="CY19" s="38"/>
      <c r="DA19" s="7"/>
      <c r="DB19" s="2" t="s">
        <v>631</v>
      </c>
      <c r="DC19" s="13"/>
      <c r="DD19" s="38">
        <f t="shared" ref="DD19:DD45" si="13">IF(ISERROR(FIND("$0$",DB19)),0,1)</f>
        <v>0</v>
      </c>
      <c r="DE19" s="38">
        <f t="shared" si="12"/>
        <v>0</v>
      </c>
      <c r="DF19" s="38"/>
      <c r="DG19" s="38"/>
      <c r="DH19" s="25"/>
      <c r="DL19" s="38"/>
      <c r="DM19" s="38"/>
      <c r="DN19" s="38"/>
      <c r="DO19" s="38"/>
      <c r="GH19" s="7"/>
      <c r="GI19" s="2"/>
      <c r="GJ19" s="8" t="str">
        <f t="shared" si="10"/>
        <v/>
      </c>
    </row>
    <row r="20" spans="4:192" ht="15" thickBot="1">
      <c r="E20" s="24" t="s">
        <v>154</v>
      </c>
      <c r="F20" s="25" t="str">
        <f>titleletter2</f>
        <v>S</v>
      </c>
      <c r="G20" s="38"/>
      <c r="H20" s="38"/>
      <c r="I20" s="25"/>
      <c r="J20" s="38"/>
      <c r="K20" s="7" t="s">
        <v>15</v>
      </c>
      <c r="L20" s="2" t="s">
        <v>80</v>
      </c>
      <c r="M20" s="38"/>
      <c r="N20" s="25"/>
      <c r="O20" s="38"/>
      <c r="P20" s="74" t="s">
        <v>850</v>
      </c>
      <c r="Q20" s="38" t="str">
        <f>titleletter4</f>
        <v>-</v>
      </c>
      <c r="R20" s="38"/>
      <c r="S20" s="38" t="str">
        <f>titleletter4</f>
        <v>-</v>
      </c>
      <c r="T20" s="38"/>
      <c r="U20" s="38"/>
      <c r="V20" s="25"/>
      <c r="W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S20" s="7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 t="str">
        <f t="shared" si="9"/>
        <v/>
      </c>
      <c r="BI20" s="2"/>
      <c r="BJ20" s="2"/>
      <c r="BK20" s="38"/>
      <c r="BL20" s="7"/>
      <c r="BM20" s="2"/>
      <c r="BN20" s="38"/>
      <c r="BO20" s="38"/>
      <c r="BP20" s="25"/>
      <c r="BQ20" s="38"/>
      <c r="BR20" s="24"/>
      <c r="BS20" s="38"/>
      <c r="BT20" s="38"/>
      <c r="BU20" s="38"/>
      <c r="BV20" s="17"/>
      <c r="BW20" s="2"/>
      <c r="BX20" s="8"/>
      <c r="BY20" s="38"/>
      <c r="BZ20" s="92" t="s">
        <v>48</v>
      </c>
      <c r="CA20" s="10" t="str">
        <f>IF(modelall=modelblks,"ok",IF(IsLayout="Yes","x",IF(paperall=0,"ok","x")))</f>
        <v>ok</v>
      </c>
      <c r="CB20" s="39"/>
      <c r="CC20" s="39"/>
      <c r="CD20" s="39"/>
      <c r="CE20" s="27"/>
      <c r="CG20" s="24"/>
      <c r="CH20" s="38"/>
      <c r="CI20" s="38"/>
      <c r="CJ20" s="38"/>
      <c r="CK20" s="38"/>
      <c r="CL20" s="38"/>
      <c r="CM20" s="38"/>
      <c r="CN20" s="38"/>
      <c r="CO20" s="38"/>
      <c r="CP20" s="38"/>
      <c r="CQ20" s="2" t="str">
        <f t="shared" si="0"/>
        <v/>
      </c>
      <c r="CR20" s="2" t="str">
        <f t="shared" si="1"/>
        <v/>
      </c>
      <c r="CS20" s="2" t="str">
        <f t="shared" si="2"/>
        <v/>
      </c>
      <c r="CT20" s="2"/>
      <c r="CU20" s="2"/>
      <c r="CV20" s="2"/>
      <c r="CW20" s="2"/>
      <c r="CX20" s="8"/>
      <c r="DA20" s="7"/>
      <c r="DB20" s="2"/>
      <c r="DC20" s="13"/>
      <c r="DD20" s="38">
        <f t="shared" si="13"/>
        <v>0</v>
      </c>
      <c r="DE20" s="38">
        <f t="shared" si="12"/>
        <v>0</v>
      </c>
      <c r="DF20" s="38"/>
      <c r="DG20" s="38"/>
      <c r="DH20" s="25"/>
      <c r="DL20" s="38"/>
      <c r="DM20" s="38"/>
      <c r="DN20" s="38"/>
      <c r="DO20" s="38"/>
      <c r="GH20" s="7"/>
      <c r="GI20" s="2"/>
      <c r="GJ20" s="8" t="str">
        <f t="shared" si="10"/>
        <v/>
      </c>
    </row>
    <row r="21" spans="4:192">
      <c r="E21" s="24" t="s">
        <v>813</v>
      </c>
      <c r="F21" s="71" t="str">
        <f>VLOOKUP(titleletter2,NCBuilding,2,FALSE)</f>
        <v>CUB</v>
      </c>
      <c r="G21" s="38"/>
      <c r="H21" s="38"/>
      <c r="I21" s="25"/>
      <c r="J21" s="38"/>
      <c r="K21" s="7" t="s">
        <v>16</v>
      </c>
      <c r="L21" s="2"/>
      <c r="M21" s="38"/>
      <c r="N21" s="25"/>
      <c r="O21" s="38"/>
      <c r="P21" s="74" t="s">
        <v>851</v>
      </c>
      <c r="Q21" s="38" t="str">
        <f>titleletter5</f>
        <v>2</v>
      </c>
      <c r="R21" s="38"/>
      <c r="S21" s="38">
        <v>0</v>
      </c>
      <c r="T21" s="38"/>
      <c r="U21" s="38"/>
      <c r="V21" s="25"/>
      <c r="W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S21" s="7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 t="str">
        <f t="shared" si="9"/>
        <v/>
      </c>
      <c r="BI21" s="2"/>
      <c r="BJ21" s="2"/>
      <c r="BK21" s="38"/>
      <c r="BL21" s="7"/>
      <c r="BM21" s="2"/>
      <c r="BN21" s="38"/>
      <c r="BO21" s="38"/>
      <c r="BP21" s="25"/>
      <c r="BQ21" s="38"/>
      <c r="BR21" s="24"/>
      <c r="BS21" s="38"/>
      <c r="BT21" s="38"/>
      <c r="BU21" s="38"/>
      <c r="BV21" s="17"/>
      <c r="BW21" s="2"/>
      <c r="BX21" s="8"/>
      <c r="BY21" s="38"/>
      <c r="BZ21" s="38"/>
      <c r="CA21" s="38"/>
      <c r="CB21" s="38"/>
      <c r="CC21" s="38"/>
      <c r="CD21" s="38"/>
      <c r="CE21" s="38"/>
      <c r="CG21" s="24"/>
      <c r="CH21" s="38"/>
      <c r="CI21" s="38"/>
      <c r="CJ21" s="38"/>
      <c r="CK21" s="38"/>
      <c r="CL21" s="38"/>
      <c r="CM21" s="38"/>
      <c r="CN21" s="38"/>
      <c r="CO21" s="38"/>
      <c r="CP21" s="38"/>
      <c r="CQ21" s="2" t="str">
        <f t="shared" si="0"/>
        <v/>
      </c>
      <c r="CR21" s="2" t="str">
        <f t="shared" si="1"/>
        <v/>
      </c>
      <c r="CS21" s="2" t="str">
        <f t="shared" si="2"/>
        <v/>
      </c>
      <c r="CT21" s="2"/>
      <c r="CU21" s="2"/>
      <c r="CV21" s="2"/>
      <c r="CW21" s="2"/>
      <c r="CX21" s="8"/>
      <c r="DA21" s="7"/>
      <c r="DB21" s="2"/>
      <c r="DC21" s="13"/>
      <c r="DD21" s="38">
        <f t="shared" si="13"/>
        <v>0</v>
      </c>
      <c r="DE21" s="38">
        <f t="shared" si="12"/>
        <v>0</v>
      </c>
      <c r="DF21" s="38"/>
      <c r="DG21" s="38"/>
      <c r="DH21" s="25"/>
      <c r="DL21" s="38"/>
      <c r="DM21" s="38"/>
      <c r="DN21" s="38"/>
      <c r="DO21" s="38"/>
      <c r="GH21" s="7"/>
      <c r="GI21" s="2"/>
      <c r="GJ21" s="8" t="str">
        <f t="shared" si="10"/>
        <v/>
      </c>
    </row>
    <row r="22" spans="4:192">
      <c r="E22" s="24"/>
      <c r="F22" s="25"/>
      <c r="G22" s="38"/>
      <c r="H22" s="38"/>
      <c r="I22" s="25"/>
      <c r="J22" s="38"/>
      <c r="K22" s="7" t="s">
        <v>17</v>
      </c>
      <c r="L22" s="2"/>
      <c r="M22" s="38"/>
      <c r="N22" s="25"/>
      <c r="O22" s="38"/>
      <c r="P22" s="74" t="s">
        <v>852</v>
      </c>
      <c r="Q22" s="38" t="str">
        <f>titleletter6</f>
        <v>-</v>
      </c>
      <c r="R22" s="38"/>
      <c r="S22" s="38" t="str">
        <f>titleletter6</f>
        <v>-</v>
      </c>
      <c r="T22" s="38"/>
      <c r="U22" s="38"/>
      <c r="V22" s="25"/>
      <c r="W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S22" s="7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 t="str">
        <f t="shared" si="9"/>
        <v/>
      </c>
      <c r="BI22" s="2"/>
      <c r="BJ22" s="2"/>
      <c r="BK22" s="38"/>
      <c r="BL22" s="7"/>
      <c r="BM22" s="2"/>
      <c r="BN22" s="38"/>
      <c r="BO22" s="38"/>
      <c r="BP22" s="25"/>
      <c r="BQ22" s="38"/>
      <c r="BR22" s="24"/>
      <c r="BS22" s="38"/>
      <c r="BT22" s="38"/>
      <c r="BU22" s="38"/>
      <c r="BV22" s="17"/>
      <c r="BW22" s="2"/>
      <c r="BX22" s="8"/>
      <c r="BY22" s="38"/>
      <c r="BZ22" s="38"/>
      <c r="CA22" s="38"/>
      <c r="CB22" s="38"/>
      <c r="CC22" s="38"/>
      <c r="CD22" s="38"/>
      <c r="CE22" s="38"/>
      <c r="CG22" s="24"/>
      <c r="CH22" s="38"/>
      <c r="CI22" s="38"/>
      <c r="CJ22" s="38"/>
      <c r="CK22" s="38"/>
      <c r="CL22" s="38"/>
      <c r="CM22" s="38"/>
      <c r="CN22" s="38"/>
      <c r="CO22" s="38"/>
      <c r="CP22" s="38"/>
      <c r="CQ22" s="2" t="str">
        <f t="shared" si="0"/>
        <v/>
      </c>
      <c r="CR22" s="2" t="str">
        <f t="shared" si="1"/>
        <v/>
      </c>
      <c r="CS22" s="2" t="str">
        <f t="shared" si="2"/>
        <v/>
      </c>
      <c r="CT22" s="2"/>
      <c r="CU22" s="2"/>
      <c r="CV22" s="2"/>
      <c r="CW22" s="2"/>
      <c r="CX22" s="8"/>
      <c r="DA22" s="7"/>
      <c r="DB22" s="2"/>
      <c r="DC22" s="13"/>
      <c r="DD22" s="38">
        <f t="shared" si="13"/>
        <v>0</v>
      </c>
      <c r="DE22" s="38">
        <f t="shared" si="12"/>
        <v>0</v>
      </c>
      <c r="DF22" s="38"/>
      <c r="DG22" s="38"/>
      <c r="DH22" s="25"/>
      <c r="DL22" s="38"/>
      <c r="DM22" s="38"/>
      <c r="DN22" s="38"/>
      <c r="DO22" s="38"/>
      <c r="GH22" s="7"/>
      <c r="GI22" s="2"/>
      <c r="GJ22" s="8" t="str">
        <f t="shared" si="10"/>
        <v/>
      </c>
    </row>
    <row r="23" spans="4:192" ht="15" thickBot="1">
      <c r="E23" s="24" t="s">
        <v>156</v>
      </c>
      <c r="F23" s="25" t="str">
        <f>MID($E$5,3,2)</f>
        <v>T-</v>
      </c>
      <c r="G23" s="38"/>
      <c r="H23" s="38"/>
      <c r="I23" s="25"/>
      <c r="J23" s="38"/>
      <c r="K23" s="7" t="s">
        <v>18</v>
      </c>
      <c r="L23" s="2"/>
      <c r="M23" s="38"/>
      <c r="N23" s="25"/>
      <c r="O23" s="38"/>
      <c r="P23" s="74" t="s">
        <v>853</v>
      </c>
      <c r="Q23" s="38" t="s">
        <v>207</v>
      </c>
      <c r="R23" s="38"/>
      <c r="S23" s="38" t="str">
        <f>titleletter7</f>
        <v>F</v>
      </c>
      <c r="T23" s="38"/>
      <c r="U23" s="38"/>
      <c r="V23" s="25"/>
      <c r="W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S23" s="7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 t="str">
        <f t="shared" si="9"/>
        <v/>
      </c>
      <c r="BI23" s="2"/>
      <c r="BJ23" s="2"/>
      <c r="BK23" s="38"/>
      <c r="BL23" s="9"/>
      <c r="BM23" s="10"/>
      <c r="BN23" s="39"/>
      <c r="BO23" s="39"/>
      <c r="BP23" s="27"/>
      <c r="BQ23" s="38"/>
      <c r="BR23" s="24"/>
      <c r="BS23" s="38"/>
      <c r="BT23" s="38"/>
      <c r="BU23" s="38"/>
      <c r="BV23" s="17"/>
      <c r="BW23" s="2"/>
      <c r="BX23" s="8"/>
      <c r="BY23" s="38"/>
      <c r="BZ23" s="38"/>
      <c r="CA23" s="38"/>
      <c r="CB23" s="38"/>
      <c r="CC23" s="38"/>
      <c r="CD23" s="38"/>
      <c r="CE23" s="38"/>
      <c r="CG23" s="24"/>
      <c r="CH23" s="38"/>
      <c r="CI23" s="38"/>
      <c r="CJ23" s="38"/>
      <c r="CK23" s="38"/>
      <c r="CL23" s="38"/>
      <c r="CM23" s="38"/>
      <c r="CN23" s="38"/>
      <c r="CO23" s="38"/>
      <c r="CP23" s="38"/>
      <c r="CQ23" s="2" t="str">
        <f t="shared" si="0"/>
        <v/>
      </c>
      <c r="CR23" s="2" t="str">
        <f t="shared" si="1"/>
        <v/>
      </c>
      <c r="CS23" s="2" t="str">
        <f t="shared" si="2"/>
        <v/>
      </c>
      <c r="CT23" s="2"/>
      <c r="CU23" s="2"/>
      <c r="CV23" s="2"/>
      <c r="CW23" s="2"/>
      <c r="CX23" s="8"/>
      <c r="DA23" s="7"/>
      <c r="DB23" s="2"/>
      <c r="DC23" s="13"/>
      <c r="DD23" s="38">
        <f t="shared" si="13"/>
        <v>0</v>
      </c>
      <c r="DE23" s="38">
        <f t="shared" si="12"/>
        <v>0</v>
      </c>
      <c r="DF23" s="38"/>
      <c r="DG23" s="38"/>
      <c r="DH23" s="25"/>
      <c r="DL23" s="38"/>
      <c r="DM23" s="38"/>
      <c r="DN23" s="38"/>
      <c r="DO23" s="38"/>
      <c r="GH23" s="7"/>
      <c r="GI23" s="2"/>
      <c r="GJ23" s="8" t="str">
        <f t="shared" si="10"/>
        <v/>
      </c>
    </row>
    <row r="24" spans="4:192">
      <c r="E24" s="24" t="s">
        <v>155</v>
      </c>
      <c r="F24" s="25" t="str">
        <f>VLOOKUP(titleletters34,NCDisciplines,2,FALSE)</f>
        <v xml:space="preserve">Telecommunications </v>
      </c>
      <c r="G24" s="38"/>
      <c r="H24" s="38"/>
      <c r="I24" s="25"/>
      <c r="J24" s="38"/>
      <c r="K24" s="7" t="s">
        <v>19</v>
      </c>
      <c r="L24" s="2"/>
      <c r="M24" s="38"/>
      <c r="N24" s="25"/>
      <c r="O24" s="38"/>
      <c r="P24" s="74" t="s">
        <v>854</v>
      </c>
      <c r="Q24" s="38" t="s">
        <v>276</v>
      </c>
      <c r="R24" s="38"/>
      <c r="S24" s="38" t="str">
        <f>titleletter8</f>
        <v>-</v>
      </c>
      <c r="T24" s="38"/>
      <c r="U24" s="38"/>
      <c r="V24" s="25"/>
      <c r="W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S24" s="7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 t="str">
        <f t="shared" si="9"/>
        <v/>
      </c>
      <c r="BI24" s="2"/>
      <c r="BJ24" s="2"/>
      <c r="BK24" s="38"/>
      <c r="BL24" s="38"/>
      <c r="BM24" s="38"/>
      <c r="BN24" s="38"/>
      <c r="BO24" s="38"/>
      <c r="BP24" s="38"/>
      <c r="BQ24" s="38"/>
      <c r="BR24" s="24"/>
      <c r="BS24" s="38"/>
      <c r="BT24" s="38"/>
      <c r="BU24" s="38"/>
      <c r="BV24" s="17"/>
      <c r="BW24" s="2"/>
      <c r="BX24" s="8"/>
      <c r="BY24" s="38"/>
      <c r="BZ24" s="38"/>
      <c r="CA24" s="38"/>
      <c r="CB24" s="38"/>
      <c r="CC24" s="38"/>
      <c r="CD24" s="38"/>
      <c r="CE24" s="38"/>
      <c r="CG24" s="24"/>
      <c r="CH24" s="38"/>
      <c r="CI24" s="38"/>
      <c r="CJ24" s="38"/>
      <c r="CK24" s="38"/>
      <c r="CL24" s="38"/>
      <c r="CM24" s="38"/>
      <c r="CN24" s="38"/>
      <c r="CO24" s="38"/>
      <c r="CP24" s="38"/>
      <c r="CQ24" s="2" t="str">
        <f t="shared" si="0"/>
        <v/>
      </c>
      <c r="CR24" s="2" t="str">
        <f t="shared" si="1"/>
        <v/>
      </c>
      <c r="CS24" s="2" t="str">
        <f t="shared" si="2"/>
        <v/>
      </c>
      <c r="CT24" s="2"/>
      <c r="CU24" s="2"/>
      <c r="CV24" s="2"/>
      <c r="CW24" s="2"/>
      <c r="CX24" s="8"/>
      <c r="DA24" s="7"/>
      <c r="DB24" s="2"/>
      <c r="DC24" s="13"/>
      <c r="DD24" s="38">
        <f t="shared" si="13"/>
        <v>0</v>
      </c>
      <c r="DE24" s="38">
        <f t="shared" si="12"/>
        <v>0</v>
      </c>
      <c r="DF24" s="38"/>
      <c r="DG24" s="38"/>
      <c r="DH24" s="25"/>
      <c r="DL24" s="38"/>
      <c r="DM24" s="38"/>
      <c r="DN24" s="38"/>
      <c r="DO24" s="38"/>
      <c r="GH24" s="7"/>
      <c r="GI24" s="2"/>
      <c r="GJ24" s="8" t="str">
        <f t="shared" si="10"/>
        <v/>
      </c>
    </row>
    <row r="25" spans="4:192">
      <c r="E25" s="24"/>
      <c r="F25" s="25"/>
      <c r="G25" s="38"/>
      <c r="H25" s="38"/>
      <c r="I25" s="25"/>
      <c r="J25" s="38"/>
      <c r="K25" s="7" t="s">
        <v>20</v>
      </c>
      <c r="L25" s="2"/>
      <c r="M25" s="38"/>
      <c r="N25" s="25"/>
      <c r="O25" s="38"/>
      <c r="P25" s="24"/>
      <c r="Q25" s="38"/>
      <c r="R25" s="38"/>
      <c r="S25" s="38"/>
      <c r="T25" s="38"/>
      <c r="U25" s="38"/>
      <c r="V25" s="25"/>
      <c r="W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S25" s="7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 t="str">
        <f t="shared" si="9"/>
        <v/>
      </c>
      <c r="BI25" s="2"/>
      <c r="BJ25" s="2"/>
      <c r="BK25" s="38"/>
      <c r="BL25" s="38"/>
      <c r="BM25" s="38"/>
      <c r="BN25" s="38"/>
      <c r="BO25" s="38"/>
      <c r="BP25" s="38"/>
      <c r="BQ25" s="38"/>
      <c r="BR25" s="24"/>
      <c r="BS25" s="38"/>
      <c r="BT25" s="38"/>
      <c r="BU25" s="38"/>
      <c r="BV25" s="17"/>
      <c r="BW25" s="2"/>
      <c r="BX25" s="8"/>
      <c r="BY25" s="38"/>
      <c r="BZ25" s="38"/>
      <c r="CA25" s="38"/>
      <c r="CB25" s="38"/>
      <c r="CC25" s="38"/>
      <c r="CD25" s="38"/>
      <c r="CE25" s="38"/>
      <c r="CG25" s="24"/>
      <c r="CH25" s="38"/>
      <c r="CI25" s="38"/>
      <c r="CJ25" s="38"/>
      <c r="CK25" s="38"/>
      <c r="CL25" s="38"/>
      <c r="CM25" s="38"/>
      <c r="CN25" s="38"/>
      <c r="CO25" s="38"/>
      <c r="CP25" s="38"/>
      <c r="CQ25" s="2" t="str">
        <f t="shared" si="0"/>
        <v/>
      </c>
      <c r="CR25" s="2" t="str">
        <f t="shared" si="1"/>
        <v/>
      </c>
      <c r="CS25" s="2" t="str">
        <f t="shared" si="2"/>
        <v/>
      </c>
      <c r="CT25" s="2"/>
      <c r="CU25" s="2"/>
      <c r="CV25" s="2"/>
      <c r="CW25" s="2"/>
      <c r="CX25" s="8"/>
      <c r="DA25" s="7"/>
      <c r="DB25" s="2"/>
      <c r="DC25" s="13"/>
      <c r="DD25" s="38">
        <f t="shared" si="13"/>
        <v>0</v>
      </c>
      <c r="DE25" s="38">
        <f t="shared" si="12"/>
        <v>0</v>
      </c>
      <c r="DF25" s="38"/>
      <c r="DG25" s="38"/>
      <c r="DH25" s="25"/>
      <c r="DL25" s="38"/>
      <c r="DM25" s="38"/>
      <c r="DN25" s="38"/>
      <c r="DO25" s="38"/>
      <c r="GH25" s="7"/>
      <c r="GI25" s="2"/>
      <c r="GJ25" s="8" t="str">
        <f t="shared" si="10"/>
        <v/>
      </c>
    </row>
    <row r="26" spans="4:192" ht="15" thickBot="1">
      <c r="E26" s="30" t="s">
        <v>157</v>
      </c>
      <c r="F26" s="25" t="str">
        <f>CONCATENATE(F7,MID($E$5,5,2))</f>
        <v>S2-</v>
      </c>
      <c r="G26" s="38"/>
      <c r="H26" s="38"/>
      <c r="I26" s="25"/>
      <c r="J26" s="38"/>
      <c r="K26" s="7" t="s">
        <v>21</v>
      </c>
      <c r="L26" s="2"/>
      <c r="M26" s="38"/>
      <c r="N26" s="25"/>
      <c r="O26" s="38"/>
      <c r="P26" s="87" t="s">
        <v>855</v>
      </c>
      <c r="Q26" s="39" t="str">
        <f>CONCATENATE(Q17,Q18,Q19,Q20,Q21,Q22,Q23,Q24)</f>
        <v>GST-2-OV</v>
      </c>
      <c r="R26" s="39"/>
      <c r="S26" s="39" t="str">
        <f>CONCATENATE(S17,S18,S19,S20,S21,S22,S23,S24)</f>
        <v>GSG-0-F-</v>
      </c>
      <c r="T26" s="39"/>
      <c r="U26" s="39"/>
      <c r="V26" s="27"/>
      <c r="W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S26" s="7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 t="str">
        <f t="shared" si="9"/>
        <v/>
      </c>
      <c r="BI26" s="2"/>
      <c r="BJ26" s="2"/>
      <c r="BK26" s="38"/>
      <c r="BL26" s="38"/>
      <c r="BM26" s="38"/>
      <c r="BN26" s="38"/>
      <c r="BO26" s="38"/>
      <c r="BP26" s="38"/>
      <c r="BQ26" s="38"/>
      <c r="BR26" s="24"/>
      <c r="BS26" s="38"/>
      <c r="BT26" s="38"/>
      <c r="BU26" s="38"/>
      <c r="BV26" s="17"/>
      <c r="BW26" s="2"/>
      <c r="BX26" s="8"/>
      <c r="BY26" s="38"/>
      <c r="BZ26" s="38"/>
      <c r="CA26" s="38"/>
      <c r="CB26" s="38"/>
      <c r="CC26" s="38"/>
      <c r="CD26" s="38"/>
      <c r="CE26" s="38"/>
      <c r="CG26" s="24"/>
      <c r="CH26" s="38"/>
      <c r="CI26" s="38"/>
      <c r="CJ26" s="38"/>
      <c r="CK26" s="38"/>
      <c r="CL26" s="38"/>
      <c r="CM26" s="38"/>
      <c r="CN26" s="38"/>
      <c r="CO26" s="38"/>
      <c r="CP26" s="38"/>
      <c r="CQ26" s="2" t="str">
        <f t="shared" si="0"/>
        <v/>
      </c>
      <c r="CR26" s="2" t="str">
        <f t="shared" si="1"/>
        <v/>
      </c>
      <c r="CS26" s="2" t="str">
        <f t="shared" si="2"/>
        <v/>
      </c>
      <c r="CT26" s="2"/>
      <c r="CU26" s="2"/>
      <c r="CV26" s="2"/>
      <c r="CW26" s="2"/>
      <c r="CX26" s="8"/>
      <c r="DA26" s="7"/>
      <c r="DB26" s="2"/>
      <c r="DC26" s="13"/>
      <c r="DD26" s="38">
        <f t="shared" si="13"/>
        <v>0</v>
      </c>
      <c r="DE26" s="38">
        <f t="shared" si="12"/>
        <v>0</v>
      </c>
      <c r="DF26" s="38"/>
      <c r="DG26" s="38"/>
      <c r="DH26" s="25"/>
      <c r="DL26" s="38"/>
      <c r="DM26" s="38"/>
      <c r="DN26" s="38"/>
      <c r="DO26" s="38"/>
      <c r="GH26" s="7"/>
      <c r="GI26" s="2"/>
      <c r="GJ26" s="8" t="str">
        <f t="shared" si="10"/>
        <v/>
      </c>
    </row>
    <row r="27" spans="4:192">
      <c r="E27" s="30" t="s">
        <v>158</v>
      </c>
      <c r="F27" s="25" t="str">
        <f>IF(IsLayout="Yes",VLOOKUP(titleletters256,NCLevels,2,FALSE),"na")</f>
        <v>Level 2 (Office-Roof)</v>
      </c>
      <c r="G27" s="38"/>
      <c r="H27" s="38"/>
      <c r="I27" s="25"/>
      <c r="J27" s="38"/>
      <c r="K27" s="7" t="s">
        <v>22</v>
      </c>
      <c r="L27" s="2"/>
      <c r="M27" s="38"/>
      <c r="N27" s="25"/>
      <c r="O27" s="38"/>
      <c r="P27" s="38"/>
      <c r="Q27" s="38"/>
      <c r="R27" s="38"/>
      <c r="S27" s="38"/>
      <c r="AS27" s="7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 t="str">
        <f t="shared" si="9"/>
        <v/>
      </c>
      <c r="BI27" s="2"/>
      <c r="BJ27" s="2"/>
      <c r="BK27" s="38"/>
      <c r="BL27" s="38"/>
      <c r="BM27" s="38"/>
      <c r="BN27" s="38"/>
      <c r="BO27" s="38"/>
      <c r="BP27" s="38"/>
      <c r="BQ27" s="38"/>
      <c r="BR27" s="24"/>
      <c r="BS27" s="38"/>
      <c r="BT27" s="38"/>
      <c r="BU27" s="38"/>
      <c r="BV27" s="17"/>
      <c r="BW27" s="2"/>
      <c r="BX27" s="8"/>
      <c r="BY27" s="38"/>
      <c r="BZ27" s="38"/>
      <c r="CA27" s="38"/>
      <c r="CB27" s="38"/>
      <c r="CC27" s="38"/>
      <c r="CD27" s="38"/>
      <c r="CE27" s="38"/>
      <c r="CG27" s="24"/>
      <c r="CH27" s="38"/>
      <c r="CI27" s="38"/>
      <c r="CJ27" s="38"/>
      <c r="CK27" s="38"/>
      <c r="CL27" s="38"/>
      <c r="CM27" s="38"/>
      <c r="CN27" s="38"/>
      <c r="CO27" s="38"/>
      <c r="CP27" s="38"/>
      <c r="CQ27" s="2" t="str">
        <f t="shared" si="0"/>
        <v/>
      </c>
      <c r="CR27" s="2" t="str">
        <f t="shared" si="1"/>
        <v/>
      </c>
      <c r="CS27" s="2" t="str">
        <f t="shared" si="2"/>
        <v/>
      </c>
      <c r="CT27" s="2"/>
      <c r="CU27" s="2"/>
      <c r="CV27" s="2"/>
      <c r="CW27" s="2"/>
      <c r="CX27" s="8"/>
      <c r="DA27" s="7"/>
      <c r="DB27" s="2"/>
      <c r="DC27" s="13"/>
      <c r="DD27" s="38">
        <f t="shared" si="13"/>
        <v>0</v>
      </c>
      <c r="DE27" s="38">
        <f t="shared" si="12"/>
        <v>0</v>
      </c>
      <c r="DF27" s="38"/>
      <c r="DG27" s="38"/>
      <c r="DH27" s="25"/>
      <c r="DL27" s="38"/>
      <c r="DM27" s="38"/>
      <c r="DN27" s="38"/>
      <c r="DO27" s="38"/>
      <c r="GH27" s="7"/>
      <c r="GI27" s="2"/>
      <c r="GJ27" s="8" t="str">
        <f t="shared" si="10"/>
        <v/>
      </c>
    </row>
    <row r="28" spans="4:192">
      <c r="E28" s="24"/>
      <c r="F28" s="25"/>
      <c r="G28" s="38"/>
      <c r="H28" s="38"/>
      <c r="I28" s="25"/>
      <c r="J28" s="38"/>
      <c r="K28" s="7" t="s">
        <v>23</v>
      </c>
      <c r="L28" s="2" t="s">
        <v>81</v>
      </c>
      <c r="M28" s="38"/>
      <c r="N28" s="25"/>
      <c r="O28" s="38"/>
      <c r="P28" s="38"/>
      <c r="Q28" s="38"/>
      <c r="R28" s="38"/>
      <c r="S28" s="38"/>
      <c r="AS28" s="7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 t="str">
        <f t="shared" si="9"/>
        <v/>
      </c>
      <c r="BI28" s="2"/>
      <c r="BJ28" s="2"/>
      <c r="BK28" s="38"/>
      <c r="BL28" s="38"/>
      <c r="BM28" s="38"/>
      <c r="BN28" s="38"/>
      <c r="BO28" s="38"/>
      <c r="BP28" s="38"/>
      <c r="BQ28" s="38"/>
      <c r="BR28" s="24"/>
      <c r="BS28" s="38"/>
      <c r="BT28" s="38"/>
      <c r="BU28" s="38"/>
      <c r="BV28" s="17"/>
      <c r="BW28" s="2"/>
      <c r="BX28" s="8"/>
      <c r="BY28" s="38"/>
      <c r="BZ28" s="38"/>
      <c r="CA28" s="38"/>
      <c r="CB28" s="38"/>
      <c r="CC28" s="38"/>
      <c r="CD28" s="38"/>
      <c r="CE28" s="38"/>
      <c r="CG28" s="24"/>
      <c r="CH28" s="38"/>
      <c r="CI28" s="38"/>
      <c r="CJ28" s="38"/>
      <c r="CK28" s="38"/>
      <c r="CL28" s="38"/>
      <c r="CM28" s="38"/>
      <c r="CN28" s="38"/>
      <c r="CO28" s="38"/>
      <c r="CP28" s="38"/>
      <c r="CQ28" s="2" t="str">
        <f t="shared" si="0"/>
        <v/>
      </c>
      <c r="CR28" s="2" t="str">
        <f t="shared" si="1"/>
        <v/>
      </c>
      <c r="CS28" s="2" t="str">
        <f t="shared" si="2"/>
        <v/>
      </c>
      <c r="CT28" s="2"/>
      <c r="CU28" s="2"/>
      <c r="CV28" s="2"/>
      <c r="CW28" s="2"/>
      <c r="CX28" s="8"/>
      <c r="DA28" s="7"/>
      <c r="DB28" s="2"/>
      <c r="DC28" s="13"/>
      <c r="DD28" s="38">
        <f t="shared" si="13"/>
        <v>0</v>
      </c>
      <c r="DE28" s="38">
        <f t="shared" si="12"/>
        <v>0</v>
      </c>
      <c r="DF28" s="38"/>
      <c r="DG28" s="38"/>
      <c r="DH28" s="25"/>
      <c r="DL28" s="38"/>
      <c r="DM28" s="38"/>
      <c r="DN28" s="38"/>
      <c r="DO28" s="38"/>
      <c r="GH28" s="7"/>
      <c r="GI28" s="2"/>
      <c r="GJ28" s="8" t="str">
        <f t="shared" si="10"/>
        <v/>
      </c>
    </row>
    <row r="29" spans="4:192">
      <c r="E29" s="30" t="s">
        <v>159</v>
      </c>
      <c r="F29" s="25" t="str">
        <f>titleletter6</f>
        <v>-</v>
      </c>
      <c r="G29" s="38"/>
      <c r="H29" s="38"/>
      <c r="I29" s="25"/>
      <c r="J29" s="38"/>
      <c r="K29" s="7" t="s">
        <v>24</v>
      </c>
      <c r="L29" s="2"/>
      <c r="M29" s="38"/>
      <c r="N29" s="25"/>
      <c r="O29" s="38"/>
      <c r="P29" s="38"/>
      <c r="Q29" s="38"/>
      <c r="R29" s="38"/>
      <c r="S29" s="38"/>
      <c r="AS29" s="7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 t="str">
        <f t="shared" si="9"/>
        <v/>
      </c>
      <c r="BI29" s="2"/>
      <c r="BJ29" s="2"/>
      <c r="BK29" s="38"/>
      <c r="BL29" s="38"/>
      <c r="BM29" s="38"/>
      <c r="BN29" s="38"/>
      <c r="BO29" s="38"/>
      <c r="BP29" s="38"/>
      <c r="BQ29" s="38"/>
      <c r="BR29" s="24"/>
      <c r="BS29" s="38"/>
      <c r="BT29" s="38"/>
      <c r="BU29" s="38"/>
      <c r="BV29" s="17"/>
      <c r="BW29" s="2"/>
      <c r="BX29" s="8"/>
      <c r="BY29" s="38"/>
      <c r="BZ29" s="38"/>
      <c r="CA29" s="38"/>
      <c r="CB29" s="38"/>
      <c r="CC29" s="38"/>
      <c r="CD29" s="38"/>
      <c r="CE29" s="38"/>
      <c r="CG29" s="24"/>
      <c r="CH29" s="38"/>
      <c r="CI29" s="38"/>
      <c r="CJ29" s="38"/>
      <c r="CK29" s="38"/>
      <c r="CL29" s="38"/>
      <c r="CM29" s="38"/>
      <c r="CN29" s="38"/>
      <c r="CO29" s="38"/>
      <c r="CP29" s="38"/>
      <c r="CQ29" s="2" t="str">
        <f t="shared" si="0"/>
        <v/>
      </c>
      <c r="CR29" s="2" t="str">
        <f t="shared" si="1"/>
        <v/>
      </c>
      <c r="CS29" s="2" t="str">
        <f t="shared" si="2"/>
        <v/>
      </c>
      <c r="CT29" s="2"/>
      <c r="CU29" s="2"/>
      <c r="CV29" s="2"/>
      <c r="CW29" s="2"/>
      <c r="CX29" s="8"/>
      <c r="DA29" s="7"/>
      <c r="DB29" s="2"/>
      <c r="DC29" s="13"/>
      <c r="DD29" s="38">
        <f t="shared" si="13"/>
        <v>0</v>
      </c>
      <c r="DE29" s="38">
        <f t="shared" si="12"/>
        <v>0</v>
      </c>
      <c r="DF29" s="38"/>
      <c r="DG29" s="38"/>
      <c r="DH29" s="25"/>
      <c r="DL29" s="38"/>
      <c r="DM29" s="38"/>
      <c r="DN29" s="38"/>
      <c r="DO29" s="38"/>
      <c r="GH29" s="7"/>
      <c r="GI29" s="2"/>
      <c r="GJ29" s="8" t="str">
        <f t="shared" si="10"/>
        <v/>
      </c>
    </row>
    <row r="30" spans="4:192">
      <c r="E30" s="30" t="s">
        <v>160</v>
      </c>
      <c r="F30" s="25" t="e">
        <f>IF(IsLayout="Yes",VLOOKUP(titleletter6,NCSpecial,2,FALSE),"na")</f>
        <v>#N/A</v>
      </c>
      <c r="G30" s="38"/>
      <c r="H30" s="38"/>
      <c r="I30" s="25"/>
      <c r="J30" s="38"/>
      <c r="K30" s="7" t="s">
        <v>25</v>
      </c>
      <c r="L30" s="2"/>
      <c r="M30" s="38"/>
      <c r="N30" s="25"/>
      <c r="O30" s="38"/>
      <c r="P30" s="38"/>
      <c r="Q30" s="38"/>
      <c r="R30" s="38"/>
      <c r="S30" s="38"/>
      <c r="AS30" s="7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 t="str">
        <f t="shared" si="9"/>
        <v/>
      </c>
      <c r="BI30" s="2"/>
      <c r="BJ30" s="2"/>
      <c r="BK30" s="38"/>
      <c r="BL30" s="38"/>
      <c r="BM30" s="38"/>
      <c r="BN30" s="38"/>
      <c r="BO30" s="38"/>
      <c r="BP30" s="38"/>
      <c r="BQ30" s="38"/>
      <c r="BR30" s="24"/>
      <c r="BS30" s="38"/>
      <c r="BT30" s="38"/>
      <c r="BU30" s="38"/>
      <c r="BV30" s="17"/>
      <c r="BW30" s="2"/>
      <c r="BX30" s="8"/>
      <c r="BY30" s="38"/>
      <c r="BZ30" s="38"/>
      <c r="CA30" s="38"/>
      <c r="CB30" s="38"/>
      <c r="CC30" s="38"/>
      <c r="CD30" s="38"/>
      <c r="CE30" s="38"/>
      <c r="CG30" s="24"/>
      <c r="CH30" s="38"/>
      <c r="CI30" s="38"/>
      <c r="CJ30" s="38"/>
      <c r="CK30" s="38"/>
      <c r="CL30" s="38"/>
      <c r="CM30" s="38"/>
      <c r="CN30" s="38"/>
      <c r="CO30" s="38"/>
      <c r="CP30" s="38"/>
      <c r="CQ30" s="2" t="str">
        <f t="shared" si="0"/>
        <v/>
      </c>
      <c r="CR30" s="2" t="str">
        <f t="shared" si="1"/>
        <v/>
      </c>
      <c r="CS30" s="2" t="str">
        <f t="shared" si="2"/>
        <v/>
      </c>
      <c r="CT30" s="2"/>
      <c r="CU30" s="2"/>
      <c r="CV30" s="2"/>
      <c r="CW30" s="2"/>
      <c r="CX30" s="8"/>
      <c r="DA30" s="7"/>
      <c r="DB30" s="2"/>
      <c r="DC30" s="13"/>
      <c r="DD30" s="38">
        <f t="shared" si="13"/>
        <v>0</v>
      </c>
      <c r="DE30" s="38">
        <f t="shared" si="12"/>
        <v>0</v>
      </c>
      <c r="DF30" s="38"/>
      <c r="DG30" s="38"/>
      <c r="DH30" s="25"/>
      <c r="DL30" s="38"/>
      <c r="DM30" s="38"/>
      <c r="DN30" s="38"/>
      <c r="DO30" s="38"/>
      <c r="GH30" s="7"/>
      <c r="GI30" s="2"/>
      <c r="GJ30" s="8" t="str">
        <f t="shared" si="10"/>
        <v/>
      </c>
    </row>
    <row r="31" spans="4:192">
      <c r="E31" s="24"/>
      <c r="F31" s="25"/>
      <c r="G31" s="38"/>
      <c r="H31" s="38"/>
      <c r="I31" s="25"/>
      <c r="J31" s="38"/>
      <c r="K31" s="7" t="s">
        <v>26</v>
      </c>
      <c r="L31" s="2"/>
      <c r="M31" s="38"/>
      <c r="N31" s="25"/>
      <c r="O31" s="38"/>
      <c r="P31" s="38"/>
      <c r="Q31" s="38"/>
      <c r="R31" s="38"/>
      <c r="S31" s="38"/>
      <c r="AS31" s="7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 t="str">
        <f t="shared" si="9"/>
        <v/>
      </c>
      <c r="BI31" s="2"/>
      <c r="BJ31" s="2"/>
      <c r="BK31" s="38"/>
      <c r="BL31" s="38"/>
      <c r="BM31" s="38"/>
      <c r="BN31" s="38"/>
      <c r="BO31" s="38"/>
      <c r="BP31" s="38"/>
      <c r="BQ31" s="38"/>
      <c r="BR31" s="24"/>
      <c r="BS31" s="38"/>
      <c r="BT31" s="38"/>
      <c r="BU31" s="38"/>
      <c r="BV31" s="17"/>
      <c r="BW31" s="2"/>
      <c r="BX31" s="8"/>
      <c r="BY31" s="38"/>
      <c r="BZ31" s="38"/>
      <c r="CA31" s="38"/>
      <c r="CB31" s="38"/>
      <c r="CC31" s="38"/>
      <c r="CD31" s="38"/>
      <c r="CE31" s="38"/>
      <c r="CG31" s="24"/>
      <c r="CH31" s="38"/>
      <c r="CI31" s="38"/>
      <c r="CJ31" s="38"/>
      <c r="CK31" s="38"/>
      <c r="CL31" s="38"/>
      <c r="CM31" s="38"/>
      <c r="CN31" s="38"/>
      <c r="CO31" s="38"/>
      <c r="CP31" s="38"/>
      <c r="CQ31" s="2" t="str">
        <f t="shared" si="0"/>
        <v/>
      </c>
      <c r="CR31" s="2" t="str">
        <f t="shared" si="1"/>
        <v/>
      </c>
      <c r="CS31" s="2" t="str">
        <f t="shared" si="2"/>
        <v/>
      </c>
      <c r="CT31" s="2"/>
      <c r="CU31" s="2"/>
      <c r="CV31" s="2"/>
      <c r="CW31" s="2"/>
      <c r="CX31" s="8"/>
      <c r="DA31" s="7"/>
      <c r="DB31" s="2"/>
      <c r="DC31" s="13"/>
      <c r="DD31" s="38">
        <f t="shared" si="13"/>
        <v>0</v>
      </c>
      <c r="DE31" s="38">
        <f t="shared" si="12"/>
        <v>0</v>
      </c>
      <c r="DF31" s="38"/>
      <c r="DG31" s="38"/>
      <c r="DH31" s="25"/>
      <c r="DL31" s="38"/>
      <c r="DM31" s="38"/>
      <c r="DN31" s="38"/>
      <c r="DO31" s="38"/>
      <c r="GH31" s="7"/>
      <c r="GI31" s="2"/>
      <c r="GJ31" s="8" t="str">
        <f t="shared" si="10"/>
        <v/>
      </c>
    </row>
    <row r="32" spans="4:192">
      <c r="D32" s="68"/>
      <c r="E32" s="24" t="s">
        <v>161</v>
      </c>
      <c r="F32" s="25" t="str">
        <f>MID($E$5,7,2)</f>
        <v>F-</v>
      </c>
      <c r="G32" s="68"/>
      <c r="H32" s="68"/>
      <c r="I32" s="80"/>
      <c r="J32" s="68"/>
      <c r="K32" s="7" t="s">
        <v>27</v>
      </c>
      <c r="L32" s="2"/>
      <c r="M32" s="68"/>
      <c r="N32" s="80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S32" s="7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 t="str">
        <f t="shared" si="9"/>
        <v/>
      </c>
      <c r="BI32" s="2"/>
      <c r="BJ32" s="2"/>
      <c r="BK32" s="38"/>
      <c r="BL32" s="38"/>
      <c r="BM32" s="38"/>
      <c r="BN32" s="38"/>
      <c r="BO32" s="38"/>
      <c r="BP32" s="38"/>
      <c r="BQ32" s="38"/>
      <c r="BR32" s="24"/>
      <c r="BS32" s="38"/>
      <c r="BT32" s="38"/>
      <c r="BU32" s="38"/>
      <c r="BV32" s="17"/>
      <c r="BW32" s="2"/>
      <c r="BX32" s="8"/>
      <c r="BY32" s="38"/>
      <c r="BZ32" s="38"/>
      <c r="CA32" s="38"/>
      <c r="CB32" s="38"/>
      <c r="CC32" s="38"/>
      <c r="CD32" s="38"/>
      <c r="CE32" s="38"/>
      <c r="CG32" s="24"/>
      <c r="CH32" s="38"/>
      <c r="CI32" s="38"/>
      <c r="CJ32" s="38"/>
      <c r="CK32" s="38"/>
      <c r="CL32" s="38"/>
      <c r="CM32" s="38"/>
      <c r="CN32" s="38"/>
      <c r="CO32" s="38"/>
      <c r="CP32" s="38"/>
      <c r="CQ32" s="2" t="str">
        <f t="shared" si="0"/>
        <v/>
      </c>
      <c r="CR32" s="2" t="str">
        <f t="shared" si="1"/>
        <v/>
      </c>
      <c r="CS32" s="2" t="str">
        <f t="shared" si="2"/>
        <v/>
      </c>
      <c r="CT32" s="2"/>
      <c r="CU32" s="2"/>
      <c r="CV32" s="2"/>
      <c r="CW32" s="2"/>
      <c r="CX32" s="8"/>
      <c r="DA32" s="7"/>
      <c r="DB32" s="2"/>
      <c r="DC32" s="13"/>
      <c r="DD32" s="38">
        <f t="shared" si="13"/>
        <v>0</v>
      </c>
      <c r="DE32" s="38">
        <f t="shared" si="12"/>
        <v>0</v>
      </c>
      <c r="DF32" s="38"/>
      <c r="DG32" s="38"/>
      <c r="DH32" s="25"/>
      <c r="DL32" s="38"/>
      <c r="DM32" s="38"/>
      <c r="DN32" s="38"/>
      <c r="DO32" s="38"/>
      <c r="GH32" s="7"/>
      <c r="GI32" s="2"/>
      <c r="GJ32" s="8" t="str">
        <f t="shared" si="10"/>
        <v/>
      </c>
    </row>
    <row r="33" spans="4:192">
      <c r="D33" s="68"/>
      <c r="E33" s="30" t="s">
        <v>163</v>
      </c>
      <c r="F33" s="25" t="str">
        <f>IF(IsLayout="Yes",VLOOKUP(titleletter78,NCPlanKey,2,FALSE),"na")</f>
        <v>Sector F-</v>
      </c>
      <c r="G33" s="68"/>
      <c r="H33" s="68"/>
      <c r="I33" s="80"/>
      <c r="J33" s="68"/>
      <c r="K33" s="7" t="s">
        <v>28</v>
      </c>
      <c r="L33" s="2"/>
      <c r="M33" s="68"/>
      <c r="N33" s="80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S33" s="7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 t="str">
        <f t="shared" si="9"/>
        <v/>
      </c>
      <c r="BI33" s="2"/>
      <c r="BJ33" s="2"/>
      <c r="BK33" s="38"/>
      <c r="BL33" s="38"/>
      <c r="BM33" s="38"/>
      <c r="BN33" s="38"/>
      <c r="BO33" s="38"/>
      <c r="BP33" s="38"/>
      <c r="BQ33" s="38"/>
      <c r="BR33" s="24"/>
      <c r="BS33" s="38"/>
      <c r="BT33" s="38"/>
      <c r="BU33" s="38"/>
      <c r="BV33" s="17"/>
      <c r="BW33" s="2"/>
      <c r="BX33" s="8"/>
      <c r="BY33" s="38"/>
      <c r="BZ33" s="38"/>
      <c r="CA33" s="38"/>
      <c r="CB33" s="38"/>
      <c r="CC33" s="38"/>
      <c r="CD33" s="38"/>
      <c r="CE33" s="38"/>
      <c r="CG33" s="24"/>
      <c r="CH33" s="38"/>
      <c r="CI33" s="38"/>
      <c r="CJ33" s="38"/>
      <c r="CK33" s="38"/>
      <c r="CL33" s="38"/>
      <c r="CM33" s="38"/>
      <c r="CN33" s="38"/>
      <c r="CO33" s="38"/>
      <c r="CP33" s="38"/>
      <c r="CQ33" s="2" t="str">
        <f t="shared" si="0"/>
        <v/>
      </c>
      <c r="CR33" s="2" t="str">
        <f t="shared" si="1"/>
        <v/>
      </c>
      <c r="CS33" s="2" t="str">
        <f t="shared" si="2"/>
        <v/>
      </c>
      <c r="CT33" s="2"/>
      <c r="CU33" s="2"/>
      <c r="CV33" s="2"/>
      <c r="CW33" s="2"/>
      <c r="CX33" s="8"/>
      <c r="DA33" s="7"/>
      <c r="DB33" s="2"/>
      <c r="DC33" s="13"/>
      <c r="DD33" s="38">
        <f t="shared" si="13"/>
        <v>0</v>
      </c>
      <c r="DE33" s="38">
        <f t="shared" si="12"/>
        <v>0</v>
      </c>
      <c r="DF33" s="38"/>
      <c r="DG33" s="38"/>
      <c r="DH33" s="25"/>
      <c r="DL33" s="38"/>
      <c r="DM33" s="38"/>
      <c r="DN33" s="38"/>
      <c r="DO33" s="38"/>
      <c r="GH33" s="7"/>
      <c r="GI33" s="2"/>
      <c r="GJ33" s="8" t="str">
        <f t="shared" si="10"/>
        <v/>
      </c>
    </row>
    <row r="34" spans="4:192">
      <c r="E34" s="24"/>
      <c r="F34" s="38"/>
      <c r="G34" s="38"/>
      <c r="H34" s="38"/>
      <c r="I34" s="25"/>
      <c r="J34" s="38"/>
      <c r="K34" s="7" t="s">
        <v>29</v>
      </c>
      <c r="L34" s="2"/>
      <c r="M34" s="38"/>
      <c r="N34" s="25"/>
      <c r="O34" s="38"/>
      <c r="P34" s="38"/>
      <c r="Q34" s="38"/>
      <c r="R34" s="38"/>
      <c r="S34" s="38"/>
      <c r="AS34" s="7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 t="str">
        <f t="shared" si="9"/>
        <v/>
      </c>
      <c r="BI34" s="2"/>
      <c r="BJ34" s="2"/>
      <c r="BK34" s="38"/>
      <c r="BL34" s="38"/>
      <c r="BM34" s="38"/>
      <c r="BN34" s="38"/>
      <c r="BO34" s="38"/>
      <c r="BP34" s="38"/>
      <c r="BQ34" s="38"/>
      <c r="BR34" s="24"/>
      <c r="BS34" s="38"/>
      <c r="BT34" s="38"/>
      <c r="BU34" s="38"/>
      <c r="BV34" s="17"/>
      <c r="BW34" s="2"/>
      <c r="BX34" s="8"/>
      <c r="BY34" s="38"/>
      <c r="BZ34" s="38"/>
      <c r="CA34" s="38"/>
      <c r="CB34" s="38"/>
      <c r="CC34" s="38"/>
      <c r="CD34" s="38"/>
      <c r="CE34" s="38"/>
      <c r="CG34" s="24"/>
      <c r="CH34" s="38"/>
      <c r="CI34" s="38"/>
      <c r="CJ34" s="38"/>
      <c r="CK34" s="38"/>
      <c r="CL34" s="38"/>
      <c r="CM34" s="38"/>
      <c r="CN34" s="38"/>
      <c r="CO34" s="38"/>
      <c r="CP34" s="38"/>
      <c r="CQ34" s="2" t="str">
        <f t="shared" ref="CQ34:CQ65" si="14">IF(ISERROR(CR34-FIXED(CR34,0)),"",CR34-FIXED(CR34,0))</f>
        <v/>
      </c>
      <c r="CR34" s="2" t="str">
        <f t="shared" ref="CR34:CR65" si="15">IF(ISERROR(CT34/CS34),"",CT34/CS34)</f>
        <v/>
      </c>
      <c r="CS34" s="2" t="str">
        <f t="shared" ref="CS34:CS65" si="16">IF(ISERROR(VLOOKUP(CW34,$CN$2:$CO$5,2)),"",VLOOKUP(CW34,$CN$2:$CO$5,2))</f>
        <v/>
      </c>
      <c r="CT34" s="2"/>
      <c r="CU34" s="2"/>
      <c r="CV34" s="2"/>
      <c r="CW34" s="2"/>
      <c r="CX34" s="8"/>
      <c r="DA34" s="7"/>
      <c r="DB34" s="2"/>
      <c r="DC34" s="13"/>
      <c r="DD34" s="38">
        <f t="shared" si="13"/>
        <v>0</v>
      </c>
      <c r="DE34" s="38">
        <f t="shared" si="12"/>
        <v>0</v>
      </c>
      <c r="DF34" s="38"/>
      <c r="DG34" s="38"/>
      <c r="DH34" s="25"/>
      <c r="DL34" s="38"/>
      <c r="DM34" s="38"/>
      <c r="DN34" s="38"/>
      <c r="DO34" s="38"/>
      <c r="GH34" s="7"/>
      <c r="GI34" s="2"/>
      <c r="GJ34" s="8" t="str">
        <f t="shared" si="10"/>
        <v/>
      </c>
    </row>
    <row r="35" spans="4:192">
      <c r="E35" s="30" t="s">
        <v>164</v>
      </c>
      <c r="F35" s="25" t="str">
        <f>MID($E$5,5,4)</f>
        <v>2-F-</v>
      </c>
      <c r="G35" s="38"/>
      <c r="H35" s="38"/>
      <c r="I35" s="25"/>
      <c r="J35" s="38"/>
      <c r="K35" s="7" t="s">
        <v>30</v>
      </c>
      <c r="L35" s="2"/>
      <c r="M35" s="38"/>
      <c r="N35" s="25"/>
      <c r="O35" s="38"/>
      <c r="P35" s="38"/>
      <c r="Q35" s="38"/>
      <c r="R35" s="38"/>
      <c r="S35" s="38"/>
      <c r="AS35" s="7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 t="str">
        <f t="shared" si="9"/>
        <v/>
      </c>
      <c r="BI35" s="2"/>
      <c r="BJ35" s="2"/>
      <c r="BK35" s="38"/>
      <c r="BL35" s="38"/>
      <c r="BM35" s="38"/>
      <c r="BN35" s="38"/>
      <c r="BO35" s="38"/>
      <c r="BP35" s="38"/>
      <c r="BQ35" s="38"/>
      <c r="BR35" s="24"/>
      <c r="BS35" s="38"/>
      <c r="BT35" s="38"/>
      <c r="BU35" s="38"/>
      <c r="BV35" s="17"/>
      <c r="BW35" s="2"/>
      <c r="BX35" s="8"/>
      <c r="BY35" s="38"/>
      <c r="BZ35" s="38"/>
      <c r="CA35" s="38"/>
      <c r="CB35" s="38"/>
      <c r="CC35" s="38"/>
      <c r="CD35" s="38"/>
      <c r="CE35" s="38"/>
      <c r="CG35" s="24"/>
      <c r="CH35" s="38"/>
      <c r="CI35" s="38"/>
      <c r="CJ35" s="38"/>
      <c r="CK35" s="38"/>
      <c r="CL35" s="38"/>
      <c r="CM35" s="38"/>
      <c r="CN35" s="38"/>
      <c r="CO35" s="38"/>
      <c r="CP35" s="38"/>
      <c r="CQ35" s="2" t="str">
        <f t="shared" si="14"/>
        <v/>
      </c>
      <c r="CR35" s="2" t="str">
        <f t="shared" si="15"/>
        <v/>
      </c>
      <c r="CS35" s="2" t="str">
        <f t="shared" si="16"/>
        <v/>
      </c>
      <c r="CT35" s="2"/>
      <c r="CU35" s="2"/>
      <c r="CV35" s="2"/>
      <c r="CW35" s="2"/>
      <c r="CX35" s="8"/>
      <c r="DA35" s="7"/>
      <c r="DB35" s="2"/>
      <c r="DC35" s="13"/>
      <c r="DD35" s="38">
        <f t="shared" si="13"/>
        <v>0</v>
      </c>
      <c r="DE35" s="38">
        <f t="shared" si="12"/>
        <v>0</v>
      </c>
      <c r="DF35" s="38"/>
      <c r="DG35" s="38"/>
      <c r="DH35" s="25"/>
      <c r="DL35" s="38"/>
      <c r="DM35" s="38"/>
      <c r="DN35" s="38"/>
      <c r="DO35" s="38"/>
      <c r="GH35" s="7"/>
      <c r="GI35" s="2"/>
      <c r="GJ35" s="8" t="str">
        <f t="shared" si="10"/>
        <v/>
      </c>
    </row>
    <row r="36" spans="4:192" ht="15" thickBot="1">
      <c r="E36" s="33" t="s">
        <v>165</v>
      </c>
      <c r="F36" s="27" t="str">
        <f>IF(IsLayout="No",VLOOKUP("Yes",NCSeries,4,FALSE),"na")</f>
        <v>na</v>
      </c>
      <c r="G36" s="38"/>
      <c r="H36" s="38"/>
      <c r="I36" s="25"/>
      <c r="J36" s="38"/>
      <c r="K36" s="40" t="s">
        <v>768</v>
      </c>
      <c r="L36" s="2" t="str">
        <f>IF(VLOOKUP("I1184sht_F",xrefnames,1)="I1184sht_F","Yes","No")</f>
        <v>Yes</v>
      </c>
      <c r="M36" s="38"/>
      <c r="N36" s="25"/>
      <c r="O36" s="38"/>
      <c r="P36" s="38"/>
      <c r="Q36" s="38"/>
      <c r="R36" s="38"/>
      <c r="S36" s="38"/>
      <c r="AS36" s="7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 t="str">
        <f t="shared" si="9"/>
        <v/>
      </c>
      <c r="BI36" s="2"/>
      <c r="BJ36" s="2"/>
      <c r="BK36" s="38"/>
      <c r="BL36" s="38"/>
      <c r="BM36" s="38"/>
      <c r="BN36" s="38"/>
      <c r="BO36" s="38"/>
      <c r="BP36" s="38"/>
      <c r="BQ36" s="38"/>
      <c r="BR36" s="24"/>
      <c r="BS36" s="38"/>
      <c r="BT36" s="38"/>
      <c r="BU36" s="38"/>
      <c r="BV36" s="17"/>
      <c r="BW36" s="2"/>
      <c r="BX36" s="8"/>
      <c r="BY36" s="38"/>
      <c r="BZ36" s="38"/>
      <c r="CA36" s="38"/>
      <c r="CB36" s="38"/>
      <c r="CC36" s="38"/>
      <c r="CD36" s="38"/>
      <c r="CE36" s="38"/>
      <c r="CG36" s="24"/>
      <c r="CH36" s="38"/>
      <c r="CI36" s="38"/>
      <c r="CJ36" s="38"/>
      <c r="CK36" s="38"/>
      <c r="CL36" s="38"/>
      <c r="CM36" s="38"/>
      <c r="CN36" s="38"/>
      <c r="CO36" s="38"/>
      <c r="CP36" s="38"/>
      <c r="CQ36" s="2" t="str">
        <f t="shared" si="14"/>
        <v/>
      </c>
      <c r="CR36" s="2" t="str">
        <f t="shared" si="15"/>
        <v/>
      </c>
      <c r="CS36" s="2" t="str">
        <f t="shared" si="16"/>
        <v/>
      </c>
      <c r="CT36" s="2"/>
      <c r="CU36" s="2"/>
      <c r="CV36" s="2"/>
      <c r="CW36" s="2"/>
      <c r="CX36" s="8"/>
      <c r="DA36" s="7"/>
      <c r="DB36" s="2"/>
      <c r="DC36" s="13"/>
      <c r="DD36" s="38">
        <f t="shared" si="13"/>
        <v>0</v>
      </c>
      <c r="DE36" s="38">
        <f t="shared" si="12"/>
        <v>0</v>
      </c>
      <c r="DF36" s="38"/>
      <c r="DG36" s="38"/>
      <c r="DH36" s="25"/>
      <c r="DL36" s="38"/>
      <c r="DM36" s="38"/>
      <c r="DN36" s="38"/>
      <c r="DO36" s="38"/>
      <c r="GH36" s="7"/>
      <c r="GI36" s="2"/>
      <c r="GJ36" s="8" t="str">
        <f t="shared" si="10"/>
        <v/>
      </c>
    </row>
    <row r="37" spans="4:192">
      <c r="E37" s="24"/>
      <c r="F37" s="38"/>
      <c r="G37" s="38"/>
      <c r="H37" s="38"/>
      <c r="I37" s="25"/>
      <c r="J37" s="38"/>
      <c r="K37" s="24" t="s">
        <v>569</v>
      </c>
      <c r="L37" s="38" t="str">
        <f>IF(titleqtymodel=0,"No","Yes")</f>
        <v>No</v>
      </c>
      <c r="M37" s="38"/>
      <c r="N37" s="25"/>
      <c r="O37" s="38"/>
      <c r="P37" s="38"/>
      <c r="Q37" s="38"/>
      <c r="R37" s="38"/>
      <c r="S37" s="38"/>
      <c r="AS37" s="7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 t="str">
        <f t="shared" si="9"/>
        <v/>
      </c>
      <c r="BI37" s="2"/>
      <c r="BJ37" s="2"/>
      <c r="BK37" s="38"/>
      <c r="BL37" s="38"/>
      <c r="BM37" s="38"/>
      <c r="BN37" s="38"/>
      <c r="BO37" s="38"/>
      <c r="BP37" s="38"/>
      <c r="BQ37" s="38"/>
      <c r="BR37" s="24"/>
      <c r="BS37" s="38"/>
      <c r="BT37" s="38"/>
      <c r="BU37" s="38"/>
      <c r="BV37" s="17"/>
      <c r="BW37" s="2"/>
      <c r="BX37" s="8"/>
      <c r="BY37" s="38"/>
      <c r="BZ37" s="38"/>
      <c r="CA37" s="38"/>
      <c r="CB37" s="38"/>
      <c r="CC37" s="38"/>
      <c r="CD37" s="38"/>
      <c r="CE37" s="38"/>
      <c r="CG37" s="24"/>
      <c r="CH37" s="38"/>
      <c r="CI37" s="38"/>
      <c r="CJ37" s="38"/>
      <c r="CK37" s="38"/>
      <c r="CL37" s="38"/>
      <c r="CM37" s="38"/>
      <c r="CN37" s="38"/>
      <c r="CO37" s="38"/>
      <c r="CP37" s="38"/>
      <c r="CQ37" s="2" t="str">
        <f t="shared" si="14"/>
        <v/>
      </c>
      <c r="CR37" s="2" t="str">
        <f t="shared" si="15"/>
        <v/>
      </c>
      <c r="CS37" s="2" t="str">
        <f t="shared" si="16"/>
        <v/>
      </c>
      <c r="CT37" s="2"/>
      <c r="CU37" s="2"/>
      <c r="CV37" s="2"/>
      <c r="CW37" s="2"/>
      <c r="CX37" s="8"/>
      <c r="DA37" s="7"/>
      <c r="DB37" s="2"/>
      <c r="DC37" s="13"/>
      <c r="DD37" s="38">
        <f t="shared" si="13"/>
        <v>0</v>
      </c>
      <c r="DE37" s="38">
        <f t="shared" si="12"/>
        <v>0</v>
      </c>
      <c r="DF37" s="38"/>
      <c r="DG37" s="38"/>
      <c r="DH37" s="25"/>
      <c r="DL37" s="38"/>
      <c r="DM37" s="38"/>
      <c r="DN37" s="38"/>
      <c r="DO37" s="38"/>
      <c r="GH37" s="7"/>
      <c r="GI37" s="2"/>
      <c r="GJ37" s="8" t="str">
        <f t="shared" si="10"/>
        <v/>
      </c>
    </row>
    <row r="38" spans="4:192">
      <c r="E38" s="30" t="s">
        <v>166</v>
      </c>
      <c r="F38" s="38" t="str">
        <f>IF(LEN(dwgname)=8,"Yes")</f>
        <v>Yes</v>
      </c>
      <c r="G38" s="38"/>
      <c r="H38" s="38"/>
      <c r="I38" s="25"/>
      <c r="J38" s="38"/>
      <c r="K38" s="24" t="s">
        <v>570</v>
      </c>
      <c r="L38" s="38" t="str">
        <f>IF(titleqtypaper=1,"Yes","No")</f>
        <v>Yes</v>
      </c>
      <c r="M38" s="38"/>
      <c r="N38" s="25"/>
      <c r="O38" s="38"/>
      <c r="P38" s="38"/>
      <c r="Q38" s="38"/>
      <c r="R38" s="38"/>
      <c r="S38" s="38"/>
      <c r="AS38" s="7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 t="str">
        <f t="shared" si="9"/>
        <v/>
      </c>
      <c r="BI38" s="2"/>
      <c r="BJ38" s="2"/>
      <c r="BK38" s="38"/>
      <c r="BL38" s="38"/>
      <c r="BM38" s="38"/>
      <c r="BN38" s="38"/>
      <c r="BO38" s="38"/>
      <c r="BP38" s="38"/>
      <c r="BQ38" s="38"/>
      <c r="BR38" s="24"/>
      <c r="BS38" s="38"/>
      <c r="BT38" s="38"/>
      <c r="BU38" s="38"/>
      <c r="BV38" s="17"/>
      <c r="BW38" s="2"/>
      <c r="BX38" s="8"/>
      <c r="BY38" s="38"/>
      <c r="BZ38" s="38"/>
      <c r="CA38" s="38"/>
      <c r="CB38" s="38"/>
      <c r="CC38" s="38"/>
      <c r="CD38" s="38"/>
      <c r="CE38" s="38"/>
      <c r="CG38" s="24"/>
      <c r="CH38" s="38"/>
      <c r="CI38" s="38"/>
      <c r="CJ38" s="38"/>
      <c r="CK38" s="38"/>
      <c r="CL38" s="38"/>
      <c r="CM38" s="38"/>
      <c r="CN38" s="38"/>
      <c r="CO38" s="38"/>
      <c r="CP38" s="38"/>
      <c r="CQ38" s="2" t="str">
        <f t="shared" si="14"/>
        <v/>
      </c>
      <c r="CR38" s="2" t="str">
        <f t="shared" si="15"/>
        <v/>
      </c>
      <c r="CS38" s="2" t="str">
        <f t="shared" si="16"/>
        <v/>
      </c>
      <c r="CT38" s="2"/>
      <c r="CU38" s="2"/>
      <c r="CV38" s="2"/>
      <c r="CW38" s="2"/>
      <c r="CX38" s="8"/>
      <c r="DA38" s="7"/>
      <c r="DB38" s="2"/>
      <c r="DC38" s="13"/>
      <c r="DD38" s="38">
        <f t="shared" si="13"/>
        <v>0</v>
      </c>
      <c r="DE38" s="38">
        <f t="shared" si="12"/>
        <v>0</v>
      </c>
      <c r="DF38" s="38"/>
      <c r="DG38" s="38"/>
      <c r="DH38" s="25"/>
      <c r="GH38" s="7"/>
      <c r="GI38" s="2"/>
      <c r="GJ38" s="8" t="str">
        <f t="shared" si="10"/>
        <v/>
      </c>
    </row>
    <row r="39" spans="4:192" ht="15" thickBot="1">
      <c r="E39" s="81" t="s">
        <v>167</v>
      </c>
      <c r="F39" s="38" t="str">
        <f>letter1legal</f>
        <v>Yes</v>
      </c>
      <c r="G39" s="38"/>
      <c r="H39" s="38"/>
      <c r="I39" s="25"/>
      <c r="J39" s="38"/>
      <c r="K39" s="24" t="s">
        <v>571</v>
      </c>
      <c r="L39" s="38" t="str">
        <f>titleunique</f>
        <v>Yes</v>
      </c>
      <c r="M39" s="38"/>
      <c r="N39" s="25"/>
      <c r="O39" s="38"/>
      <c r="P39" s="38"/>
      <c r="Q39" s="38"/>
      <c r="R39" s="38"/>
      <c r="S39" s="38"/>
      <c r="AS39" s="7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 t="str">
        <f t="shared" si="9"/>
        <v/>
      </c>
      <c r="BI39" s="2"/>
      <c r="BJ39" s="2"/>
      <c r="BK39" s="38"/>
      <c r="BL39" s="38"/>
      <c r="BM39" s="38"/>
      <c r="BN39" s="38"/>
      <c r="BO39" s="38"/>
      <c r="BP39" s="38"/>
      <c r="BQ39" s="38"/>
      <c r="BR39" s="24"/>
      <c r="BS39" s="38"/>
      <c r="BT39" s="38"/>
      <c r="BU39" s="38"/>
      <c r="BV39" s="17"/>
      <c r="BW39" s="2"/>
      <c r="BX39" s="8"/>
      <c r="BY39" s="38"/>
      <c r="BZ39" s="38"/>
      <c r="CA39" s="38"/>
      <c r="CB39" s="38"/>
      <c r="CC39" s="38"/>
      <c r="CD39" s="38"/>
      <c r="CE39" s="38"/>
      <c r="CG39" s="24"/>
      <c r="CH39" s="38"/>
      <c r="CI39" s="38"/>
      <c r="CJ39" s="38"/>
      <c r="CK39" s="38"/>
      <c r="CL39" s="38"/>
      <c r="CM39" s="38"/>
      <c r="CN39" s="38"/>
      <c r="CO39" s="38"/>
      <c r="CP39" s="38"/>
      <c r="CQ39" s="2" t="str">
        <f t="shared" si="14"/>
        <v/>
      </c>
      <c r="CR39" s="2" t="str">
        <f t="shared" si="15"/>
        <v/>
      </c>
      <c r="CS39" s="2" t="str">
        <f t="shared" si="16"/>
        <v/>
      </c>
      <c r="CT39" s="2"/>
      <c r="CU39" s="2"/>
      <c r="CV39" s="2"/>
      <c r="CW39" s="2"/>
      <c r="CX39" s="8"/>
      <c r="DA39" s="7"/>
      <c r="DB39" s="2"/>
      <c r="DC39" s="13"/>
      <c r="DD39" s="38">
        <f t="shared" si="13"/>
        <v>0</v>
      </c>
      <c r="DE39" s="38">
        <f t="shared" si="12"/>
        <v>0</v>
      </c>
      <c r="DF39" s="38"/>
      <c r="DG39" s="38"/>
      <c r="DH39" s="25"/>
      <c r="GH39" s="9"/>
      <c r="GI39" s="10"/>
      <c r="GJ39" s="8" t="str">
        <f t="shared" si="10"/>
        <v/>
      </c>
    </row>
    <row r="40" spans="4:192" ht="15" thickBot="1">
      <c r="E40" s="24" t="s">
        <v>162</v>
      </c>
      <c r="F40" t="str">
        <f>IF(titleletter78=VLOOKUP(titleletter78,NCPlanKey,1,FALSE),"Yes","No")</f>
        <v>Yes</v>
      </c>
      <c r="G40" s="38"/>
      <c r="H40" s="38"/>
      <c r="I40" s="25"/>
      <c r="J40" s="38"/>
      <c r="K40" s="74" t="s">
        <v>835</v>
      </c>
      <c r="L40" s="68" t="str">
        <f>IF(buildingNumberInTitle1="Yes","Yes","No")</f>
        <v>Yes</v>
      </c>
      <c r="M40" s="38"/>
      <c r="N40" s="25"/>
      <c r="O40" s="38"/>
      <c r="P40" s="38"/>
      <c r="Q40" s="38"/>
      <c r="R40" s="38"/>
      <c r="S40" s="38"/>
      <c r="AS40" s="9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2"/>
      <c r="BF40" s="10"/>
      <c r="BG40" s="10"/>
      <c r="BH40" s="2" t="str">
        <f t="shared" si="9"/>
        <v/>
      </c>
      <c r="BI40" s="10"/>
      <c r="BJ40" s="2"/>
      <c r="BK40" s="38"/>
      <c r="BL40" s="38"/>
      <c r="BM40" s="38"/>
      <c r="BN40" s="38"/>
      <c r="BO40" s="38"/>
      <c r="BP40" s="38"/>
      <c r="BQ40" s="38"/>
      <c r="BR40" s="26"/>
      <c r="BS40" s="39"/>
      <c r="BT40" s="39"/>
      <c r="BU40" s="39"/>
      <c r="BV40" s="70"/>
      <c r="BW40" s="10"/>
      <c r="BX40" s="11"/>
      <c r="BY40" s="38"/>
      <c r="BZ40" s="38"/>
      <c r="CA40" s="38"/>
      <c r="CB40" s="38"/>
      <c r="CC40" s="38"/>
      <c r="CD40" s="38"/>
      <c r="CE40" s="38"/>
      <c r="CG40" s="24"/>
      <c r="CH40" s="38"/>
      <c r="CI40" s="38"/>
      <c r="CJ40" s="38"/>
      <c r="CK40" s="38"/>
      <c r="CL40" s="38"/>
      <c r="CM40" s="38"/>
      <c r="CN40" s="38"/>
      <c r="CO40" s="38"/>
      <c r="CP40" s="38"/>
      <c r="CQ40" s="2" t="str">
        <f t="shared" si="14"/>
        <v/>
      </c>
      <c r="CR40" s="2" t="str">
        <f t="shared" si="15"/>
        <v/>
      </c>
      <c r="CS40" s="2" t="str">
        <f t="shared" si="16"/>
        <v/>
      </c>
      <c r="CT40" s="2"/>
      <c r="CU40" s="2"/>
      <c r="CV40" s="2"/>
      <c r="CW40" s="2"/>
      <c r="CX40" s="8"/>
      <c r="DA40" s="7"/>
      <c r="DB40" s="2"/>
      <c r="DC40" s="13"/>
      <c r="DD40" s="38">
        <f t="shared" si="13"/>
        <v>0</v>
      </c>
      <c r="DE40" s="38">
        <f t="shared" si="12"/>
        <v>0</v>
      </c>
      <c r="DF40" s="38"/>
      <c r="DG40" s="38"/>
      <c r="DH40" s="25"/>
    </row>
    <row r="41" spans="4:192">
      <c r="E41" s="30" t="s">
        <v>812</v>
      </c>
      <c r="F41" s="25" t="str">
        <f>IsView</f>
        <v>Yes</v>
      </c>
      <c r="G41" s="38"/>
      <c r="H41" s="38"/>
      <c r="I41" s="25"/>
      <c r="J41" s="38"/>
      <c r="K41" s="24" t="s">
        <v>836</v>
      </c>
      <c r="L41" s="38" t="str">
        <f>IF(IsLayout="Yes",IF(levelInTitle="Yes","Yes","No"),"na")</f>
        <v>Yes</v>
      </c>
      <c r="M41" s="38"/>
      <c r="N41" s="25"/>
      <c r="O41" s="38"/>
      <c r="P41" s="38"/>
      <c r="Q41" s="38"/>
      <c r="R41" s="38"/>
      <c r="S41" s="38"/>
      <c r="CG41" s="24"/>
      <c r="CH41" s="38"/>
      <c r="CI41" s="38"/>
      <c r="CJ41" s="38"/>
      <c r="CK41" s="38"/>
      <c r="CL41" s="38"/>
      <c r="CM41" s="38"/>
      <c r="CN41" s="38"/>
      <c r="CO41" s="38"/>
      <c r="CP41" s="38"/>
      <c r="CQ41" s="2" t="str">
        <f t="shared" si="14"/>
        <v/>
      </c>
      <c r="CR41" s="2" t="str">
        <f t="shared" si="15"/>
        <v/>
      </c>
      <c r="CS41" s="2" t="str">
        <f t="shared" si="16"/>
        <v/>
      </c>
      <c r="CT41" s="2"/>
      <c r="CU41" s="2"/>
      <c r="CV41" s="2"/>
      <c r="CW41" s="2"/>
      <c r="CX41" s="8"/>
      <c r="DA41" s="7"/>
      <c r="DB41" s="2"/>
      <c r="DC41" s="13"/>
      <c r="DD41" s="38">
        <f t="shared" si="13"/>
        <v>0</v>
      </c>
      <c r="DE41" s="38">
        <f t="shared" si="12"/>
        <v>0</v>
      </c>
      <c r="DF41" s="38"/>
      <c r="DG41" s="38"/>
      <c r="DH41" s="25"/>
    </row>
    <row r="42" spans="4:192">
      <c r="E42" s="24"/>
      <c r="F42" s="38"/>
      <c r="G42" s="38"/>
      <c r="H42" s="38"/>
      <c r="I42" s="25"/>
      <c r="J42" s="38"/>
      <c r="K42" s="24" t="s">
        <v>838</v>
      </c>
      <c r="L42" s="38" t="str">
        <f>IF(IsLayout="Yes",IF(overallSectorInTitle="Yes","Yes","No"),"na")</f>
        <v>Yes</v>
      </c>
      <c r="M42" s="38"/>
      <c r="N42" s="25"/>
      <c r="O42" s="38"/>
      <c r="P42" s="38"/>
      <c r="Q42" s="38"/>
      <c r="R42" s="38"/>
      <c r="S42" s="38"/>
      <c r="CG42" s="24"/>
      <c r="CH42" s="38"/>
      <c r="CI42" s="38"/>
      <c r="CJ42" s="38"/>
      <c r="CK42" s="38"/>
      <c r="CL42" s="38"/>
      <c r="CM42" s="38"/>
      <c r="CN42" s="38"/>
      <c r="CO42" s="38"/>
      <c r="CP42" s="38"/>
      <c r="CQ42" s="2" t="str">
        <f t="shared" si="14"/>
        <v/>
      </c>
      <c r="CR42" s="2" t="str">
        <f t="shared" si="15"/>
        <v/>
      </c>
      <c r="CS42" s="2" t="str">
        <f t="shared" si="16"/>
        <v/>
      </c>
      <c r="CT42" s="2"/>
      <c r="CU42" s="2"/>
      <c r="CV42" s="2"/>
      <c r="CW42" s="2"/>
      <c r="CX42" s="8"/>
      <c r="DA42" s="7"/>
      <c r="DB42" s="2"/>
      <c r="DC42" s="13"/>
      <c r="DD42" s="38">
        <f t="shared" si="13"/>
        <v>0</v>
      </c>
      <c r="DE42" s="38">
        <f t="shared" si="12"/>
        <v>0</v>
      </c>
      <c r="DF42" s="38"/>
      <c r="DG42" s="38"/>
      <c r="DH42" s="25"/>
    </row>
    <row r="43" spans="4:192">
      <c r="D43" s="68"/>
      <c r="E43" s="82" t="s">
        <v>168</v>
      </c>
      <c r="F43" s="38" t="str">
        <f>IF(IsView="Yes",IF(AND(letter1legal="Yes",isEightLetters="Yes",dwgname=DwgNum),"ok","x"),"na")</f>
        <v>ok</v>
      </c>
      <c r="G43" s="68"/>
      <c r="H43" s="68"/>
      <c r="I43" s="80"/>
      <c r="J43" s="68"/>
      <c r="K43" s="24" t="s">
        <v>837</v>
      </c>
      <c r="L43" s="38" t="str">
        <f>IF(IsLayout="Yes",IF(layoutOrViewInTitle="Yes","Yes","No"),"na")</f>
        <v>Yes</v>
      </c>
      <c r="M43" s="68"/>
      <c r="N43" s="25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CG43" s="24"/>
      <c r="CH43" s="38"/>
      <c r="CI43" s="38"/>
      <c r="CJ43" s="38"/>
      <c r="CK43" s="38"/>
      <c r="CL43" s="38"/>
      <c r="CM43" s="38"/>
      <c r="CN43" s="38"/>
      <c r="CO43" s="38"/>
      <c r="CP43" s="38"/>
      <c r="CQ43" s="2" t="str">
        <f t="shared" si="14"/>
        <v/>
      </c>
      <c r="CR43" s="2" t="str">
        <f t="shared" si="15"/>
        <v/>
      </c>
      <c r="CS43" s="2" t="str">
        <f t="shared" si="16"/>
        <v/>
      </c>
      <c r="CT43" s="2"/>
      <c r="CU43" s="2"/>
      <c r="CV43" s="2"/>
      <c r="CW43" s="2"/>
      <c r="CX43" s="8"/>
      <c r="DA43" s="7"/>
      <c r="DB43" s="2"/>
      <c r="DC43" s="13"/>
      <c r="DD43" s="38">
        <f t="shared" si="13"/>
        <v>0</v>
      </c>
      <c r="DE43" s="38">
        <f t="shared" si="12"/>
        <v>0</v>
      </c>
      <c r="DF43" s="38"/>
      <c r="DG43" s="38"/>
      <c r="DH43" s="25"/>
    </row>
    <row r="44" spans="4:192">
      <c r="D44" s="73"/>
      <c r="E44" s="81" t="s">
        <v>590</v>
      </c>
      <c r="F44" s="83" t="str">
        <f>IF(ISERROR(VALUE(Letters5678)),"na",VALUE(Letters5678))</f>
        <v>na</v>
      </c>
      <c r="G44" s="68"/>
      <c r="H44" s="68"/>
      <c r="I44" s="80"/>
      <c r="J44" s="68"/>
      <c r="K44" s="24" t="s">
        <v>573</v>
      </c>
      <c r="L44" s="38" t="str">
        <f>IF(OR(M44=":",M44="="),"Yes","No")</f>
        <v>Yes</v>
      </c>
      <c r="M44" s="38" t="str">
        <f>MID(Scale,2,1)</f>
        <v>=</v>
      </c>
      <c r="N44" s="25"/>
      <c r="O44" s="68"/>
      <c r="P44" s="68"/>
      <c r="Q44" s="68"/>
      <c r="R44" s="68"/>
      <c r="S44" s="68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CG44" s="24"/>
      <c r="CH44" s="38"/>
      <c r="CI44" s="38"/>
      <c r="CJ44" s="38"/>
      <c r="CK44" s="38"/>
      <c r="CL44" s="38"/>
      <c r="CM44" s="38"/>
      <c r="CN44" s="38"/>
      <c r="CO44" s="38"/>
      <c r="CP44" s="38"/>
      <c r="CQ44" s="2" t="str">
        <f t="shared" si="14"/>
        <v/>
      </c>
      <c r="CR44" s="2" t="str">
        <f t="shared" si="15"/>
        <v/>
      </c>
      <c r="CS44" s="2" t="str">
        <f t="shared" si="16"/>
        <v/>
      </c>
      <c r="CT44" s="2"/>
      <c r="CU44" s="2"/>
      <c r="CV44" s="2"/>
      <c r="CW44" s="2"/>
      <c r="CX44" s="8"/>
      <c r="DA44" s="7"/>
      <c r="DB44" s="2"/>
      <c r="DC44" s="13"/>
      <c r="DD44" s="38">
        <f t="shared" si="13"/>
        <v>0</v>
      </c>
      <c r="DE44" s="38">
        <f t="shared" si="12"/>
        <v>0</v>
      </c>
      <c r="DF44" s="38"/>
      <c r="DG44" s="38"/>
      <c r="DH44" s="25"/>
    </row>
    <row r="45" spans="4:192" ht="15" thickBot="1">
      <c r="D45" s="68"/>
      <c r="E45" s="81" t="s">
        <v>586</v>
      </c>
      <c r="F45" s="38" t="str">
        <f>IF(OR(isEnlargedView1="Yes",isEnlargedView2="Yes"),"Yes","No")</f>
        <v>No</v>
      </c>
      <c r="G45" s="68"/>
      <c r="H45" s="68"/>
      <c r="I45" s="80"/>
      <c r="J45" s="68"/>
      <c r="K45" s="30" t="s">
        <v>574</v>
      </c>
      <c r="L45" s="38" t="str">
        <f>IF(PlotScale="1=1","Yes","No")</f>
        <v>Yes</v>
      </c>
      <c r="M45" s="38"/>
      <c r="N45" s="25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CG45" s="24"/>
      <c r="CH45" s="38"/>
      <c r="CI45" s="38"/>
      <c r="CJ45" s="38"/>
      <c r="CK45" s="38"/>
      <c r="CL45" s="38"/>
      <c r="CM45" s="38"/>
      <c r="CN45" s="38"/>
      <c r="CO45" s="38"/>
      <c r="CP45" s="38"/>
      <c r="CQ45" s="2" t="str">
        <f t="shared" si="14"/>
        <v/>
      </c>
      <c r="CR45" s="2" t="str">
        <f t="shared" si="15"/>
        <v/>
      </c>
      <c r="CS45" s="2" t="str">
        <f t="shared" si="16"/>
        <v/>
      </c>
      <c r="CT45" s="2"/>
      <c r="CU45" s="2"/>
      <c r="CV45" s="2"/>
      <c r="CW45" s="2"/>
      <c r="CX45" s="8"/>
      <c r="DA45" s="9"/>
      <c r="DB45" s="10"/>
      <c r="DC45" s="14"/>
      <c r="DD45" s="38">
        <f t="shared" si="13"/>
        <v>0</v>
      </c>
      <c r="DE45" s="38">
        <f t="shared" si="12"/>
        <v>0</v>
      </c>
      <c r="DF45" s="39"/>
      <c r="DG45" s="39"/>
      <c r="DH45" s="27"/>
    </row>
    <row r="46" spans="4:192">
      <c r="D46" s="73"/>
      <c r="E46" s="24" t="s">
        <v>587</v>
      </c>
      <c r="F46" s="38" t="str">
        <f>IsSection</f>
        <v>No</v>
      </c>
      <c r="G46" s="68"/>
      <c r="H46" s="68"/>
      <c r="I46" s="80"/>
      <c r="J46" s="68"/>
      <c r="K46" s="30" t="s">
        <v>575</v>
      </c>
      <c r="L46" s="38" t="str">
        <f>IF(OR(chk2Layer="G-ANNO-TTLB",chk2Layer="G-ANNO-TBOR"),"Yes","No")</f>
        <v>Yes</v>
      </c>
      <c r="M46" s="38" t="str">
        <f>titlelayer</f>
        <v>G-ANNO-TTLB</v>
      </c>
      <c r="N46" s="25"/>
      <c r="O46" s="68"/>
      <c r="P46" s="68"/>
      <c r="Q46" s="68"/>
      <c r="R46" s="68"/>
      <c r="S46" s="68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CG46" s="24"/>
      <c r="CH46" s="38"/>
      <c r="CI46" s="38"/>
      <c r="CJ46" s="38"/>
      <c r="CK46" s="38"/>
      <c r="CL46" s="38"/>
      <c r="CM46" s="38"/>
      <c r="CN46" s="38"/>
      <c r="CO46" s="38"/>
      <c r="CP46" s="38"/>
      <c r="CQ46" s="2" t="str">
        <f t="shared" si="14"/>
        <v/>
      </c>
      <c r="CR46" s="2" t="str">
        <f t="shared" si="15"/>
        <v/>
      </c>
      <c r="CS46" s="2" t="str">
        <f t="shared" si="16"/>
        <v/>
      </c>
      <c r="CT46" s="2"/>
      <c r="CU46" s="2"/>
      <c r="CV46" s="2"/>
      <c r="CW46" s="2"/>
      <c r="CX46" s="8"/>
    </row>
    <row r="47" spans="4:192">
      <c r="D47" s="68"/>
      <c r="E47" s="81" t="s">
        <v>588</v>
      </c>
      <c r="F47" s="38" t="str">
        <f>IsElevation</f>
        <v>No</v>
      </c>
      <c r="G47" s="68"/>
      <c r="H47" s="68"/>
      <c r="I47" s="80"/>
      <c r="J47" s="68"/>
      <c r="K47" s="30" t="s">
        <v>576</v>
      </c>
      <c r="L47" s="72" t="str">
        <f>IF(IsView="Yes",IF(AND(titleinmodel="No",titleinpaper="Yes",UniqueTitle="Yes",title4proper="Yes",title3proper="Yes",title2proper="Yes",title1proper="Yes",scaleformatok="Yes",plotscaleok="Yes",oncorrectlayer="Yes"),"ok","x"),"na")</f>
        <v>ok</v>
      </c>
      <c r="M47" s="38"/>
      <c r="N47" s="25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CG47" s="24"/>
      <c r="CH47" s="38"/>
      <c r="CI47" s="38"/>
      <c r="CJ47" s="38"/>
      <c r="CK47" s="38"/>
      <c r="CL47" s="38"/>
      <c r="CM47" s="38"/>
      <c r="CN47" s="38"/>
      <c r="CO47" s="38"/>
      <c r="CP47" s="38"/>
      <c r="CQ47" s="2" t="str">
        <f t="shared" si="14"/>
        <v/>
      </c>
      <c r="CR47" s="2" t="str">
        <f t="shared" si="15"/>
        <v/>
      </c>
      <c r="CS47" s="2" t="str">
        <f t="shared" si="16"/>
        <v/>
      </c>
      <c r="CT47" s="2"/>
      <c r="CU47" s="2"/>
      <c r="CV47" s="2"/>
      <c r="CW47" s="2"/>
      <c r="CX47" s="8"/>
    </row>
    <row r="48" spans="4:192" ht="15" thickBot="1">
      <c r="D48" s="68"/>
      <c r="E48" s="26" t="s">
        <v>589</v>
      </c>
      <c r="F48" s="39" t="str">
        <f>IF(OR(isDetail1="Yes",isDetail2="Yes"),"Yes","No")</f>
        <v>No</v>
      </c>
      <c r="G48" s="84"/>
      <c r="H48" s="84"/>
      <c r="I48" s="85"/>
      <c r="J48" s="68"/>
      <c r="K48" s="26"/>
      <c r="L48" s="39"/>
      <c r="M48" s="39"/>
      <c r="N48" s="27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CG48" s="24"/>
      <c r="CH48" s="38"/>
      <c r="CI48" s="38"/>
      <c r="CJ48" s="38"/>
      <c r="CK48" s="38"/>
      <c r="CL48" s="38"/>
      <c r="CM48" s="38"/>
      <c r="CN48" s="38"/>
      <c r="CO48" s="38"/>
      <c r="CP48" s="38"/>
      <c r="CQ48" s="2" t="str">
        <f t="shared" si="14"/>
        <v/>
      </c>
      <c r="CR48" s="2" t="str">
        <f t="shared" si="15"/>
        <v/>
      </c>
      <c r="CS48" s="2" t="str">
        <f t="shared" si="16"/>
        <v/>
      </c>
      <c r="CT48" s="2"/>
      <c r="CU48" s="2"/>
      <c r="CV48" s="2"/>
      <c r="CW48" s="2"/>
      <c r="CX48" s="8"/>
    </row>
    <row r="49" spans="1:102">
      <c r="D49" s="68"/>
      <c r="E49" s="68"/>
      <c r="F49" s="68"/>
      <c r="G49" s="68"/>
      <c r="H49" s="68"/>
      <c r="I49" s="68"/>
      <c r="J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CG49" s="24"/>
      <c r="CH49" s="38"/>
      <c r="CI49" s="38"/>
      <c r="CJ49" s="38"/>
      <c r="CK49" s="38"/>
      <c r="CL49" s="38"/>
      <c r="CM49" s="38"/>
      <c r="CN49" s="38"/>
      <c r="CO49" s="38"/>
      <c r="CP49" s="38"/>
      <c r="CQ49" s="2" t="str">
        <f t="shared" si="14"/>
        <v/>
      </c>
      <c r="CR49" s="2" t="str">
        <f t="shared" si="15"/>
        <v/>
      </c>
      <c r="CS49" s="2" t="str">
        <f t="shared" si="16"/>
        <v/>
      </c>
      <c r="CT49" s="2"/>
      <c r="CU49" s="2"/>
      <c r="CV49" s="2"/>
      <c r="CW49" s="2"/>
      <c r="CX49" s="8"/>
    </row>
    <row r="50" spans="1:102">
      <c r="D50" s="68"/>
      <c r="E50" s="68"/>
      <c r="F50" s="68"/>
      <c r="G50" s="68"/>
      <c r="H50" s="68"/>
      <c r="I50" s="68"/>
      <c r="J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CG50" s="24"/>
      <c r="CH50" s="38"/>
      <c r="CI50" s="38"/>
      <c r="CJ50" s="38"/>
      <c r="CK50" s="38"/>
      <c r="CL50" s="38"/>
      <c r="CM50" s="38"/>
      <c r="CN50" s="38"/>
      <c r="CO50" s="38"/>
      <c r="CP50" s="38"/>
      <c r="CQ50" s="2" t="str">
        <f t="shared" si="14"/>
        <v/>
      </c>
      <c r="CR50" s="2" t="str">
        <f t="shared" si="15"/>
        <v/>
      </c>
      <c r="CS50" s="2" t="str">
        <f t="shared" si="16"/>
        <v/>
      </c>
      <c r="CT50" s="2"/>
      <c r="CU50" s="2"/>
      <c r="CV50" s="2"/>
      <c r="CW50" s="2"/>
      <c r="CX50" s="8"/>
    </row>
    <row r="51" spans="1:102">
      <c r="D51" s="73"/>
      <c r="CG51" s="24"/>
      <c r="CH51" s="38"/>
      <c r="CI51" s="38"/>
      <c r="CJ51" s="38"/>
      <c r="CK51" s="38"/>
      <c r="CL51" s="38"/>
      <c r="CM51" s="38"/>
      <c r="CN51" s="38"/>
      <c r="CO51" s="38"/>
      <c r="CP51" s="38"/>
      <c r="CQ51" s="2" t="str">
        <f t="shared" si="14"/>
        <v/>
      </c>
      <c r="CR51" s="2" t="str">
        <f t="shared" si="15"/>
        <v/>
      </c>
      <c r="CS51" s="2" t="str">
        <f t="shared" si="16"/>
        <v/>
      </c>
      <c r="CT51" s="2"/>
      <c r="CU51" s="2"/>
      <c r="CV51" s="2"/>
      <c r="CW51" s="2"/>
      <c r="CX51" s="8"/>
    </row>
    <row r="52" spans="1:102">
      <c r="CG52" s="24"/>
      <c r="CH52" s="38"/>
      <c r="CI52" s="38"/>
      <c r="CJ52" s="38"/>
      <c r="CK52" s="38"/>
      <c r="CL52" s="38"/>
      <c r="CM52" s="38"/>
      <c r="CN52" s="38"/>
      <c r="CO52" s="38"/>
      <c r="CP52" s="38"/>
      <c r="CQ52" s="2" t="str">
        <f t="shared" si="14"/>
        <v/>
      </c>
      <c r="CR52" s="2" t="str">
        <f t="shared" si="15"/>
        <v/>
      </c>
      <c r="CS52" s="2" t="str">
        <f t="shared" si="16"/>
        <v/>
      </c>
      <c r="CT52" s="2"/>
      <c r="CU52" s="2"/>
      <c r="CV52" s="2"/>
      <c r="CW52" s="2"/>
      <c r="CX52" s="8"/>
    </row>
    <row r="53" spans="1:102">
      <c r="CG53" s="24"/>
      <c r="CH53" s="38"/>
      <c r="CI53" s="38"/>
      <c r="CJ53" s="38"/>
      <c r="CK53" s="38"/>
      <c r="CL53" s="38"/>
      <c r="CM53" s="38"/>
      <c r="CN53" s="38"/>
      <c r="CO53" s="38"/>
      <c r="CP53" s="38"/>
      <c r="CQ53" s="2" t="str">
        <f t="shared" si="14"/>
        <v/>
      </c>
      <c r="CR53" s="2" t="str">
        <f t="shared" si="15"/>
        <v/>
      </c>
      <c r="CS53" s="2" t="str">
        <f t="shared" si="16"/>
        <v/>
      </c>
      <c r="CT53" s="2"/>
      <c r="CU53" s="2"/>
      <c r="CV53" s="2"/>
      <c r="CW53" s="2"/>
      <c r="CX53" s="8"/>
    </row>
    <row r="54" spans="1:102">
      <c r="CG54" s="24"/>
      <c r="CH54" s="38"/>
      <c r="CI54" s="38"/>
      <c r="CJ54" s="38"/>
      <c r="CK54" s="38"/>
      <c r="CL54" s="38"/>
      <c r="CM54" s="38"/>
      <c r="CN54" s="38"/>
      <c r="CO54" s="38"/>
      <c r="CP54" s="38"/>
      <c r="CQ54" s="2" t="str">
        <f t="shared" si="14"/>
        <v/>
      </c>
      <c r="CR54" s="2" t="str">
        <f t="shared" si="15"/>
        <v/>
      </c>
      <c r="CS54" s="2" t="str">
        <f t="shared" si="16"/>
        <v/>
      </c>
      <c r="CT54" s="2"/>
      <c r="CU54" s="2"/>
      <c r="CV54" s="2"/>
      <c r="CW54" s="2"/>
      <c r="CX54" s="8"/>
    </row>
    <row r="55" spans="1:102">
      <c r="CG55" s="24"/>
      <c r="CH55" s="38"/>
      <c r="CI55" s="38"/>
      <c r="CJ55" s="38"/>
      <c r="CK55" s="38"/>
      <c r="CL55" s="38"/>
      <c r="CM55" s="38"/>
      <c r="CN55" s="38"/>
      <c r="CO55" s="38"/>
      <c r="CP55" s="38"/>
      <c r="CQ55" s="2" t="str">
        <f t="shared" si="14"/>
        <v/>
      </c>
      <c r="CR55" s="2" t="str">
        <f t="shared" si="15"/>
        <v/>
      </c>
      <c r="CS55" s="2" t="str">
        <f t="shared" si="16"/>
        <v/>
      </c>
      <c r="CT55" s="2"/>
      <c r="CU55" s="2"/>
      <c r="CV55" s="2"/>
      <c r="CW55" s="2"/>
      <c r="CX55" s="8"/>
    </row>
    <row r="56" spans="1:102">
      <c r="CG56" s="24"/>
      <c r="CH56" s="38"/>
      <c r="CI56" s="38"/>
      <c r="CJ56" s="38"/>
      <c r="CK56" s="38"/>
      <c r="CL56" s="38"/>
      <c r="CM56" s="38"/>
      <c r="CN56" s="38"/>
      <c r="CO56" s="38"/>
      <c r="CP56" s="38"/>
      <c r="CQ56" s="2" t="str">
        <f t="shared" si="14"/>
        <v/>
      </c>
      <c r="CR56" s="2" t="str">
        <f t="shared" si="15"/>
        <v/>
      </c>
      <c r="CS56" s="2" t="str">
        <f t="shared" si="16"/>
        <v/>
      </c>
      <c r="CT56" s="2"/>
      <c r="CU56" s="2"/>
      <c r="CV56" s="2"/>
      <c r="CW56" s="2"/>
      <c r="CX56" s="8"/>
    </row>
    <row r="57" spans="1:102">
      <c r="CG57" s="24"/>
      <c r="CH57" s="38"/>
      <c r="CI57" s="38"/>
      <c r="CJ57" s="38"/>
      <c r="CK57" s="38"/>
      <c r="CL57" s="38"/>
      <c r="CM57" s="38"/>
      <c r="CN57" s="38"/>
      <c r="CO57" s="38"/>
      <c r="CP57" s="38"/>
      <c r="CQ57" s="2" t="str">
        <f t="shared" si="14"/>
        <v/>
      </c>
      <c r="CR57" s="2" t="str">
        <f t="shared" si="15"/>
        <v/>
      </c>
      <c r="CS57" s="2" t="str">
        <f t="shared" si="16"/>
        <v/>
      </c>
      <c r="CT57" s="2"/>
      <c r="CU57" s="2"/>
      <c r="CV57" s="2"/>
      <c r="CW57" s="2"/>
      <c r="CX57" s="8"/>
    </row>
    <row r="58" spans="1:102">
      <c r="CG58" s="24"/>
      <c r="CH58" s="38"/>
      <c r="CI58" s="38"/>
      <c r="CJ58" s="38"/>
      <c r="CK58" s="38"/>
      <c r="CL58" s="38"/>
      <c r="CM58" s="38"/>
      <c r="CN58" s="38"/>
      <c r="CO58" s="38"/>
      <c r="CP58" s="38"/>
      <c r="CQ58" s="2" t="str">
        <f t="shared" si="14"/>
        <v/>
      </c>
      <c r="CR58" s="2" t="str">
        <f t="shared" si="15"/>
        <v/>
      </c>
      <c r="CS58" s="2" t="str">
        <f t="shared" si="16"/>
        <v/>
      </c>
      <c r="CT58" s="2"/>
      <c r="CU58" s="2"/>
      <c r="CV58" s="2"/>
      <c r="CW58" s="2"/>
      <c r="CX58" s="8"/>
    </row>
    <row r="59" spans="1:102">
      <c r="CG59" s="24"/>
      <c r="CH59" s="38"/>
      <c r="CI59" s="38"/>
      <c r="CJ59" s="38"/>
      <c r="CK59" s="38"/>
      <c r="CL59" s="38"/>
      <c r="CM59" s="38"/>
      <c r="CN59" s="38"/>
      <c r="CO59" s="38"/>
      <c r="CP59" s="38"/>
      <c r="CQ59" s="2" t="str">
        <f t="shared" si="14"/>
        <v/>
      </c>
      <c r="CR59" s="2" t="str">
        <f t="shared" si="15"/>
        <v/>
      </c>
      <c r="CS59" s="2" t="str">
        <f t="shared" si="16"/>
        <v/>
      </c>
      <c r="CT59" s="2"/>
      <c r="CU59" s="2"/>
      <c r="CV59" s="2"/>
      <c r="CW59" s="2"/>
      <c r="CX59" s="8"/>
    </row>
    <row r="60" spans="1:102">
      <c r="CG60" s="24"/>
      <c r="CH60" s="38"/>
      <c r="CI60" s="38"/>
      <c r="CJ60" s="38"/>
      <c r="CK60" s="38"/>
      <c r="CL60" s="38"/>
      <c r="CM60" s="38"/>
      <c r="CN60" s="38"/>
      <c r="CO60" s="38"/>
      <c r="CP60" s="38"/>
      <c r="CQ60" s="2" t="str">
        <f t="shared" si="14"/>
        <v/>
      </c>
      <c r="CR60" s="2" t="str">
        <f t="shared" si="15"/>
        <v/>
      </c>
      <c r="CS60" s="2" t="str">
        <f t="shared" si="16"/>
        <v/>
      </c>
      <c r="CT60" s="2"/>
      <c r="CU60" s="2"/>
      <c r="CV60" s="2"/>
      <c r="CW60" s="2"/>
      <c r="CX60" s="8"/>
    </row>
    <row r="61" spans="1:102">
      <c r="CG61" s="24"/>
      <c r="CH61" s="38"/>
      <c r="CI61" s="38"/>
      <c r="CJ61" s="38"/>
      <c r="CK61" s="38"/>
      <c r="CL61" s="38"/>
      <c r="CM61" s="38"/>
      <c r="CN61" s="38"/>
      <c r="CO61" s="38"/>
      <c r="CP61" s="38"/>
      <c r="CQ61" s="2" t="str">
        <f t="shared" si="14"/>
        <v/>
      </c>
      <c r="CR61" s="2" t="str">
        <f t="shared" si="15"/>
        <v/>
      </c>
      <c r="CS61" s="2" t="str">
        <f t="shared" si="16"/>
        <v/>
      </c>
      <c r="CT61" s="2"/>
      <c r="CU61" s="2"/>
      <c r="CV61" s="2"/>
      <c r="CW61" s="2"/>
      <c r="CX61" s="8"/>
    </row>
    <row r="62" spans="1:102">
      <c r="A62" s="34" t="s">
        <v>812</v>
      </c>
      <c r="B62" t="str">
        <f>IF(OR(titleletter1="K",titleletter1="M"),"Yes","No")</f>
        <v>Yes</v>
      </c>
      <c r="CG62" s="24"/>
      <c r="CH62" s="38"/>
      <c r="CI62" s="38"/>
      <c r="CJ62" s="38"/>
      <c r="CK62" s="38"/>
      <c r="CL62" s="38"/>
      <c r="CM62" s="38"/>
      <c r="CN62" s="38"/>
      <c r="CO62" s="38"/>
      <c r="CP62" s="38"/>
      <c r="CQ62" s="2" t="str">
        <f t="shared" si="14"/>
        <v/>
      </c>
      <c r="CR62" s="2" t="str">
        <f t="shared" si="15"/>
        <v/>
      </c>
      <c r="CS62" s="2" t="str">
        <f t="shared" si="16"/>
        <v/>
      </c>
      <c r="CT62" s="2"/>
      <c r="CU62" s="2"/>
      <c r="CV62" s="2"/>
      <c r="CW62" s="2"/>
      <c r="CX62" s="8"/>
    </row>
    <row r="63" spans="1:102">
      <c r="CG63" s="24"/>
      <c r="CH63" s="38"/>
      <c r="CI63" s="38"/>
      <c r="CJ63" s="38"/>
      <c r="CK63" s="38"/>
      <c r="CL63" s="38"/>
      <c r="CM63" s="38"/>
      <c r="CN63" s="38"/>
      <c r="CO63" s="38"/>
      <c r="CP63" s="38"/>
      <c r="CQ63" s="2" t="str">
        <f t="shared" si="14"/>
        <v/>
      </c>
      <c r="CR63" s="2" t="str">
        <f t="shared" si="15"/>
        <v/>
      </c>
      <c r="CS63" s="2" t="str">
        <f t="shared" si="16"/>
        <v/>
      </c>
      <c r="CT63" s="2"/>
      <c r="CU63" s="2"/>
      <c r="CV63" s="2"/>
      <c r="CW63" s="2"/>
      <c r="CX63" s="8"/>
    </row>
    <row r="64" spans="1:102">
      <c r="CG64" s="24"/>
      <c r="CH64" s="38"/>
      <c r="CI64" s="38"/>
      <c r="CJ64" s="38"/>
      <c r="CK64" s="38"/>
      <c r="CL64" s="38"/>
      <c r="CM64" s="38"/>
      <c r="CN64" s="38"/>
      <c r="CO64" s="38"/>
      <c r="CP64" s="38"/>
      <c r="CQ64" s="2" t="str">
        <f t="shared" si="14"/>
        <v/>
      </c>
      <c r="CR64" s="2" t="str">
        <f t="shared" si="15"/>
        <v/>
      </c>
      <c r="CS64" s="2" t="str">
        <f t="shared" si="16"/>
        <v/>
      </c>
      <c r="CT64" s="2"/>
      <c r="CU64" s="2"/>
      <c r="CV64" s="2"/>
      <c r="CW64" s="2"/>
      <c r="CX64" s="8"/>
    </row>
    <row r="65" spans="85:102">
      <c r="CG65" s="24"/>
      <c r="CH65" s="38"/>
      <c r="CI65" s="38"/>
      <c r="CJ65" s="38"/>
      <c r="CK65" s="38"/>
      <c r="CL65" s="38"/>
      <c r="CM65" s="38"/>
      <c r="CN65" s="38"/>
      <c r="CO65" s="38"/>
      <c r="CP65" s="38"/>
      <c r="CQ65" s="2" t="str">
        <f t="shared" si="14"/>
        <v/>
      </c>
      <c r="CR65" s="2" t="str">
        <f t="shared" si="15"/>
        <v/>
      </c>
      <c r="CS65" s="2" t="str">
        <f t="shared" si="16"/>
        <v/>
      </c>
      <c r="CT65" s="2"/>
      <c r="CU65" s="2"/>
      <c r="CV65" s="2"/>
      <c r="CW65" s="2"/>
      <c r="CX65" s="8"/>
    </row>
    <row r="66" spans="85:102">
      <c r="CG66" s="24"/>
      <c r="CH66" s="38"/>
      <c r="CI66" s="38"/>
      <c r="CJ66" s="38"/>
      <c r="CK66" s="38"/>
      <c r="CL66" s="38"/>
      <c r="CM66" s="38"/>
      <c r="CN66" s="38"/>
      <c r="CO66" s="38"/>
      <c r="CP66" s="38"/>
      <c r="CQ66" s="2" t="str">
        <f t="shared" ref="CQ66:CQ97" si="17">IF(ISERROR(CR66-FIXED(CR66,0)),"",CR66-FIXED(CR66,0))</f>
        <v/>
      </c>
      <c r="CR66" s="2" t="str">
        <f t="shared" ref="CR66:CR97" si="18">IF(ISERROR(CT66/CS66),"",CT66/CS66)</f>
        <v/>
      </c>
      <c r="CS66" s="2" t="str">
        <f t="shared" ref="CS66:CS97" si="19">IF(ISERROR(VLOOKUP(CW66,$CN$2:$CO$5,2)),"",VLOOKUP(CW66,$CN$2:$CO$5,2))</f>
        <v/>
      </c>
      <c r="CT66" s="2"/>
      <c r="CU66" s="2"/>
      <c r="CV66" s="2"/>
      <c r="CW66" s="2"/>
      <c r="CX66" s="8"/>
    </row>
    <row r="67" spans="85:102">
      <c r="CG67" s="24"/>
      <c r="CH67" s="38"/>
      <c r="CI67" s="38"/>
      <c r="CJ67" s="38"/>
      <c r="CK67" s="38"/>
      <c r="CL67" s="38"/>
      <c r="CM67" s="38"/>
      <c r="CN67" s="38"/>
      <c r="CO67" s="38"/>
      <c r="CP67" s="38"/>
      <c r="CQ67" s="2" t="str">
        <f t="shared" si="17"/>
        <v/>
      </c>
      <c r="CR67" s="2" t="str">
        <f t="shared" si="18"/>
        <v/>
      </c>
      <c r="CS67" s="2" t="str">
        <f t="shared" si="19"/>
        <v/>
      </c>
      <c r="CT67" s="2"/>
      <c r="CU67" s="2"/>
      <c r="CV67" s="2"/>
      <c r="CW67" s="2"/>
      <c r="CX67" s="8"/>
    </row>
    <row r="68" spans="85:102">
      <c r="CG68" s="24"/>
      <c r="CH68" s="38"/>
      <c r="CI68" s="38"/>
      <c r="CJ68" s="38"/>
      <c r="CK68" s="38"/>
      <c r="CL68" s="38"/>
      <c r="CM68" s="38"/>
      <c r="CN68" s="38"/>
      <c r="CO68" s="38"/>
      <c r="CP68" s="38"/>
      <c r="CQ68" s="2" t="str">
        <f t="shared" si="17"/>
        <v/>
      </c>
      <c r="CR68" s="2" t="str">
        <f t="shared" si="18"/>
        <v/>
      </c>
      <c r="CS68" s="2" t="str">
        <f t="shared" si="19"/>
        <v/>
      </c>
      <c r="CT68" s="2"/>
      <c r="CU68" s="2"/>
      <c r="CV68" s="2"/>
      <c r="CW68" s="2"/>
      <c r="CX68" s="8"/>
    </row>
    <row r="69" spans="85:102">
      <c r="CG69" s="24"/>
      <c r="CH69" s="38"/>
      <c r="CI69" s="38"/>
      <c r="CJ69" s="38"/>
      <c r="CK69" s="38"/>
      <c r="CL69" s="38"/>
      <c r="CM69" s="38"/>
      <c r="CN69" s="38"/>
      <c r="CO69" s="38"/>
      <c r="CP69" s="38"/>
      <c r="CQ69" s="2" t="str">
        <f t="shared" si="17"/>
        <v/>
      </c>
      <c r="CR69" s="2" t="str">
        <f t="shared" si="18"/>
        <v/>
      </c>
      <c r="CS69" s="2" t="str">
        <f t="shared" si="19"/>
        <v/>
      </c>
      <c r="CT69" s="2"/>
      <c r="CU69" s="2"/>
      <c r="CV69" s="2"/>
      <c r="CW69" s="2"/>
      <c r="CX69" s="8"/>
    </row>
    <row r="70" spans="85:102">
      <c r="CG70" s="24"/>
      <c r="CH70" s="38"/>
      <c r="CI70" s="38"/>
      <c r="CJ70" s="38"/>
      <c r="CK70" s="38"/>
      <c r="CL70" s="38"/>
      <c r="CM70" s="38"/>
      <c r="CN70" s="38"/>
      <c r="CO70" s="38"/>
      <c r="CP70" s="38"/>
      <c r="CQ70" s="2" t="str">
        <f t="shared" si="17"/>
        <v/>
      </c>
      <c r="CR70" s="2" t="str">
        <f t="shared" si="18"/>
        <v/>
      </c>
      <c r="CS70" s="2" t="str">
        <f t="shared" si="19"/>
        <v/>
      </c>
      <c r="CT70" s="2"/>
      <c r="CU70" s="2"/>
      <c r="CV70" s="2"/>
      <c r="CW70" s="2"/>
      <c r="CX70" s="8"/>
    </row>
    <row r="71" spans="85:102">
      <c r="CG71" s="24"/>
      <c r="CH71" s="38"/>
      <c r="CI71" s="38"/>
      <c r="CJ71" s="38"/>
      <c r="CK71" s="38"/>
      <c r="CL71" s="38"/>
      <c r="CM71" s="38"/>
      <c r="CN71" s="38"/>
      <c r="CO71" s="38"/>
      <c r="CP71" s="38"/>
      <c r="CQ71" s="2" t="str">
        <f t="shared" si="17"/>
        <v/>
      </c>
      <c r="CR71" s="2" t="str">
        <f t="shared" si="18"/>
        <v/>
      </c>
      <c r="CS71" s="2" t="str">
        <f t="shared" si="19"/>
        <v/>
      </c>
      <c r="CT71" s="2"/>
      <c r="CU71" s="2"/>
      <c r="CV71" s="2"/>
      <c r="CW71" s="2"/>
      <c r="CX71" s="8"/>
    </row>
    <row r="72" spans="85:102">
      <c r="CG72" s="24"/>
      <c r="CH72" s="38"/>
      <c r="CI72" s="38"/>
      <c r="CJ72" s="38"/>
      <c r="CK72" s="38"/>
      <c r="CL72" s="38"/>
      <c r="CM72" s="38"/>
      <c r="CN72" s="38"/>
      <c r="CO72" s="38"/>
      <c r="CP72" s="38"/>
      <c r="CQ72" s="2" t="str">
        <f t="shared" si="17"/>
        <v/>
      </c>
      <c r="CR72" s="2" t="str">
        <f t="shared" si="18"/>
        <v/>
      </c>
      <c r="CS72" s="2" t="str">
        <f t="shared" si="19"/>
        <v/>
      </c>
      <c r="CT72" s="2"/>
      <c r="CU72" s="2"/>
      <c r="CV72" s="2"/>
      <c r="CW72" s="2"/>
      <c r="CX72" s="8"/>
    </row>
    <row r="73" spans="85:102">
      <c r="CG73" s="24"/>
      <c r="CH73" s="38"/>
      <c r="CI73" s="38"/>
      <c r="CJ73" s="38"/>
      <c r="CK73" s="38"/>
      <c r="CL73" s="38"/>
      <c r="CM73" s="38"/>
      <c r="CN73" s="38"/>
      <c r="CO73" s="38"/>
      <c r="CP73" s="38"/>
      <c r="CQ73" s="2" t="str">
        <f t="shared" si="17"/>
        <v/>
      </c>
      <c r="CR73" s="2" t="str">
        <f t="shared" si="18"/>
        <v/>
      </c>
      <c r="CS73" s="2" t="str">
        <f t="shared" si="19"/>
        <v/>
      </c>
      <c r="CT73" s="2"/>
      <c r="CU73" s="2"/>
      <c r="CV73" s="2"/>
      <c r="CW73" s="2"/>
      <c r="CX73" s="8"/>
    </row>
    <row r="74" spans="85:102">
      <c r="CG74" s="24"/>
      <c r="CH74" s="38"/>
      <c r="CI74" s="38"/>
      <c r="CJ74" s="38"/>
      <c r="CK74" s="38"/>
      <c r="CL74" s="38"/>
      <c r="CM74" s="38"/>
      <c r="CN74" s="38"/>
      <c r="CO74" s="38"/>
      <c r="CP74" s="38"/>
      <c r="CQ74" s="2" t="str">
        <f t="shared" si="17"/>
        <v/>
      </c>
      <c r="CR74" s="2" t="str">
        <f t="shared" si="18"/>
        <v/>
      </c>
      <c r="CS74" s="2" t="str">
        <f t="shared" si="19"/>
        <v/>
      </c>
      <c r="CT74" s="2"/>
      <c r="CU74" s="2"/>
      <c r="CV74" s="2"/>
      <c r="CW74" s="2"/>
      <c r="CX74" s="8"/>
    </row>
    <row r="75" spans="85:102">
      <c r="CG75" s="24"/>
      <c r="CH75" s="38"/>
      <c r="CI75" s="38"/>
      <c r="CJ75" s="38"/>
      <c r="CK75" s="38"/>
      <c r="CL75" s="38"/>
      <c r="CM75" s="38"/>
      <c r="CN75" s="38"/>
      <c r="CO75" s="38"/>
      <c r="CP75" s="38"/>
      <c r="CQ75" s="2" t="str">
        <f t="shared" si="17"/>
        <v/>
      </c>
      <c r="CR75" s="2" t="str">
        <f t="shared" si="18"/>
        <v/>
      </c>
      <c r="CS75" s="2" t="str">
        <f t="shared" si="19"/>
        <v/>
      </c>
      <c r="CT75" s="2"/>
      <c r="CU75" s="2"/>
      <c r="CV75" s="2"/>
      <c r="CW75" s="2"/>
      <c r="CX75" s="8"/>
    </row>
    <row r="76" spans="85:102">
      <c r="CG76" s="24"/>
      <c r="CH76" s="38"/>
      <c r="CI76" s="38"/>
      <c r="CJ76" s="38"/>
      <c r="CK76" s="38"/>
      <c r="CL76" s="38"/>
      <c r="CM76" s="38"/>
      <c r="CN76" s="38"/>
      <c r="CO76" s="38"/>
      <c r="CP76" s="38"/>
      <c r="CQ76" s="2" t="str">
        <f t="shared" si="17"/>
        <v/>
      </c>
      <c r="CR76" s="2" t="str">
        <f t="shared" si="18"/>
        <v/>
      </c>
      <c r="CS76" s="2" t="str">
        <f t="shared" si="19"/>
        <v/>
      </c>
      <c r="CT76" s="2"/>
      <c r="CU76" s="2"/>
      <c r="CV76" s="2"/>
      <c r="CW76" s="2"/>
      <c r="CX76" s="8"/>
    </row>
    <row r="77" spans="85:102">
      <c r="CG77" s="24"/>
      <c r="CH77" s="38"/>
      <c r="CI77" s="38"/>
      <c r="CJ77" s="38"/>
      <c r="CK77" s="38"/>
      <c r="CL77" s="38"/>
      <c r="CM77" s="38"/>
      <c r="CN77" s="38"/>
      <c r="CO77" s="38"/>
      <c r="CP77" s="38"/>
      <c r="CQ77" s="2" t="str">
        <f t="shared" si="17"/>
        <v/>
      </c>
      <c r="CR77" s="2" t="str">
        <f t="shared" si="18"/>
        <v/>
      </c>
      <c r="CS77" s="2" t="str">
        <f t="shared" si="19"/>
        <v/>
      </c>
      <c r="CT77" s="2"/>
      <c r="CU77" s="2"/>
      <c r="CV77" s="2"/>
      <c r="CW77" s="2"/>
      <c r="CX77" s="8"/>
    </row>
    <row r="78" spans="85:102">
      <c r="CG78" s="24"/>
      <c r="CH78" s="38"/>
      <c r="CI78" s="38"/>
      <c r="CJ78" s="38"/>
      <c r="CK78" s="38"/>
      <c r="CL78" s="38"/>
      <c r="CM78" s="38"/>
      <c r="CN78" s="38"/>
      <c r="CO78" s="38"/>
      <c r="CP78" s="38"/>
      <c r="CQ78" s="2" t="str">
        <f t="shared" si="17"/>
        <v/>
      </c>
      <c r="CR78" s="2" t="str">
        <f t="shared" si="18"/>
        <v/>
      </c>
      <c r="CS78" s="2" t="str">
        <f t="shared" si="19"/>
        <v/>
      </c>
      <c r="CT78" s="2"/>
      <c r="CU78" s="2"/>
      <c r="CV78" s="2"/>
      <c r="CW78" s="2"/>
      <c r="CX78" s="8"/>
    </row>
    <row r="79" spans="85:102">
      <c r="CG79" s="24"/>
      <c r="CH79" s="38"/>
      <c r="CI79" s="38"/>
      <c r="CJ79" s="38"/>
      <c r="CK79" s="38"/>
      <c r="CL79" s="38"/>
      <c r="CM79" s="38"/>
      <c r="CN79" s="38"/>
      <c r="CO79" s="38"/>
      <c r="CP79" s="38"/>
      <c r="CQ79" s="2" t="str">
        <f t="shared" si="17"/>
        <v/>
      </c>
      <c r="CR79" s="2" t="str">
        <f t="shared" si="18"/>
        <v/>
      </c>
      <c r="CS79" s="2" t="str">
        <f t="shared" si="19"/>
        <v/>
      </c>
      <c r="CT79" s="2"/>
      <c r="CU79" s="2"/>
      <c r="CV79" s="2"/>
      <c r="CW79" s="2"/>
      <c r="CX79" s="8"/>
    </row>
    <row r="80" spans="85:102">
      <c r="CG80" s="24"/>
      <c r="CH80" s="38"/>
      <c r="CI80" s="38"/>
      <c r="CJ80" s="38"/>
      <c r="CK80" s="38"/>
      <c r="CL80" s="38"/>
      <c r="CM80" s="38"/>
      <c r="CN80" s="38"/>
      <c r="CO80" s="38"/>
      <c r="CP80" s="38"/>
      <c r="CQ80" s="2" t="str">
        <f t="shared" si="17"/>
        <v/>
      </c>
      <c r="CR80" s="2" t="str">
        <f t="shared" si="18"/>
        <v/>
      </c>
      <c r="CS80" s="2" t="str">
        <f t="shared" si="19"/>
        <v/>
      </c>
      <c r="CT80" s="2"/>
      <c r="CU80" s="2"/>
      <c r="CV80" s="2"/>
      <c r="CW80" s="2"/>
      <c r="CX80" s="8"/>
    </row>
    <row r="81" spans="85:102">
      <c r="CG81" s="24"/>
      <c r="CH81" s="38"/>
      <c r="CI81" s="38"/>
      <c r="CJ81" s="38"/>
      <c r="CK81" s="38"/>
      <c r="CL81" s="38"/>
      <c r="CM81" s="38"/>
      <c r="CN81" s="38"/>
      <c r="CO81" s="38"/>
      <c r="CP81" s="38"/>
      <c r="CQ81" s="2" t="str">
        <f t="shared" si="17"/>
        <v/>
      </c>
      <c r="CR81" s="2" t="str">
        <f t="shared" si="18"/>
        <v/>
      </c>
      <c r="CS81" s="2" t="str">
        <f t="shared" si="19"/>
        <v/>
      </c>
      <c r="CT81" s="2"/>
      <c r="CU81" s="2"/>
      <c r="CV81" s="2"/>
      <c r="CW81" s="2"/>
      <c r="CX81" s="8"/>
    </row>
    <row r="82" spans="85:102">
      <c r="CG82" s="24"/>
      <c r="CH82" s="38"/>
      <c r="CI82" s="38"/>
      <c r="CJ82" s="38"/>
      <c r="CK82" s="38"/>
      <c r="CL82" s="38"/>
      <c r="CM82" s="38"/>
      <c r="CN82" s="38"/>
      <c r="CO82" s="38"/>
      <c r="CP82" s="38"/>
      <c r="CQ82" s="2" t="str">
        <f t="shared" si="17"/>
        <v/>
      </c>
      <c r="CR82" s="2" t="str">
        <f t="shared" si="18"/>
        <v/>
      </c>
      <c r="CS82" s="2" t="str">
        <f t="shared" si="19"/>
        <v/>
      </c>
      <c r="CT82" s="2"/>
      <c r="CU82" s="2"/>
      <c r="CV82" s="2"/>
      <c r="CW82" s="2"/>
      <c r="CX82" s="8"/>
    </row>
    <row r="83" spans="85:102">
      <c r="CG83" s="24"/>
      <c r="CH83" s="38"/>
      <c r="CI83" s="38"/>
      <c r="CJ83" s="38"/>
      <c r="CK83" s="38"/>
      <c r="CL83" s="38"/>
      <c r="CM83" s="38"/>
      <c r="CN83" s="38"/>
      <c r="CO83" s="38"/>
      <c r="CP83" s="38"/>
      <c r="CQ83" s="2" t="str">
        <f t="shared" si="17"/>
        <v/>
      </c>
      <c r="CR83" s="2" t="str">
        <f t="shared" si="18"/>
        <v/>
      </c>
      <c r="CS83" s="2" t="str">
        <f t="shared" si="19"/>
        <v/>
      </c>
      <c r="CT83" s="2"/>
      <c r="CU83" s="2"/>
      <c r="CV83" s="2"/>
      <c r="CW83" s="2"/>
      <c r="CX83" s="8"/>
    </row>
    <row r="84" spans="85:102">
      <c r="CG84" s="24"/>
      <c r="CH84" s="38"/>
      <c r="CI84" s="38"/>
      <c r="CJ84" s="38"/>
      <c r="CK84" s="38"/>
      <c r="CL84" s="38"/>
      <c r="CM84" s="38"/>
      <c r="CN84" s="38"/>
      <c r="CO84" s="38"/>
      <c r="CP84" s="38"/>
      <c r="CQ84" s="2" t="str">
        <f t="shared" si="17"/>
        <v/>
      </c>
      <c r="CR84" s="2" t="str">
        <f t="shared" si="18"/>
        <v/>
      </c>
      <c r="CS84" s="2" t="str">
        <f t="shared" si="19"/>
        <v/>
      </c>
      <c r="CT84" s="2"/>
      <c r="CU84" s="2"/>
      <c r="CV84" s="2"/>
      <c r="CW84" s="2"/>
      <c r="CX84" s="8"/>
    </row>
    <row r="85" spans="85:102">
      <c r="CG85" s="24"/>
      <c r="CH85" s="38"/>
      <c r="CI85" s="38"/>
      <c r="CJ85" s="38"/>
      <c r="CK85" s="38"/>
      <c r="CL85" s="38"/>
      <c r="CM85" s="38"/>
      <c r="CN85" s="38"/>
      <c r="CO85" s="38"/>
      <c r="CP85" s="38"/>
      <c r="CQ85" s="2" t="str">
        <f t="shared" si="17"/>
        <v/>
      </c>
      <c r="CR85" s="2" t="str">
        <f t="shared" si="18"/>
        <v/>
      </c>
      <c r="CS85" s="2" t="str">
        <f t="shared" si="19"/>
        <v/>
      </c>
      <c r="CT85" s="2"/>
      <c r="CU85" s="2"/>
      <c r="CV85" s="2"/>
      <c r="CW85" s="2"/>
      <c r="CX85" s="8"/>
    </row>
    <row r="86" spans="85:102">
      <c r="CG86" s="24"/>
      <c r="CH86" s="38"/>
      <c r="CI86" s="38"/>
      <c r="CJ86" s="38"/>
      <c r="CK86" s="38"/>
      <c r="CL86" s="38"/>
      <c r="CM86" s="38"/>
      <c r="CN86" s="38"/>
      <c r="CO86" s="38"/>
      <c r="CP86" s="38"/>
      <c r="CQ86" s="2" t="str">
        <f t="shared" si="17"/>
        <v/>
      </c>
      <c r="CR86" s="2" t="str">
        <f t="shared" si="18"/>
        <v/>
      </c>
      <c r="CS86" s="2" t="str">
        <f t="shared" si="19"/>
        <v/>
      </c>
      <c r="CT86" s="2"/>
      <c r="CU86" s="2"/>
      <c r="CV86" s="2"/>
      <c r="CW86" s="2"/>
      <c r="CX86" s="8"/>
    </row>
    <row r="87" spans="85:102">
      <c r="CG87" s="24"/>
      <c r="CH87" s="38"/>
      <c r="CI87" s="38"/>
      <c r="CJ87" s="38"/>
      <c r="CK87" s="38"/>
      <c r="CL87" s="38"/>
      <c r="CM87" s="38"/>
      <c r="CN87" s="38"/>
      <c r="CO87" s="38"/>
      <c r="CP87" s="38"/>
      <c r="CQ87" s="2" t="str">
        <f t="shared" si="17"/>
        <v/>
      </c>
      <c r="CR87" s="2" t="str">
        <f t="shared" si="18"/>
        <v/>
      </c>
      <c r="CS87" s="2" t="str">
        <f t="shared" si="19"/>
        <v/>
      </c>
      <c r="CT87" s="2"/>
      <c r="CU87" s="2"/>
      <c r="CV87" s="2"/>
      <c r="CW87" s="2"/>
      <c r="CX87" s="8"/>
    </row>
    <row r="88" spans="85:102">
      <c r="CG88" s="24"/>
      <c r="CH88" s="38"/>
      <c r="CI88" s="38"/>
      <c r="CJ88" s="38"/>
      <c r="CK88" s="38"/>
      <c r="CL88" s="38"/>
      <c r="CM88" s="38"/>
      <c r="CN88" s="38"/>
      <c r="CO88" s="38"/>
      <c r="CP88" s="38"/>
      <c r="CQ88" s="2" t="str">
        <f t="shared" si="17"/>
        <v/>
      </c>
      <c r="CR88" s="2" t="str">
        <f t="shared" si="18"/>
        <v/>
      </c>
      <c r="CS88" s="2" t="str">
        <f t="shared" si="19"/>
        <v/>
      </c>
      <c r="CT88" s="2"/>
      <c r="CU88" s="2"/>
      <c r="CV88" s="2"/>
      <c r="CW88" s="2"/>
      <c r="CX88" s="8"/>
    </row>
    <row r="89" spans="85:102">
      <c r="CG89" s="24"/>
      <c r="CH89" s="38"/>
      <c r="CI89" s="38"/>
      <c r="CJ89" s="38"/>
      <c r="CK89" s="38"/>
      <c r="CL89" s="38"/>
      <c r="CM89" s="38"/>
      <c r="CN89" s="38"/>
      <c r="CO89" s="38"/>
      <c r="CP89" s="38"/>
      <c r="CQ89" s="2" t="str">
        <f t="shared" si="17"/>
        <v/>
      </c>
      <c r="CR89" s="2" t="str">
        <f t="shared" si="18"/>
        <v/>
      </c>
      <c r="CS89" s="2" t="str">
        <f t="shared" si="19"/>
        <v/>
      </c>
      <c r="CT89" s="2"/>
      <c r="CU89" s="2"/>
      <c r="CV89" s="2"/>
      <c r="CW89" s="2"/>
      <c r="CX89" s="8"/>
    </row>
    <row r="90" spans="85:102">
      <c r="CG90" s="24"/>
      <c r="CH90" s="38"/>
      <c r="CI90" s="38"/>
      <c r="CJ90" s="38"/>
      <c r="CK90" s="38"/>
      <c r="CL90" s="38"/>
      <c r="CM90" s="38"/>
      <c r="CN90" s="38"/>
      <c r="CO90" s="38"/>
      <c r="CP90" s="38"/>
      <c r="CQ90" s="2" t="str">
        <f t="shared" si="17"/>
        <v/>
      </c>
      <c r="CR90" s="2" t="str">
        <f t="shared" si="18"/>
        <v/>
      </c>
      <c r="CS90" s="2" t="str">
        <f t="shared" si="19"/>
        <v/>
      </c>
      <c r="CT90" s="2"/>
      <c r="CU90" s="2"/>
      <c r="CV90" s="2"/>
      <c r="CW90" s="2"/>
      <c r="CX90" s="8"/>
    </row>
    <row r="91" spans="85:102">
      <c r="CG91" s="24"/>
      <c r="CH91" s="38"/>
      <c r="CI91" s="38"/>
      <c r="CJ91" s="38"/>
      <c r="CK91" s="38"/>
      <c r="CL91" s="38"/>
      <c r="CM91" s="38"/>
      <c r="CN91" s="38"/>
      <c r="CO91" s="38"/>
      <c r="CP91" s="38"/>
      <c r="CQ91" s="2" t="str">
        <f t="shared" si="17"/>
        <v/>
      </c>
      <c r="CR91" s="2" t="str">
        <f t="shared" si="18"/>
        <v/>
      </c>
      <c r="CS91" s="2" t="str">
        <f t="shared" si="19"/>
        <v/>
      </c>
      <c r="CT91" s="2"/>
      <c r="CU91" s="2"/>
      <c r="CV91" s="2"/>
      <c r="CW91" s="2"/>
      <c r="CX91" s="8"/>
    </row>
    <row r="92" spans="85:102">
      <c r="CG92" s="24"/>
      <c r="CH92" s="38"/>
      <c r="CI92" s="38"/>
      <c r="CJ92" s="38"/>
      <c r="CK92" s="38"/>
      <c r="CL92" s="38"/>
      <c r="CM92" s="38"/>
      <c r="CN92" s="38"/>
      <c r="CO92" s="38"/>
      <c r="CP92" s="38"/>
      <c r="CQ92" s="2" t="str">
        <f t="shared" si="17"/>
        <v/>
      </c>
      <c r="CR92" s="2" t="str">
        <f t="shared" si="18"/>
        <v/>
      </c>
      <c r="CS92" s="2" t="str">
        <f t="shared" si="19"/>
        <v/>
      </c>
      <c r="CT92" s="2"/>
      <c r="CU92" s="2"/>
      <c r="CV92" s="2"/>
      <c r="CW92" s="2"/>
      <c r="CX92" s="8"/>
    </row>
    <row r="93" spans="85:102">
      <c r="CG93" s="24"/>
      <c r="CH93" s="38"/>
      <c r="CI93" s="38"/>
      <c r="CJ93" s="38"/>
      <c r="CK93" s="38"/>
      <c r="CL93" s="38"/>
      <c r="CM93" s="38"/>
      <c r="CN93" s="38"/>
      <c r="CO93" s="38"/>
      <c r="CP93" s="38"/>
      <c r="CQ93" s="2" t="str">
        <f t="shared" si="17"/>
        <v/>
      </c>
      <c r="CR93" s="2" t="str">
        <f t="shared" si="18"/>
        <v/>
      </c>
      <c r="CS93" s="2" t="str">
        <f t="shared" si="19"/>
        <v/>
      </c>
      <c r="CT93" s="2"/>
      <c r="CU93" s="2"/>
      <c r="CV93" s="2"/>
      <c r="CW93" s="2"/>
      <c r="CX93" s="8"/>
    </row>
    <row r="94" spans="85:102">
      <c r="CG94" s="24"/>
      <c r="CH94" s="38"/>
      <c r="CI94" s="38"/>
      <c r="CJ94" s="38"/>
      <c r="CK94" s="38"/>
      <c r="CL94" s="38"/>
      <c r="CM94" s="38"/>
      <c r="CN94" s="38"/>
      <c r="CO94" s="38"/>
      <c r="CP94" s="38"/>
      <c r="CQ94" s="2" t="str">
        <f t="shared" si="17"/>
        <v/>
      </c>
      <c r="CR94" s="2" t="str">
        <f t="shared" si="18"/>
        <v/>
      </c>
      <c r="CS94" s="2" t="str">
        <f t="shared" si="19"/>
        <v/>
      </c>
      <c r="CT94" s="2"/>
      <c r="CU94" s="2"/>
      <c r="CV94" s="2"/>
      <c r="CW94" s="2"/>
      <c r="CX94" s="8"/>
    </row>
    <row r="95" spans="85:102">
      <c r="CG95" s="24"/>
      <c r="CH95" s="38"/>
      <c r="CI95" s="38"/>
      <c r="CJ95" s="38"/>
      <c r="CK95" s="38"/>
      <c r="CL95" s="38"/>
      <c r="CM95" s="38"/>
      <c r="CN95" s="38"/>
      <c r="CO95" s="38"/>
      <c r="CP95" s="38"/>
      <c r="CQ95" s="2" t="str">
        <f t="shared" si="17"/>
        <v/>
      </c>
      <c r="CR95" s="2" t="str">
        <f t="shared" si="18"/>
        <v/>
      </c>
      <c r="CS95" s="2" t="str">
        <f t="shared" si="19"/>
        <v/>
      </c>
      <c r="CT95" s="2"/>
      <c r="CU95" s="2"/>
      <c r="CV95" s="2"/>
      <c r="CW95" s="2"/>
      <c r="CX95" s="8"/>
    </row>
    <row r="96" spans="85:102">
      <c r="CG96" s="24"/>
      <c r="CH96" s="38"/>
      <c r="CI96" s="38"/>
      <c r="CJ96" s="38"/>
      <c r="CK96" s="38"/>
      <c r="CL96" s="38"/>
      <c r="CM96" s="38"/>
      <c r="CN96" s="38"/>
      <c r="CO96" s="38"/>
      <c r="CP96" s="38"/>
      <c r="CQ96" s="2" t="str">
        <f t="shared" si="17"/>
        <v/>
      </c>
      <c r="CR96" s="2" t="str">
        <f t="shared" si="18"/>
        <v/>
      </c>
      <c r="CS96" s="2" t="str">
        <f t="shared" si="19"/>
        <v/>
      </c>
      <c r="CT96" s="2"/>
      <c r="CU96" s="2"/>
      <c r="CV96" s="2"/>
      <c r="CW96" s="2"/>
      <c r="CX96" s="8"/>
    </row>
    <row r="97" spans="85:102">
      <c r="CG97" s="24"/>
      <c r="CH97" s="38"/>
      <c r="CI97" s="38"/>
      <c r="CJ97" s="38"/>
      <c r="CK97" s="38"/>
      <c r="CL97" s="38"/>
      <c r="CM97" s="38"/>
      <c r="CN97" s="38"/>
      <c r="CO97" s="38"/>
      <c r="CP97" s="38"/>
      <c r="CQ97" s="2" t="str">
        <f t="shared" si="17"/>
        <v/>
      </c>
      <c r="CR97" s="2" t="str">
        <f t="shared" si="18"/>
        <v/>
      </c>
      <c r="CS97" s="2" t="str">
        <f t="shared" si="19"/>
        <v/>
      </c>
      <c r="CT97" s="2"/>
      <c r="CU97" s="2"/>
      <c r="CV97" s="2"/>
      <c r="CW97" s="2"/>
      <c r="CX97" s="8"/>
    </row>
    <row r="98" spans="85:102">
      <c r="CG98" s="24"/>
      <c r="CH98" s="38"/>
      <c r="CI98" s="38"/>
      <c r="CJ98" s="38"/>
      <c r="CK98" s="38"/>
      <c r="CL98" s="38"/>
      <c r="CM98" s="38"/>
      <c r="CN98" s="38"/>
      <c r="CO98" s="38"/>
      <c r="CP98" s="38"/>
      <c r="CQ98" s="2" t="str">
        <f t="shared" ref="CQ98:CQ129" si="20">IF(ISERROR(CR98-FIXED(CR98,0)),"",CR98-FIXED(CR98,0))</f>
        <v/>
      </c>
      <c r="CR98" s="2" t="str">
        <f t="shared" ref="CR98:CR129" si="21">IF(ISERROR(CT98/CS98),"",CT98/CS98)</f>
        <v/>
      </c>
      <c r="CS98" s="2" t="str">
        <f t="shared" ref="CS98:CS129" si="22">IF(ISERROR(VLOOKUP(CW98,$CN$2:$CO$5,2)),"",VLOOKUP(CW98,$CN$2:$CO$5,2))</f>
        <v/>
      </c>
      <c r="CT98" s="2"/>
      <c r="CU98" s="2"/>
      <c r="CV98" s="2"/>
      <c r="CW98" s="2"/>
      <c r="CX98" s="8"/>
    </row>
    <row r="99" spans="85:102">
      <c r="CG99" s="24"/>
      <c r="CH99" s="38"/>
      <c r="CI99" s="38"/>
      <c r="CJ99" s="38"/>
      <c r="CK99" s="38"/>
      <c r="CL99" s="38"/>
      <c r="CM99" s="38"/>
      <c r="CN99" s="38"/>
      <c r="CO99" s="38"/>
      <c r="CP99" s="38"/>
      <c r="CQ99" s="2" t="str">
        <f t="shared" si="20"/>
        <v/>
      </c>
      <c r="CR99" s="2" t="str">
        <f t="shared" si="21"/>
        <v/>
      </c>
      <c r="CS99" s="2" t="str">
        <f t="shared" si="22"/>
        <v/>
      </c>
      <c r="CT99" s="2"/>
      <c r="CU99" s="2"/>
      <c r="CV99" s="2"/>
      <c r="CW99" s="2"/>
      <c r="CX99" s="8"/>
    </row>
    <row r="100" spans="85:102">
      <c r="CG100" s="24"/>
      <c r="CH100" s="38"/>
      <c r="CI100" s="38"/>
      <c r="CJ100" s="38"/>
      <c r="CK100" s="38"/>
      <c r="CL100" s="38"/>
      <c r="CM100" s="38"/>
      <c r="CN100" s="38"/>
      <c r="CO100" s="38"/>
      <c r="CP100" s="38"/>
      <c r="CQ100" s="2" t="str">
        <f t="shared" si="20"/>
        <v/>
      </c>
      <c r="CR100" s="2" t="str">
        <f t="shared" si="21"/>
        <v/>
      </c>
      <c r="CS100" s="2" t="str">
        <f t="shared" si="22"/>
        <v/>
      </c>
      <c r="CT100" s="2"/>
      <c r="CU100" s="2"/>
      <c r="CV100" s="2"/>
      <c r="CW100" s="2"/>
      <c r="CX100" s="8"/>
    </row>
    <row r="101" spans="85:102">
      <c r="CG101" s="24"/>
      <c r="CH101" s="38"/>
      <c r="CI101" s="38"/>
      <c r="CJ101" s="38"/>
      <c r="CK101" s="38"/>
      <c r="CL101" s="38"/>
      <c r="CM101" s="38"/>
      <c r="CN101" s="38"/>
      <c r="CO101" s="38"/>
      <c r="CP101" s="38"/>
      <c r="CQ101" s="2" t="str">
        <f t="shared" si="20"/>
        <v/>
      </c>
      <c r="CR101" s="2" t="str">
        <f t="shared" si="21"/>
        <v/>
      </c>
      <c r="CS101" s="2" t="str">
        <f t="shared" si="22"/>
        <v/>
      </c>
      <c r="CT101" s="2"/>
      <c r="CU101" s="2"/>
      <c r="CV101" s="2"/>
      <c r="CW101" s="2"/>
      <c r="CX101" s="8"/>
    </row>
    <row r="102" spans="85:102">
      <c r="CG102" s="24"/>
      <c r="CH102" s="38"/>
      <c r="CI102" s="38"/>
      <c r="CJ102" s="38"/>
      <c r="CK102" s="38"/>
      <c r="CL102" s="38"/>
      <c r="CM102" s="38"/>
      <c r="CN102" s="38"/>
      <c r="CO102" s="38"/>
      <c r="CP102" s="38"/>
      <c r="CQ102" s="2" t="str">
        <f t="shared" si="20"/>
        <v/>
      </c>
      <c r="CR102" s="2" t="str">
        <f t="shared" si="21"/>
        <v/>
      </c>
      <c r="CS102" s="2" t="str">
        <f t="shared" si="22"/>
        <v/>
      </c>
      <c r="CT102" s="2"/>
      <c r="CU102" s="2"/>
      <c r="CV102" s="2"/>
      <c r="CW102" s="2"/>
      <c r="CX102" s="8"/>
    </row>
    <row r="103" spans="85:102">
      <c r="CG103" s="24"/>
      <c r="CH103" s="38"/>
      <c r="CI103" s="38"/>
      <c r="CJ103" s="38"/>
      <c r="CK103" s="38"/>
      <c r="CL103" s="38"/>
      <c r="CM103" s="38"/>
      <c r="CN103" s="38"/>
      <c r="CO103" s="38"/>
      <c r="CP103" s="38"/>
      <c r="CQ103" s="2" t="str">
        <f t="shared" si="20"/>
        <v/>
      </c>
      <c r="CR103" s="2" t="str">
        <f t="shared" si="21"/>
        <v/>
      </c>
      <c r="CS103" s="2" t="str">
        <f t="shared" si="22"/>
        <v/>
      </c>
      <c r="CT103" s="2"/>
      <c r="CU103" s="2"/>
      <c r="CV103" s="2"/>
      <c r="CW103" s="2"/>
      <c r="CX103" s="8"/>
    </row>
    <row r="104" spans="85:102">
      <c r="CG104" s="24"/>
      <c r="CH104" s="38"/>
      <c r="CI104" s="38"/>
      <c r="CJ104" s="38"/>
      <c r="CK104" s="38"/>
      <c r="CL104" s="38"/>
      <c r="CM104" s="38"/>
      <c r="CN104" s="38"/>
      <c r="CO104" s="38"/>
      <c r="CP104" s="38"/>
      <c r="CQ104" s="2" t="str">
        <f t="shared" si="20"/>
        <v/>
      </c>
      <c r="CR104" s="2" t="str">
        <f t="shared" si="21"/>
        <v/>
      </c>
      <c r="CS104" s="2" t="str">
        <f t="shared" si="22"/>
        <v/>
      </c>
      <c r="CT104" s="2"/>
      <c r="CU104" s="2"/>
      <c r="CV104" s="2"/>
      <c r="CW104" s="2"/>
      <c r="CX104" s="8"/>
    </row>
    <row r="105" spans="85:102">
      <c r="CG105" s="24"/>
      <c r="CH105" s="38"/>
      <c r="CI105" s="38"/>
      <c r="CJ105" s="38"/>
      <c r="CK105" s="38"/>
      <c r="CL105" s="38"/>
      <c r="CM105" s="38"/>
      <c r="CN105" s="38"/>
      <c r="CO105" s="38"/>
      <c r="CP105" s="38"/>
      <c r="CQ105" s="2" t="str">
        <f t="shared" si="20"/>
        <v/>
      </c>
      <c r="CR105" s="2" t="str">
        <f t="shared" si="21"/>
        <v/>
      </c>
      <c r="CS105" s="2" t="str">
        <f t="shared" si="22"/>
        <v/>
      </c>
      <c r="CT105" s="2"/>
      <c r="CU105" s="2"/>
      <c r="CV105" s="2"/>
      <c r="CW105" s="2"/>
      <c r="CX105" s="8"/>
    </row>
    <row r="106" spans="85:102">
      <c r="CG106" s="24"/>
      <c r="CH106" s="38"/>
      <c r="CI106" s="38"/>
      <c r="CJ106" s="38"/>
      <c r="CK106" s="38"/>
      <c r="CL106" s="38"/>
      <c r="CM106" s="38"/>
      <c r="CN106" s="38"/>
      <c r="CO106" s="38"/>
      <c r="CP106" s="38"/>
      <c r="CQ106" s="2" t="str">
        <f t="shared" si="20"/>
        <v/>
      </c>
      <c r="CR106" s="2" t="str">
        <f t="shared" si="21"/>
        <v/>
      </c>
      <c r="CS106" s="2" t="str">
        <f t="shared" si="22"/>
        <v/>
      </c>
      <c r="CT106" s="2"/>
      <c r="CU106" s="2"/>
      <c r="CV106" s="2"/>
      <c r="CW106" s="2"/>
      <c r="CX106" s="8"/>
    </row>
    <row r="107" spans="85:102">
      <c r="CG107" s="24"/>
      <c r="CH107" s="38"/>
      <c r="CI107" s="38"/>
      <c r="CJ107" s="38"/>
      <c r="CK107" s="38"/>
      <c r="CL107" s="38"/>
      <c r="CM107" s="38"/>
      <c r="CN107" s="38"/>
      <c r="CO107" s="38"/>
      <c r="CP107" s="38"/>
      <c r="CQ107" s="2" t="str">
        <f t="shared" si="20"/>
        <v/>
      </c>
      <c r="CR107" s="2" t="str">
        <f t="shared" si="21"/>
        <v/>
      </c>
      <c r="CS107" s="2" t="str">
        <f t="shared" si="22"/>
        <v/>
      </c>
      <c r="CT107" s="2"/>
      <c r="CU107" s="2"/>
      <c r="CV107" s="2"/>
      <c r="CW107" s="2"/>
      <c r="CX107" s="8"/>
    </row>
    <row r="108" spans="85:102">
      <c r="CG108" s="24"/>
      <c r="CH108" s="38"/>
      <c r="CI108" s="38"/>
      <c r="CJ108" s="38"/>
      <c r="CK108" s="38"/>
      <c r="CL108" s="38"/>
      <c r="CM108" s="38"/>
      <c r="CN108" s="38"/>
      <c r="CO108" s="38"/>
      <c r="CP108" s="38"/>
      <c r="CQ108" s="2" t="str">
        <f t="shared" si="20"/>
        <v/>
      </c>
      <c r="CR108" s="2" t="str">
        <f t="shared" si="21"/>
        <v/>
      </c>
      <c r="CS108" s="2" t="str">
        <f t="shared" si="22"/>
        <v/>
      </c>
      <c r="CT108" s="2"/>
      <c r="CU108" s="2"/>
      <c r="CV108" s="2"/>
      <c r="CW108" s="2"/>
      <c r="CX108" s="8"/>
    </row>
    <row r="109" spans="85:102">
      <c r="CG109" s="24"/>
      <c r="CH109" s="38"/>
      <c r="CI109" s="38"/>
      <c r="CJ109" s="38"/>
      <c r="CK109" s="38"/>
      <c r="CL109" s="38"/>
      <c r="CM109" s="38"/>
      <c r="CN109" s="38"/>
      <c r="CO109" s="38"/>
      <c r="CP109" s="38"/>
      <c r="CQ109" s="2" t="str">
        <f t="shared" si="20"/>
        <v/>
      </c>
      <c r="CR109" s="2" t="str">
        <f t="shared" si="21"/>
        <v/>
      </c>
      <c r="CS109" s="2" t="str">
        <f t="shared" si="22"/>
        <v/>
      </c>
      <c r="CT109" s="2"/>
      <c r="CU109" s="2"/>
      <c r="CV109" s="2"/>
      <c r="CW109" s="2"/>
      <c r="CX109" s="8"/>
    </row>
    <row r="110" spans="85:102">
      <c r="CG110" s="24"/>
      <c r="CH110" s="38"/>
      <c r="CI110" s="38"/>
      <c r="CJ110" s="38"/>
      <c r="CK110" s="38"/>
      <c r="CL110" s="38"/>
      <c r="CM110" s="38"/>
      <c r="CN110" s="38"/>
      <c r="CO110" s="38"/>
      <c r="CP110" s="38"/>
      <c r="CQ110" s="2" t="str">
        <f t="shared" si="20"/>
        <v/>
      </c>
      <c r="CR110" s="2" t="str">
        <f t="shared" si="21"/>
        <v/>
      </c>
      <c r="CS110" s="2" t="str">
        <f t="shared" si="22"/>
        <v/>
      </c>
      <c r="CT110" s="2"/>
      <c r="CU110" s="2"/>
      <c r="CV110" s="2"/>
      <c r="CW110" s="2"/>
      <c r="CX110" s="8"/>
    </row>
    <row r="111" spans="85:102">
      <c r="CG111" s="24"/>
      <c r="CH111" s="38"/>
      <c r="CI111" s="38"/>
      <c r="CJ111" s="38"/>
      <c r="CK111" s="38"/>
      <c r="CL111" s="38"/>
      <c r="CM111" s="38"/>
      <c r="CN111" s="38"/>
      <c r="CO111" s="38"/>
      <c r="CP111" s="38"/>
      <c r="CQ111" s="2" t="str">
        <f t="shared" si="20"/>
        <v/>
      </c>
      <c r="CR111" s="2" t="str">
        <f t="shared" si="21"/>
        <v/>
      </c>
      <c r="CS111" s="2" t="str">
        <f t="shared" si="22"/>
        <v/>
      </c>
      <c r="CT111" s="2"/>
      <c r="CU111" s="2"/>
      <c r="CV111" s="2"/>
      <c r="CW111" s="2"/>
      <c r="CX111" s="8"/>
    </row>
    <row r="112" spans="85:102">
      <c r="CG112" s="24"/>
      <c r="CH112" s="38"/>
      <c r="CI112" s="38"/>
      <c r="CJ112" s="38"/>
      <c r="CK112" s="38"/>
      <c r="CL112" s="38"/>
      <c r="CM112" s="38"/>
      <c r="CN112" s="38"/>
      <c r="CO112" s="38"/>
      <c r="CP112" s="38"/>
      <c r="CQ112" s="2" t="str">
        <f t="shared" si="20"/>
        <v/>
      </c>
      <c r="CR112" s="2" t="str">
        <f t="shared" si="21"/>
        <v/>
      </c>
      <c r="CS112" s="2" t="str">
        <f t="shared" si="22"/>
        <v/>
      </c>
      <c r="CT112" s="2"/>
      <c r="CU112" s="2"/>
      <c r="CV112" s="2"/>
      <c r="CW112" s="2"/>
      <c r="CX112" s="8"/>
    </row>
    <row r="113" spans="85:102">
      <c r="CG113" s="24"/>
      <c r="CH113" s="38"/>
      <c r="CI113" s="38"/>
      <c r="CJ113" s="38"/>
      <c r="CK113" s="38"/>
      <c r="CL113" s="38"/>
      <c r="CM113" s="38"/>
      <c r="CN113" s="38"/>
      <c r="CO113" s="38"/>
      <c r="CP113" s="38"/>
      <c r="CQ113" s="2" t="str">
        <f t="shared" si="20"/>
        <v/>
      </c>
      <c r="CR113" s="2" t="str">
        <f t="shared" si="21"/>
        <v/>
      </c>
      <c r="CS113" s="2" t="str">
        <f t="shared" si="22"/>
        <v/>
      </c>
      <c r="CT113" s="2"/>
      <c r="CU113" s="2"/>
      <c r="CV113" s="2"/>
      <c r="CW113" s="2"/>
      <c r="CX113" s="8"/>
    </row>
    <row r="114" spans="85:102">
      <c r="CG114" s="24"/>
      <c r="CH114" s="38"/>
      <c r="CI114" s="38"/>
      <c r="CJ114" s="38"/>
      <c r="CK114" s="38"/>
      <c r="CL114" s="38"/>
      <c r="CM114" s="38"/>
      <c r="CN114" s="38"/>
      <c r="CO114" s="38"/>
      <c r="CP114" s="38"/>
      <c r="CQ114" s="2" t="str">
        <f t="shared" si="20"/>
        <v/>
      </c>
      <c r="CR114" s="2" t="str">
        <f t="shared" si="21"/>
        <v/>
      </c>
      <c r="CS114" s="2" t="str">
        <f t="shared" si="22"/>
        <v/>
      </c>
      <c r="CT114" s="2"/>
      <c r="CU114" s="2"/>
      <c r="CV114" s="2"/>
      <c r="CW114" s="2"/>
      <c r="CX114" s="8"/>
    </row>
    <row r="115" spans="85:102">
      <c r="CG115" s="24"/>
      <c r="CH115" s="38"/>
      <c r="CI115" s="38"/>
      <c r="CJ115" s="38"/>
      <c r="CK115" s="38"/>
      <c r="CL115" s="38"/>
      <c r="CM115" s="38"/>
      <c r="CN115" s="38"/>
      <c r="CO115" s="38"/>
      <c r="CP115" s="38"/>
      <c r="CQ115" s="2" t="str">
        <f t="shared" si="20"/>
        <v/>
      </c>
      <c r="CR115" s="2" t="str">
        <f t="shared" si="21"/>
        <v/>
      </c>
      <c r="CS115" s="2" t="str">
        <f t="shared" si="22"/>
        <v/>
      </c>
      <c r="CT115" s="2"/>
      <c r="CU115" s="2"/>
      <c r="CV115" s="2"/>
      <c r="CW115" s="2"/>
      <c r="CX115" s="8"/>
    </row>
    <row r="116" spans="85:102">
      <c r="CG116" s="24"/>
      <c r="CH116" s="38"/>
      <c r="CI116" s="38"/>
      <c r="CJ116" s="38"/>
      <c r="CK116" s="38"/>
      <c r="CL116" s="38"/>
      <c r="CM116" s="38"/>
      <c r="CN116" s="38"/>
      <c r="CO116" s="38"/>
      <c r="CP116" s="38"/>
      <c r="CQ116" s="2" t="str">
        <f t="shared" si="20"/>
        <v/>
      </c>
      <c r="CR116" s="2" t="str">
        <f t="shared" si="21"/>
        <v/>
      </c>
      <c r="CS116" s="2" t="str">
        <f t="shared" si="22"/>
        <v/>
      </c>
      <c r="CT116" s="2"/>
      <c r="CU116" s="2"/>
      <c r="CV116" s="2"/>
      <c r="CW116" s="2"/>
      <c r="CX116" s="8"/>
    </row>
    <row r="117" spans="85:102">
      <c r="CG117" s="24"/>
      <c r="CH117" s="38"/>
      <c r="CI117" s="38"/>
      <c r="CJ117" s="38"/>
      <c r="CK117" s="38"/>
      <c r="CL117" s="38"/>
      <c r="CM117" s="38"/>
      <c r="CN117" s="38"/>
      <c r="CO117" s="38"/>
      <c r="CP117" s="38"/>
      <c r="CQ117" s="2" t="str">
        <f t="shared" si="20"/>
        <v/>
      </c>
      <c r="CR117" s="2" t="str">
        <f t="shared" si="21"/>
        <v/>
      </c>
      <c r="CS117" s="2" t="str">
        <f t="shared" si="22"/>
        <v/>
      </c>
      <c r="CT117" s="2"/>
      <c r="CU117" s="2"/>
      <c r="CV117" s="2"/>
      <c r="CW117" s="2"/>
      <c r="CX117" s="8"/>
    </row>
    <row r="118" spans="85:102">
      <c r="CG118" s="24"/>
      <c r="CH118" s="38"/>
      <c r="CI118" s="38"/>
      <c r="CJ118" s="38"/>
      <c r="CK118" s="38"/>
      <c r="CL118" s="38"/>
      <c r="CM118" s="38"/>
      <c r="CN118" s="38"/>
      <c r="CO118" s="38"/>
      <c r="CP118" s="38"/>
      <c r="CQ118" s="2" t="str">
        <f t="shared" si="20"/>
        <v/>
      </c>
      <c r="CR118" s="2" t="str">
        <f t="shared" si="21"/>
        <v/>
      </c>
      <c r="CS118" s="2" t="str">
        <f t="shared" si="22"/>
        <v/>
      </c>
      <c r="CT118" s="2"/>
      <c r="CU118" s="2"/>
      <c r="CV118" s="2"/>
      <c r="CW118" s="2"/>
      <c r="CX118" s="8"/>
    </row>
    <row r="119" spans="85:102">
      <c r="CG119" s="24"/>
      <c r="CH119" s="38"/>
      <c r="CI119" s="38"/>
      <c r="CJ119" s="38"/>
      <c r="CK119" s="38"/>
      <c r="CL119" s="38"/>
      <c r="CM119" s="38"/>
      <c r="CN119" s="38"/>
      <c r="CO119" s="38"/>
      <c r="CP119" s="38"/>
      <c r="CQ119" s="2" t="str">
        <f t="shared" si="20"/>
        <v/>
      </c>
      <c r="CR119" s="2" t="str">
        <f t="shared" si="21"/>
        <v/>
      </c>
      <c r="CS119" s="2" t="str">
        <f t="shared" si="22"/>
        <v/>
      </c>
      <c r="CT119" s="2"/>
      <c r="CU119" s="2"/>
      <c r="CV119" s="2"/>
      <c r="CW119" s="2"/>
      <c r="CX119" s="8"/>
    </row>
    <row r="120" spans="85:102">
      <c r="CG120" s="24"/>
      <c r="CH120" s="38"/>
      <c r="CI120" s="38"/>
      <c r="CJ120" s="38"/>
      <c r="CK120" s="38"/>
      <c r="CL120" s="38"/>
      <c r="CM120" s="38"/>
      <c r="CN120" s="38"/>
      <c r="CO120" s="38"/>
      <c r="CP120" s="38"/>
      <c r="CQ120" s="2" t="str">
        <f t="shared" si="20"/>
        <v/>
      </c>
      <c r="CR120" s="2" t="str">
        <f t="shared" si="21"/>
        <v/>
      </c>
      <c r="CS120" s="2" t="str">
        <f t="shared" si="22"/>
        <v/>
      </c>
      <c r="CT120" s="2"/>
      <c r="CU120" s="2"/>
      <c r="CV120" s="2"/>
      <c r="CW120" s="2"/>
      <c r="CX120" s="8"/>
    </row>
    <row r="121" spans="85:102">
      <c r="CG121" s="24"/>
      <c r="CH121" s="38"/>
      <c r="CI121" s="38"/>
      <c r="CJ121" s="38"/>
      <c r="CK121" s="38"/>
      <c r="CL121" s="38"/>
      <c r="CM121" s="38"/>
      <c r="CN121" s="38"/>
      <c r="CO121" s="38"/>
      <c r="CP121" s="38"/>
      <c r="CQ121" s="2" t="str">
        <f t="shared" si="20"/>
        <v/>
      </c>
      <c r="CR121" s="2" t="str">
        <f t="shared" si="21"/>
        <v/>
      </c>
      <c r="CS121" s="2" t="str">
        <f t="shared" si="22"/>
        <v/>
      </c>
      <c r="CT121" s="2"/>
      <c r="CU121" s="2"/>
      <c r="CV121" s="2"/>
      <c r="CW121" s="2"/>
      <c r="CX121" s="8"/>
    </row>
    <row r="122" spans="85:102">
      <c r="CG122" s="24"/>
      <c r="CH122" s="38"/>
      <c r="CI122" s="38"/>
      <c r="CJ122" s="38"/>
      <c r="CK122" s="38"/>
      <c r="CL122" s="38"/>
      <c r="CM122" s="38"/>
      <c r="CN122" s="38"/>
      <c r="CO122" s="38"/>
      <c r="CP122" s="38"/>
      <c r="CQ122" s="2" t="str">
        <f t="shared" si="20"/>
        <v/>
      </c>
      <c r="CR122" s="2" t="str">
        <f t="shared" si="21"/>
        <v/>
      </c>
      <c r="CS122" s="2" t="str">
        <f t="shared" si="22"/>
        <v/>
      </c>
      <c r="CT122" s="2"/>
      <c r="CU122" s="2"/>
      <c r="CV122" s="2"/>
      <c r="CW122" s="2"/>
      <c r="CX122" s="8"/>
    </row>
    <row r="123" spans="85:102">
      <c r="CG123" s="24"/>
      <c r="CH123" s="38"/>
      <c r="CI123" s="38"/>
      <c r="CJ123" s="38"/>
      <c r="CK123" s="38"/>
      <c r="CL123" s="38"/>
      <c r="CM123" s="38"/>
      <c r="CN123" s="38"/>
      <c r="CO123" s="38"/>
      <c r="CP123" s="38"/>
      <c r="CQ123" s="2" t="str">
        <f t="shared" si="20"/>
        <v/>
      </c>
      <c r="CR123" s="2" t="str">
        <f t="shared" si="21"/>
        <v/>
      </c>
      <c r="CS123" s="2" t="str">
        <f t="shared" si="22"/>
        <v/>
      </c>
      <c r="CT123" s="2"/>
      <c r="CU123" s="2"/>
      <c r="CV123" s="2"/>
      <c r="CW123" s="2"/>
      <c r="CX123" s="8"/>
    </row>
    <row r="124" spans="85:102">
      <c r="CG124" s="24"/>
      <c r="CH124" s="38"/>
      <c r="CI124" s="38"/>
      <c r="CJ124" s="38"/>
      <c r="CK124" s="38"/>
      <c r="CL124" s="38"/>
      <c r="CM124" s="38"/>
      <c r="CN124" s="38"/>
      <c r="CO124" s="38"/>
      <c r="CP124" s="38"/>
      <c r="CQ124" s="2" t="str">
        <f t="shared" si="20"/>
        <v/>
      </c>
      <c r="CR124" s="2" t="str">
        <f t="shared" si="21"/>
        <v/>
      </c>
      <c r="CS124" s="2" t="str">
        <f t="shared" si="22"/>
        <v/>
      </c>
      <c r="CT124" s="2"/>
      <c r="CU124" s="2"/>
      <c r="CV124" s="2"/>
      <c r="CW124" s="2"/>
      <c r="CX124" s="8"/>
    </row>
    <row r="125" spans="85:102">
      <c r="CG125" s="24"/>
      <c r="CH125" s="38"/>
      <c r="CI125" s="38"/>
      <c r="CJ125" s="38"/>
      <c r="CK125" s="38"/>
      <c r="CL125" s="38"/>
      <c r="CM125" s="38"/>
      <c r="CN125" s="38"/>
      <c r="CO125" s="38"/>
      <c r="CP125" s="38"/>
      <c r="CQ125" s="2" t="str">
        <f t="shared" si="20"/>
        <v/>
      </c>
      <c r="CR125" s="2" t="str">
        <f t="shared" si="21"/>
        <v/>
      </c>
      <c r="CS125" s="2" t="str">
        <f t="shared" si="22"/>
        <v/>
      </c>
      <c r="CT125" s="2"/>
      <c r="CU125" s="2"/>
      <c r="CV125" s="2"/>
      <c r="CW125" s="2"/>
      <c r="CX125" s="8"/>
    </row>
    <row r="126" spans="85:102">
      <c r="CG126" s="24"/>
      <c r="CH126" s="38"/>
      <c r="CI126" s="38"/>
      <c r="CJ126" s="38"/>
      <c r="CK126" s="38"/>
      <c r="CL126" s="38"/>
      <c r="CM126" s="38"/>
      <c r="CN126" s="38"/>
      <c r="CO126" s="38"/>
      <c r="CP126" s="38"/>
      <c r="CQ126" s="2" t="str">
        <f t="shared" si="20"/>
        <v/>
      </c>
      <c r="CR126" s="2" t="str">
        <f t="shared" si="21"/>
        <v/>
      </c>
      <c r="CS126" s="2" t="str">
        <f t="shared" si="22"/>
        <v/>
      </c>
      <c r="CT126" s="2"/>
      <c r="CU126" s="2"/>
      <c r="CV126" s="2"/>
      <c r="CW126" s="2"/>
      <c r="CX126" s="8"/>
    </row>
    <row r="127" spans="85:102">
      <c r="CG127" s="24"/>
      <c r="CH127" s="38"/>
      <c r="CI127" s="38"/>
      <c r="CJ127" s="38"/>
      <c r="CK127" s="38"/>
      <c r="CL127" s="38"/>
      <c r="CM127" s="38"/>
      <c r="CN127" s="38"/>
      <c r="CO127" s="38"/>
      <c r="CP127" s="38"/>
      <c r="CQ127" s="2" t="str">
        <f t="shared" si="20"/>
        <v/>
      </c>
      <c r="CR127" s="2" t="str">
        <f t="shared" si="21"/>
        <v/>
      </c>
      <c r="CS127" s="2" t="str">
        <f t="shared" si="22"/>
        <v/>
      </c>
      <c r="CT127" s="2"/>
      <c r="CU127" s="2"/>
      <c r="CV127" s="2"/>
      <c r="CW127" s="2"/>
      <c r="CX127" s="8"/>
    </row>
    <row r="128" spans="85:102">
      <c r="CG128" s="24"/>
      <c r="CH128" s="38"/>
      <c r="CI128" s="38"/>
      <c r="CJ128" s="38"/>
      <c r="CK128" s="38"/>
      <c r="CL128" s="38"/>
      <c r="CM128" s="38"/>
      <c r="CN128" s="38"/>
      <c r="CO128" s="38"/>
      <c r="CP128" s="38"/>
      <c r="CQ128" s="2" t="str">
        <f t="shared" si="20"/>
        <v/>
      </c>
      <c r="CR128" s="2" t="str">
        <f t="shared" si="21"/>
        <v/>
      </c>
      <c r="CS128" s="2" t="str">
        <f t="shared" si="22"/>
        <v/>
      </c>
      <c r="CT128" s="2"/>
      <c r="CU128" s="2"/>
      <c r="CV128" s="2"/>
      <c r="CW128" s="2"/>
      <c r="CX128" s="8"/>
    </row>
    <row r="129" spans="85:102">
      <c r="CG129" s="24"/>
      <c r="CH129" s="38"/>
      <c r="CI129" s="38"/>
      <c r="CJ129" s="38"/>
      <c r="CK129" s="38"/>
      <c r="CL129" s="38"/>
      <c r="CM129" s="38"/>
      <c r="CN129" s="38"/>
      <c r="CO129" s="38"/>
      <c r="CP129" s="38"/>
      <c r="CQ129" s="2" t="str">
        <f t="shared" si="20"/>
        <v/>
      </c>
      <c r="CR129" s="2" t="str">
        <f t="shared" si="21"/>
        <v/>
      </c>
      <c r="CS129" s="2" t="str">
        <f t="shared" si="22"/>
        <v/>
      </c>
      <c r="CT129" s="2"/>
      <c r="CU129" s="2"/>
      <c r="CV129" s="2"/>
      <c r="CW129" s="2"/>
      <c r="CX129" s="8"/>
    </row>
    <row r="130" spans="85:102">
      <c r="CG130" s="24"/>
      <c r="CH130" s="38"/>
      <c r="CI130" s="38"/>
      <c r="CJ130" s="38"/>
      <c r="CK130" s="38"/>
      <c r="CL130" s="38"/>
      <c r="CM130" s="38"/>
      <c r="CN130" s="38"/>
      <c r="CO130" s="38"/>
      <c r="CP130" s="38"/>
      <c r="CQ130" s="2" t="str">
        <f t="shared" ref="CQ130:CQ151" si="23">IF(ISERROR(CR130-FIXED(CR130,0)),"",CR130-FIXED(CR130,0))</f>
        <v/>
      </c>
      <c r="CR130" s="2" t="str">
        <f t="shared" ref="CR130:CR151" si="24">IF(ISERROR(CT130/CS130),"",CT130/CS130)</f>
        <v/>
      </c>
      <c r="CS130" s="2" t="str">
        <f t="shared" ref="CS130:CS151" si="25">IF(ISERROR(VLOOKUP(CW130,$CN$2:$CO$5,2)),"",VLOOKUP(CW130,$CN$2:$CO$5,2))</f>
        <v/>
      </c>
      <c r="CT130" s="2"/>
      <c r="CU130" s="2"/>
      <c r="CV130" s="2"/>
      <c r="CW130" s="2"/>
      <c r="CX130" s="8"/>
    </row>
    <row r="131" spans="85:102">
      <c r="CG131" s="24"/>
      <c r="CH131" s="38"/>
      <c r="CI131" s="38"/>
      <c r="CJ131" s="38"/>
      <c r="CK131" s="38"/>
      <c r="CL131" s="38"/>
      <c r="CM131" s="38"/>
      <c r="CN131" s="38"/>
      <c r="CO131" s="38"/>
      <c r="CP131" s="38"/>
      <c r="CQ131" s="2" t="str">
        <f t="shared" si="23"/>
        <v/>
      </c>
      <c r="CR131" s="2" t="str">
        <f t="shared" si="24"/>
        <v/>
      </c>
      <c r="CS131" s="2" t="str">
        <f t="shared" si="25"/>
        <v/>
      </c>
      <c r="CT131" s="2"/>
      <c r="CU131" s="2"/>
      <c r="CV131" s="2"/>
      <c r="CW131" s="2"/>
      <c r="CX131" s="8"/>
    </row>
    <row r="132" spans="85:102">
      <c r="CG132" s="24"/>
      <c r="CH132" s="38"/>
      <c r="CI132" s="38"/>
      <c r="CJ132" s="38"/>
      <c r="CK132" s="38"/>
      <c r="CL132" s="38"/>
      <c r="CM132" s="38"/>
      <c r="CN132" s="38"/>
      <c r="CO132" s="38"/>
      <c r="CP132" s="38"/>
      <c r="CQ132" s="2" t="str">
        <f t="shared" si="23"/>
        <v/>
      </c>
      <c r="CR132" s="2" t="str">
        <f t="shared" si="24"/>
        <v/>
      </c>
      <c r="CS132" s="2" t="str">
        <f t="shared" si="25"/>
        <v/>
      </c>
      <c r="CT132" s="2"/>
      <c r="CU132" s="2"/>
      <c r="CV132" s="2"/>
      <c r="CW132" s="2"/>
      <c r="CX132" s="8"/>
    </row>
    <row r="133" spans="85:102">
      <c r="CG133" s="24"/>
      <c r="CH133" s="38"/>
      <c r="CI133" s="38"/>
      <c r="CJ133" s="38"/>
      <c r="CK133" s="38"/>
      <c r="CL133" s="38"/>
      <c r="CM133" s="38"/>
      <c r="CN133" s="38"/>
      <c r="CO133" s="38"/>
      <c r="CP133" s="38"/>
      <c r="CQ133" s="2" t="str">
        <f t="shared" si="23"/>
        <v/>
      </c>
      <c r="CR133" s="2" t="str">
        <f t="shared" si="24"/>
        <v/>
      </c>
      <c r="CS133" s="2" t="str">
        <f t="shared" si="25"/>
        <v/>
      </c>
      <c r="CT133" s="2"/>
      <c r="CU133" s="2"/>
      <c r="CV133" s="2"/>
      <c r="CW133" s="2"/>
      <c r="CX133" s="8"/>
    </row>
    <row r="134" spans="85:102">
      <c r="CG134" s="24"/>
      <c r="CH134" s="38"/>
      <c r="CI134" s="38"/>
      <c r="CJ134" s="38"/>
      <c r="CK134" s="38"/>
      <c r="CL134" s="38"/>
      <c r="CM134" s="38"/>
      <c r="CN134" s="38"/>
      <c r="CO134" s="38"/>
      <c r="CP134" s="38"/>
      <c r="CQ134" s="2" t="str">
        <f t="shared" si="23"/>
        <v/>
      </c>
      <c r="CR134" s="2" t="str">
        <f t="shared" si="24"/>
        <v/>
      </c>
      <c r="CS134" s="2" t="str">
        <f t="shared" si="25"/>
        <v/>
      </c>
      <c r="CT134" s="2"/>
      <c r="CU134" s="2"/>
      <c r="CV134" s="2"/>
      <c r="CW134" s="2"/>
      <c r="CX134" s="8"/>
    </row>
    <row r="135" spans="85:102">
      <c r="CG135" s="24"/>
      <c r="CH135" s="38"/>
      <c r="CI135" s="38"/>
      <c r="CJ135" s="38"/>
      <c r="CK135" s="38"/>
      <c r="CL135" s="38"/>
      <c r="CM135" s="38"/>
      <c r="CN135" s="38"/>
      <c r="CO135" s="38"/>
      <c r="CP135" s="38"/>
      <c r="CQ135" s="2" t="str">
        <f t="shared" si="23"/>
        <v/>
      </c>
      <c r="CR135" s="2" t="str">
        <f t="shared" si="24"/>
        <v/>
      </c>
      <c r="CS135" s="2" t="str">
        <f t="shared" si="25"/>
        <v/>
      </c>
      <c r="CT135" s="2"/>
      <c r="CU135" s="2"/>
      <c r="CV135" s="2"/>
      <c r="CW135" s="2"/>
      <c r="CX135" s="8"/>
    </row>
    <row r="136" spans="85:102">
      <c r="CG136" s="24"/>
      <c r="CH136" s="38"/>
      <c r="CI136" s="38"/>
      <c r="CJ136" s="38"/>
      <c r="CK136" s="38"/>
      <c r="CL136" s="38"/>
      <c r="CM136" s="38"/>
      <c r="CN136" s="38"/>
      <c r="CO136" s="38"/>
      <c r="CP136" s="38"/>
      <c r="CQ136" s="2" t="str">
        <f t="shared" si="23"/>
        <v/>
      </c>
      <c r="CR136" s="2" t="str">
        <f t="shared" si="24"/>
        <v/>
      </c>
      <c r="CS136" s="2" t="str">
        <f t="shared" si="25"/>
        <v/>
      </c>
      <c r="CT136" s="2"/>
      <c r="CU136" s="2"/>
      <c r="CV136" s="2"/>
      <c r="CW136" s="2"/>
      <c r="CX136" s="8"/>
    </row>
    <row r="137" spans="85:102">
      <c r="CG137" s="24"/>
      <c r="CH137" s="38"/>
      <c r="CI137" s="38"/>
      <c r="CJ137" s="38"/>
      <c r="CK137" s="38"/>
      <c r="CL137" s="38"/>
      <c r="CM137" s="38"/>
      <c r="CN137" s="38"/>
      <c r="CO137" s="38"/>
      <c r="CP137" s="38"/>
      <c r="CQ137" s="2" t="str">
        <f t="shared" si="23"/>
        <v/>
      </c>
      <c r="CR137" s="2" t="str">
        <f t="shared" si="24"/>
        <v/>
      </c>
      <c r="CS137" s="2" t="str">
        <f t="shared" si="25"/>
        <v/>
      </c>
      <c r="CT137" s="2"/>
      <c r="CU137" s="2"/>
      <c r="CV137" s="2"/>
      <c r="CW137" s="2"/>
      <c r="CX137" s="8"/>
    </row>
    <row r="138" spans="85:102">
      <c r="CG138" s="24"/>
      <c r="CH138" s="38"/>
      <c r="CI138" s="38"/>
      <c r="CJ138" s="38"/>
      <c r="CK138" s="38"/>
      <c r="CL138" s="38"/>
      <c r="CM138" s="38"/>
      <c r="CN138" s="38"/>
      <c r="CO138" s="38"/>
      <c r="CP138" s="38"/>
      <c r="CQ138" s="2" t="str">
        <f t="shared" si="23"/>
        <v/>
      </c>
      <c r="CR138" s="2" t="str">
        <f t="shared" si="24"/>
        <v/>
      </c>
      <c r="CS138" s="2" t="str">
        <f t="shared" si="25"/>
        <v/>
      </c>
      <c r="CT138" s="2"/>
      <c r="CU138" s="2"/>
      <c r="CV138" s="2"/>
      <c r="CW138" s="2"/>
      <c r="CX138" s="8"/>
    </row>
    <row r="139" spans="85:102">
      <c r="CG139" s="24"/>
      <c r="CH139" s="38"/>
      <c r="CI139" s="38"/>
      <c r="CJ139" s="38"/>
      <c r="CK139" s="38"/>
      <c r="CL139" s="38"/>
      <c r="CM139" s="38"/>
      <c r="CN139" s="38"/>
      <c r="CO139" s="38"/>
      <c r="CP139" s="38"/>
      <c r="CQ139" s="2" t="str">
        <f t="shared" si="23"/>
        <v/>
      </c>
      <c r="CR139" s="2" t="str">
        <f t="shared" si="24"/>
        <v/>
      </c>
      <c r="CS139" s="2" t="str">
        <f t="shared" si="25"/>
        <v/>
      </c>
      <c r="CT139" s="2"/>
      <c r="CU139" s="2"/>
      <c r="CV139" s="2"/>
      <c r="CW139" s="2"/>
      <c r="CX139" s="8"/>
    </row>
    <row r="140" spans="85:102">
      <c r="CG140" s="24"/>
      <c r="CH140" s="38"/>
      <c r="CI140" s="38"/>
      <c r="CJ140" s="38"/>
      <c r="CK140" s="38"/>
      <c r="CL140" s="38"/>
      <c r="CM140" s="38"/>
      <c r="CN140" s="38"/>
      <c r="CO140" s="38"/>
      <c r="CP140" s="38"/>
      <c r="CQ140" s="2" t="str">
        <f t="shared" si="23"/>
        <v/>
      </c>
      <c r="CR140" s="2" t="str">
        <f t="shared" si="24"/>
        <v/>
      </c>
      <c r="CS140" s="2" t="str">
        <f t="shared" si="25"/>
        <v/>
      </c>
      <c r="CT140" s="2"/>
      <c r="CU140" s="2"/>
      <c r="CV140" s="2"/>
      <c r="CW140" s="2"/>
      <c r="CX140" s="8"/>
    </row>
    <row r="141" spans="85:102">
      <c r="CG141" s="24"/>
      <c r="CH141" s="38"/>
      <c r="CI141" s="38"/>
      <c r="CJ141" s="38"/>
      <c r="CK141" s="38"/>
      <c r="CL141" s="38"/>
      <c r="CM141" s="38"/>
      <c r="CN141" s="38"/>
      <c r="CO141" s="38"/>
      <c r="CP141" s="38"/>
      <c r="CQ141" s="2" t="str">
        <f t="shared" si="23"/>
        <v/>
      </c>
      <c r="CR141" s="2" t="str">
        <f t="shared" si="24"/>
        <v/>
      </c>
      <c r="CS141" s="2" t="str">
        <f t="shared" si="25"/>
        <v/>
      </c>
      <c r="CT141" s="2"/>
      <c r="CU141" s="2"/>
      <c r="CV141" s="2"/>
      <c r="CW141" s="2"/>
      <c r="CX141" s="8"/>
    </row>
    <row r="142" spans="85:102">
      <c r="CG142" s="24"/>
      <c r="CH142" s="38"/>
      <c r="CI142" s="38"/>
      <c r="CJ142" s="38"/>
      <c r="CK142" s="38"/>
      <c r="CL142" s="38"/>
      <c r="CM142" s="38"/>
      <c r="CN142" s="38"/>
      <c r="CO142" s="38"/>
      <c r="CP142" s="38"/>
      <c r="CQ142" s="2" t="str">
        <f t="shared" si="23"/>
        <v/>
      </c>
      <c r="CR142" s="2" t="str">
        <f t="shared" si="24"/>
        <v/>
      </c>
      <c r="CS142" s="2" t="str">
        <f t="shared" si="25"/>
        <v/>
      </c>
      <c r="CT142" s="2"/>
      <c r="CU142" s="2"/>
      <c r="CV142" s="2"/>
      <c r="CW142" s="2"/>
      <c r="CX142" s="8"/>
    </row>
    <row r="143" spans="85:102">
      <c r="CG143" s="24"/>
      <c r="CH143" s="38"/>
      <c r="CI143" s="38"/>
      <c r="CJ143" s="38"/>
      <c r="CK143" s="38"/>
      <c r="CL143" s="38"/>
      <c r="CM143" s="38"/>
      <c r="CN143" s="38"/>
      <c r="CO143" s="38"/>
      <c r="CP143" s="38"/>
      <c r="CQ143" s="2" t="str">
        <f t="shared" si="23"/>
        <v/>
      </c>
      <c r="CR143" s="2" t="str">
        <f t="shared" si="24"/>
        <v/>
      </c>
      <c r="CS143" s="2" t="str">
        <f t="shared" si="25"/>
        <v/>
      </c>
      <c r="CT143" s="2"/>
      <c r="CU143" s="2"/>
      <c r="CV143" s="2"/>
      <c r="CW143" s="2"/>
      <c r="CX143" s="8"/>
    </row>
    <row r="144" spans="85:102">
      <c r="CG144" s="24"/>
      <c r="CH144" s="38"/>
      <c r="CI144" s="38"/>
      <c r="CJ144" s="38"/>
      <c r="CK144" s="38"/>
      <c r="CL144" s="38"/>
      <c r="CM144" s="38"/>
      <c r="CN144" s="38"/>
      <c r="CO144" s="38"/>
      <c r="CP144" s="38"/>
      <c r="CQ144" s="2" t="str">
        <f t="shared" si="23"/>
        <v/>
      </c>
      <c r="CR144" s="2" t="str">
        <f t="shared" si="24"/>
        <v/>
      </c>
      <c r="CS144" s="2" t="str">
        <f t="shared" si="25"/>
        <v/>
      </c>
      <c r="CT144" s="2"/>
      <c r="CU144" s="2"/>
      <c r="CV144" s="2"/>
      <c r="CW144" s="2"/>
      <c r="CX144" s="8"/>
    </row>
    <row r="145" spans="85:102">
      <c r="CG145" s="24"/>
      <c r="CH145" s="38"/>
      <c r="CI145" s="38"/>
      <c r="CJ145" s="38"/>
      <c r="CK145" s="38"/>
      <c r="CL145" s="38"/>
      <c r="CM145" s="38"/>
      <c r="CN145" s="38"/>
      <c r="CO145" s="38"/>
      <c r="CP145" s="38"/>
      <c r="CQ145" s="2" t="str">
        <f t="shared" si="23"/>
        <v/>
      </c>
      <c r="CR145" s="2" t="str">
        <f t="shared" si="24"/>
        <v/>
      </c>
      <c r="CS145" s="2" t="str">
        <f t="shared" si="25"/>
        <v/>
      </c>
      <c r="CT145" s="2"/>
      <c r="CU145" s="2"/>
      <c r="CV145" s="2"/>
      <c r="CW145" s="2"/>
      <c r="CX145" s="8"/>
    </row>
    <row r="146" spans="85:102">
      <c r="CG146" s="24"/>
      <c r="CH146" s="38"/>
      <c r="CI146" s="38"/>
      <c r="CJ146" s="38"/>
      <c r="CK146" s="38"/>
      <c r="CL146" s="38"/>
      <c r="CM146" s="38"/>
      <c r="CN146" s="38"/>
      <c r="CO146" s="38"/>
      <c r="CP146" s="38"/>
      <c r="CQ146" s="2" t="str">
        <f t="shared" si="23"/>
        <v/>
      </c>
      <c r="CR146" s="2" t="str">
        <f t="shared" si="24"/>
        <v/>
      </c>
      <c r="CS146" s="2" t="str">
        <f t="shared" si="25"/>
        <v/>
      </c>
      <c r="CT146" s="2"/>
      <c r="CU146" s="2"/>
      <c r="CV146" s="2"/>
      <c r="CW146" s="2"/>
      <c r="CX146" s="8"/>
    </row>
    <row r="147" spans="85:102">
      <c r="CG147" s="24"/>
      <c r="CH147" s="38"/>
      <c r="CI147" s="38"/>
      <c r="CJ147" s="38"/>
      <c r="CK147" s="38"/>
      <c r="CL147" s="38"/>
      <c r="CM147" s="38"/>
      <c r="CN147" s="38"/>
      <c r="CO147" s="38"/>
      <c r="CP147" s="38"/>
      <c r="CQ147" s="2" t="str">
        <f t="shared" si="23"/>
        <v/>
      </c>
      <c r="CR147" s="2" t="str">
        <f t="shared" si="24"/>
        <v/>
      </c>
      <c r="CS147" s="2" t="str">
        <f t="shared" si="25"/>
        <v/>
      </c>
      <c r="CT147" s="2"/>
      <c r="CU147" s="2"/>
      <c r="CV147" s="2"/>
      <c r="CW147" s="2"/>
      <c r="CX147" s="8"/>
    </row>
    <row r="148" spans="85:102">
      <c r="CG148" s="24"/>
      <c r="CH148" s="38"/>
      <c r="CI148" s="38"/>
      <c r="CJ148" s="38"/>
      <c r="CK148" s="38"/>
      <c r="CL148" s="38"/>
      <c r="CM148" s="38"/>
      <c r="CN148" s="38"/>
      <c r="CO148" s="38"/>
      <c r="CP148" s="38"/>
      <c r="CQ148" s="2" t="str">
        <f t="shared" si="23"/>
        <v/>
      </c>
      <c r="CR148" s="2" t="str">
        <f t="shared" si="24"/>
        <v/>
      </c>
      <c r="CS148" s="2" t="str">
        <f t="shared" si="25"/>
        <v/>
      </c>
      <c r="CT148" s="2"/>
      <c r="CU148" s="2"/>
      <c r="CV148" s="2"/>
      <c r="CW148" s="2"/>
      <c r="CX148" s="8"/>
    </row>
    <row r="149" spans="85:102">
      <c r="CG149" s="24"/>
      <c r="CH149" s="38"/>
      <c r="CI149" s="38"/>
      <c r="CJ149" s="38"/>
      <c r="CK149" s="38"/>
      <c r="CL149" s="38"/>
      <c r="CM149" s="38"/>
      <c r="CN149" s="38"/>
      <c r="CO149" s="38"/>
      <c r="CP149" s="38"/>
      <c r="CQ149" s="2" t="str">
        <f t="shared" si="23"/>
        <v/>
      </c>
      <c r="CR149" s="2" t="str">
        <f t="shared" si="24"/>
        <v/>
      </c>
      <c r="CS149" s="2" t="str">
        <f t="shared" si="25"/>
        <v/>
      </c>
      <c r="CT149" s="2"/>
      <c r="CU149" s="2"/>
      <c r="CV149" s="2"/>
      <c r="CW149" s="2"/>
      <c r="CX149" s="8"/>
    </row>
    <row r="150" spans="85:102" ht="15" thickBot="1">
      <c r="CG150" s="26"/>
      <c r="CH150" s="39"/>
      <c r="CI150" s="39"/>
      <c r="CJ150" s="39"/>
      <c r="CK150" s="39"/>
      <c r="CL150" s="39"/>
      <c r="CM150" s="39"/>
      <c r="CN150" s="39"/>
      <c r="CO150" s="39"/>
      <c r="CP150" s="39"/>
      <c r="CQ150" s="10" t="str">
        <f t="shared" si="23"/>
        <v/>
      </c>
      <c r="CR150" s="10" t="str">
        <f t="shared" si="24"/>
        <v/>
      </c>
      <c r="CS150" s="10" t="str">
        <f t="shared" si="25"/>
        <v/>
      </c>
      <c r="CT150" s="10"/>
      <c r="CU150" s="10"/>
      <c r="CV150" s="10"/>
      <c r="CW150" s="10"/>
      <c r="CX150" s="11"/>
    </row>
    <row r="151" spans="85:102">
      <c r="CQ151" t="str">
        <f t="shared" si="23"/>
        <v/>
      </c>
      <c r="CR151" t="str">
        <f t="shared" si="24"/>
        <v/>
      </c>
      <c r="CS151" t="str">
        <f t="shared" si="25"/>
        <v/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15"/>
  <sheetViews>
    <sheetView workbookViewId="0">
      <selection activeCell="K42" sqref="K42:K47"/>
    </sheetView>
  </sheetViews>
  <sheetFormatPr defaultRowHeight="14.25"/>
  <cols>
    <col min="1" max="1" width="17.25" bestFit="1" customWidth="1"/>
    <col min="2" max="2" width="27.25" bestFit="1" customWidth="1"/>
    <col min="4" max="20" width="8" customWidth="1"/>
    <col min="21" max="22" width="16.75" customWidth="1"/>
    <col min="23" max="30" width="8" customWidth="1"/>
  </cols>
  <sheetData>
    <row r="1" spans="4:27">
      <c r="D1" t="s">
        <v>169</v>
      </c>
      <c r="E1" t="s">
        <v>170</v>
      </c>
      <c r="K1" t="s">
        <v>171</v>
      </c>
      <c r="L1" t="s">
        <v>172</v>
      </c>
      <c r="O1" t="s">
        <v>173</v>
      </c>
      <c r="Q1" s="32"/>
      <c r="R1" s="32"/>
      <c r="T1" t="s">
        <v>174</v>
      </c>
      <c r="U1" s="32" t="s">
        <v>175</v>
      </c>
      <c r="V1" s="32"/>
      <c r="W1" s="32" t="s">
        <v>173</v>
      </c>
      <c r="X1" t="s">
        <v>176</v>
      </c>
      <c r="Z1" s="32" t="s">
        <v>171</v>
      </c>
      <c r="AA1" s="32" t="s">
        <v>177</v>
      </c>
    </row>
    <row r="2" spans="4:27">
      <c r="D2" t="s">
        <v>178</v>
      </c>
      <c r="E2" t="s">
        <v>179</v>
      </c>
      <c r="K2" t="s">
        <v>180</v>
      </c>
      <c r="L2" t="s">
        <v>181</v>
      </c>
      <c r="O2" t="s">
        <v>169</v>
      </c>
      <c r="Q2" s="32"/>
      <c r="R2" s="32"/>
      <c r="S2" s="32"/>
      <c r="T2" t="s">
        <v>182</v>
      </c>
      <c r="U2" s="32" t="s">
        <v>183</v>
      </c>
      <c r="V2" s="32"/>
      <c r="W2" s="32" t="s">
        <v>169</v>
      </c>
      <c r="X2" t="s">
        <v>184</v>
      </c>
      <c r="Z2" s="32" t="s">
        <v>185</v>
      </c>
      <c r="AA2" s="32" t="s">
        <v>186</v>
      </c>
    </row>
    <row r="3" spans="4:27">
      <c r="D3" t="s">
        <v>187</v>
      </c>
      <c r="E3" t="s">
        <v>188</v>
      </c>
      <c r="K3" t="s">
        <v>189</v>
      </c>
      <c r="L3" t="s">
        <v>190</v>
      </c>
      <c r="O3" t="s">
        <v>191</v>
      </c>
      <c r="Q3" s="32"/>
      <c r="R3" s="32"/>
      <c r="S3" s="32"/>
      <c r="T3" t="s">
        <v>192</v>
      </c>
      <c r="U3" s="32" t="s">
        <v>193</v>
      </c>
      <c r="V3" s="32"/>
      <c r="W3" s="32" t="s">
        <v>191</v>
      </c>
      <c r="X3" t="s">
        <v>194</v>
      </c>
      <c r="Z3" s="32" t="s">
        <v>195</v>
      </c>
      <c r="AA3" s="32" t="s">
        <v>196</v>
      </c>
    </row>
    <row r="4" spans="4:27">
      <c r="D4" t="s">
        <v>197</v>
      </c>
      <c r="E4" t="s">
        <v>198</v>
      </c>
      <c r="K4" t="s">
        <v>195</v>
      </c>
      <c r="L4" t="s">
        <v>199</v>
      </c>
      <c r="O4" t="s">
        <v>200</v>
      </c>
      <c r="Q4" s="32"/>
      <c r="R4" s="32"/>
      <c r="S4" s="32"/>
      <c r="T4" t="s">
        <v>201</v>
      </c>
      <c r="U4" s="32" t="s">
        <v>202</v>
      </c>
      <c r="V4" s="32"/>
      <c r="W4" s="32" t="s">
        <v>200</v>
      </c>
      <c r="X4" t="s">
        <v>203</v>
      </c>
      <c r="Z4" s="32" t="s">
        <v>180</v>
      </c>
      <c r="AA4" s="32" t="s">
        <v>204</v>
      </c>
    </row>
    <row r="5" spans="4:27">
      <c r="D5" t="s">
        <v>205</v>
      </c>
      <c r="E5" t="s">
        <v>206</v>
      </c>
      <c r="K5" t="s">
        <v>207</v>
      </c>
      <c r="L5" t="s">
        <v>208</v>
      </c>
      <c r="O5" t="s">
        <v>209</v>
      </c>
      <c r="S5" s="32"/>
      <c r="T5" t="s">
        <v>210</v>
      </c>
      <c r="U5" s="32" t="s">
        <v>211</v>
      </c>
      <c r="V5" s="32"/>
      <c r="W5" s="32" t="s">
        <v>209</v>
      </c>
      <c r="X5" t="s">
        <v>212</v>
      </c>
      <c r="Z5" s="32" t="s">
        <v>213</v>
      </c>
      <c r="AA5" s="32" t="s">
        <v>214</v>
      </c>
    </row>
    <row r="6" spans="4:27">
      <c r="D6" t="s">
        <v>215</v>
      </c>
      <c r="E6" t="s">
        <v>216</v>
      </c>
      <c r="K6" t="s">
        <v>217</v>
      </c>
      <c r="L6" t="s">
        <v>218</v>
      </c>
      <c r="O6" t="s">
        <v>219</v>
      </c>
      <c r="S6" s="32"/>
      <c r="T6" t="s">
        <v>220</v>
      </c>
      <c r="U6" s="32" t="s">
        <v>221</v>
      </c>
      <c r="V6" s="32"/>
      <c r="W6" s="32" t="s">
        <v>219</v>
      </c>
      <c r="X6" t="s">
        <v>222</v>
      </c>
      <c r="Z6" s="32" t="s">
        <v>223</v>
      </c>
      <c r="AA6" s="32" t="s">
        <v>224</v>
      </c>
    </row>
    <row r="7" spans="4:27">
      <c r="D7" t="s">
        <v>225</v>
      </c>
      <c r="E7" t="s">
        <v>226</v>
      </c>
      <c r="K7" t="s">
        <v>185</v>
      </c>
      <c r="L7" t="s">
        <v>227</v>
      </c>
      <c r="O7" t="s">
        <v>228</v>
      </c>
      <c r="S7" s="32"/>
      <c r="T7" t="s">
        <v>229</v>
      </c>
      <c r="U7" s="32" t="s">
        <v>230</v>
      </c>
      <c r="V7" s="32"/>
      <c r="W7" s="32" t="s">
        <v>228</v>
      </c>
      <c r="X7" t="s">
        <v>231</v>
      </c>
      <c r="Z7" s="32" t="s">
        <v>232</v>
      </c>
      <c r="AA7" s="32" t="s">
        <v>233</v>
      </c>
    </row>
    <row r="8" spans="4:27">
      <c r="D8" t="s">
        <v>200</v>
      </c>
      <c r="E8" t="s">
        <v>234</v>
      </c>
      <c r="K8" t="s">
        <v>235</v>
      </c>
      <c r="L8" t="s">
        <v>236</v>
      </c>
      <c r="O8" t="s">
        <v>237</v>
      </c>
      <c r="S8" s="32"/>
      <c r="T8" t="s">
        <v>238</v>
      </c>
      <c r="U8" s="32" t="s">
        <v>239</v>
      </c>
      <c r="V8" s="32"/>
      <c r="W8" s="32" t="s">
        <v>237</v>
      </c>
      <c r="X8" t="s">
        <v>240</v>
      </c>
      <c r="Z8" s="32" t="s">
        <v>241</v>
      </c>
      <c r="AA8" s="32" t="s">
        <v>242</v>
      </c>
    </row>
    <row r="9" spans="4:27">
      <c r="D9" t="s">
        <v>243</v>
      </c>
      <c r="E9" t="s">
        <v>244</v>
      </c>
      <c r="K9" t="s">
        <v>245</v>
      </c>
      <c r="L9" t="s">
        <v>246</v>
      </c>
      <c r="O9" t="s">
        <v>247</v>
      </c>
      <c r="S9" s="32"/>
      <c r="T9" t="s">
        <v>248</v>
      </c>
      <c r="U9" s="32" t="s">
        <v>249</v>
      </c>
      <c r="V9" s="32"/>
      <c r="W9" s="32" t="s">
        <v>247</v>
      </c>
      <c r="X9" t="s">
        <v>250</v>
      </c>
      <c r="Z9" s="32" t="s">
        <v>251</v>
      </c>
      <c r="AA9" s="32" t="s">
        <v>252</v>
      </c>
    </row>
    <row r="10" spans="4:27">
      <c r="D10" t="s">
        <v>253</v>
      </c>
      <c r="E10" t="s">
        <v>254</v>
      </c>
      <c r="K10" t="s">
        <v>255</v>
      </c>
      <c r="L10" t="s">
        <v>256</v>
      </c>
      <c r="O10" t="s">
        <v>257</v>
      </c>
      <c r="S10" s="32"/>
      <c r="T10" t="s">
        <v>258</v>
      </c>
      <c r="U10" s="32" t="s">
        <v>175</v>
      </c>
      <c r="V10" s="32"/>
      <c r="W10" s="32" t="s">
        <v>257</v>
      </c>
      <c r="X10" t="s">
        <v>259</v>
      </c>
    </row>
    <row r="11" spans="4:27">
      <c r="D11" t="s">
        <v>260</v>
      </c>
      <c r="E11" t="s">
        <v>261</v>
      </c>
      <c r="K11" t="s">
        <v>251</v>
      </c>
      <c r="L11" t="s">
        <v>262</v>
      </c>
      <c r="O11" t="s">
        <v>263</v>
      </c>
      <c r="T11" t="s">
        <v>264</v>
      </c>
      <c r="U11" t="s">
        <v>265</v>
      </c>
      <c r="W11" s="32" t="s">
        <v>263</v>
      </c>
      <c r="X11" t="s">
        <v>266</v>
      </c>
    </row>
    <row r="12" spans="4:27">
      <c r="D12" t="s">
        <v>267</v>
      </c>
      <c r="E12" t="s">
        <v>268</v>
      </c>
      <c r="K12" t="s">
        <v>269</v>
      </c>
      <c r="L12" t="s">
        <v>270</v>
      </c>
      <c r="O12" t="s">
        <v>260</v>
      </c>
      <c r="Q12" s="32"/>
      <c r="T12" t="s">
        <v>271</v>
      </c>
      <c r="U12" t="s">
        <v>272</v>
      </c>
      <c r="W12" s="32" t="s">
        <v>260</v>
      </c>
      <c r="X12" t="s">
        <v>273</v>
      </c>
    </row>
    <row r="13" spans="4:27">
      <c r="D13" t="s">
        <v>274</v>
      </c>
      <c r="E13" t="s">
        <v>275</v>
      </c>
      <c r="K13" t="s">
        <v>276</v>
      </c>
      <c r="L13" t="s">
        <v>277</v>
      </c>
      <c r="O13" t="s">
        <v>278</v>
      </c>
      <c r="Q13" s="35"/>
      <c r="T13" t="s">
        <v>279</v>
      </c>
      <c r="U13" t="s">
        <v>280</v>
      </c>
      <c r="W13" s="32" t="s">
        <v>278</v>
      </c>
      <c r="X13" t="s">
        <v>281</v>
      </c>
    </row>
    <row r="14" spans="4:27">
      <c r="D14" t="s">
        <v>282</v>
      </c>
      <c r="E14" t="s">
        <v>283</v>
      </c>
      <c r="K14" t="s">
        <v>284</v>
      </c>
      <c r="L14" t="s">
        <v>285</v>
      </c>
      <c r="O14" t="s">
        <v>286</v>
      </c>
      <c r="T14" t="s">
        <v>287</v>
      </c>
      <c r="U14" s="32" t="s">
        <v>288</v>
      </c>
      <c r="V14" s="32"/>
      <c r="W14" s="32" t="s">
        <v>286</v>
      </c>
      <c r="X14" t="s">
        <v>289</v>
      </c>
    </row>
    <row r="15" spans="4:27">
      <c r="D15" t="s">
        <v>290</v>
      </c>
      <c r="E15" t="s">
        <v>291</v>
      </c>
      <c r="K15" t="s">
        <v>213</v>
      </c>
      <c r="L15" t="s">
        <v>292</v>
      </c>
      <c r="O15" t="s">
        <v>293</v>
      </c>
      <c r="T15" t="s">
        <v>294</v>
      </c>
      <c r="U15" s="32" t="s">
        <v>295</v>
      </c>
      <c r="V15" s="32"/>
      <c r="W15" s="32" t="s">
        <v>293</v>
      </c>
      <c r="X15" t="s">
        <v>296</v>
      </c>
    </row>
    <row r="16" spans="4:27">
      <c r="D16" t="s">
        <v>297</v>
      </c>
      <c r="E16" t="s">
        <v>298</v>
      </c>
      <c r="K16" t="s">
        <v>299</v>
      </c>
      <c r="L16" t="s">
        <v>300</v>
      </c>
      <c r="O16" t="s">
        <v>301</v>
      </c>
      <c r="T16" t="s">
        <v>302</v>
      </c>
      <c r="U16" s="32" t="s">
        <v>303</v>
      </c>
      <c r="V16" s="32"/>
      <c r="W16" s="32" t="s">
        <v>301</v>
      </c>
      <c r="X16" t="s">
        <v>304</v>
      </c>
    </row>
    <row r="17" spans="4:22">
      <c r="D17" t="s">
        <v>305</v>
      </c>
      <c r="E17" t="s">
        <v>306</v>
      </c>
      <c r="K17" t="s">
        <v>223</v>
      </c>
      <c r="L17" t="s">
        <v>307</v>
      </c>
      <c r="T17" t="s">
        <v>308</v>
      </c>
      <c r="U17" s="32" t="s">
        <v>309</v>
      </c>
      <c r="V17" s="32"/>
    </row>
    <row r="18" spans="4:22">
      <c r="D18" t="s">
        <v>310</v>
      </c>
      <c r="E18" t="s">
        <v>311</v>
      </c>
      <c r="K18" t="s">
        <v>312</v>
      </c>
      <c r="L18" t="s">
        <v>313</v>
      </c>
      <c r="T18" t="s">
        <v>314</v>
      </c>
      <c r="U18" s="32" t="s">
        <v>288</v>
      </c>
      <c r="V18" s="32"/>
    </row>
    <row r="19" spans="4:22">
      <c r="D19" t="s">
        <v>315</v>
      </c>
      <c r="E19" t="s">
        <v>316</v>
      </c>
      <c r="K19" t="s">
        <v>317</v>
      </c>
      <c r="L19" t="s">
        <v>318</v>
      </c>
      <c r="T19" t="s">
        <v>319</v>
      </c>
      <c r="U19" s="32" t="s">
        <v>295</v>
      </c>
      <c r="V19" s="32"/>
    </row>
    <row r="20" spans="4:22">
      <c r="D20" t="s">
        <v>320</v>
      </c>
      <c r="E20" t="s">
        <v>321</v>
      </c>
      <c r="K20" t="s">
        <v>322</v>
      </c>
      <c r="L20" t="s">
        <v>323</v>
      </c>
      <c r="T20" t="s">
        <v>324</v>
      </c>
      <c r="U20" s="32" t="s">
        <v>303</v>
      </c>
      <c r="V20" s="32"/>
    </row>
    <row r="21" spans="4:22">
      <c r="D21" t="s">
        <v>325</v>
      </c>
      <c r="E21" t="s">
        <v>326</v>
      </c>
      <c r="K21" t="s">
        <v>327</v>
      </c>
      <c r="L21" t="s">
        <v>328</v>
      </c>
      <c r="T21" t="s">
        <v>329</v>
      </c>
      <c r="U21" s="32" t="s">
        <v>309</v>
      </c>
      <c r="V21" s="32"/>
    </row>
    <row r="22" spans="4:22">
      <c r="D22" t="s">
        <v>330</v>
      </c>
      <c r="E22" t="s">
        <v>331</v>
      </c>
      <c r="K22" t="s">
        <v>232</v>
      </c>
      <c r="L22" t="s">
        <v>332</v>
      </c>
      <c r="T22" t="s">
        <v>333</v>
      </c>
      <c r="U22" s="32" t="s">
        <v>288</v>
      </c>
      <c r="V22" s="32"/>
    </row>
    <row r="23" spans="4:22">
      <c r="D23" t="s">
        <v>334</v>
      </c>
      <c r="E23" t="s">
        <v>335</v>
      </c>
      <c r="K23" t="s">
        <v>336</v>
      </c>
      <c r="L23" t="s">
        <v>337</v>
      </c>
      <c r="T23" t="s">
        <v>338</v>
      </c>
      <c r="U23" s="32" t="s">
        <v>295</v>
      </c>
      <c r="V23" s="32"/>
    </row>
    <row r="24" spans="4:22">
      <c r="D24" t="s">
        <v>339</v>
      </c>
      <c r="E24" t="s">
        <v>340</v>
      </c>
      <c r="K24" t="s">
        <v>341</v>
      </c>
      <c r="L24" t="s">
        <v>342</v>
      </c>
      <c r="T24" t="s">
        <v>343</v>
      </c>
      <c r="U24" s="32" t="s">
        <v>303</v>
      </c>
      <c r="V24" s="32"/>
    </row>
    <row r="25" spans="4:22">
      <c r="D25" t="s">
        <v>344</v>
      </c>
      <c r="E25" t="s">
        <v>345</v>
      </c>
      <c r="K25" t="s">
        <v>241</v>
      </c>
      <c r="L25" t="s">
        <v>346</v>
      </c>
      <c r="T25" t="s">
        <v>347</v>
      </c>
      <c r="U25" s="32" t="s">
        <v>309</v>
      </c>
      <c r="V25" s="32"/>
    </row>
    <row r="26" spans="4:22">
      <c r="D26" t="s">
        <v>348</v>
      </c>
      <c r="E26" t="s">
        <v>349</v>
      </c>
      <c r="K26" t="s">
        <v>350</v>
      </c>
      <c r="L26" t="s">
        <v>351</v>
      </c>
      <c r="T26" t="s">
        <v>352</v>
      </c>
      <c r="U26" s="32" t="s">
        <v>288</v>
      </c>
      <c r="V26" s="32"/>
    </row>
    <row r="27" spans="4:22">
      <c r="D27" t="s">
        <v>219</v>
      </c>
      <c r="E27" t="s">
        <v>353</v>
      </c>
      <c r="K27" t="s">
        <v>354</v>
      </c>
      <c r="L27" t="s">
        <v>355</v>
      </c>
      <c r="T27" t="s">
        <v>356</v>
      </c>
      <c r="U27" s="32" t="s">
        <v>295</v>
      </c>
      <c r="V27" s="32"/>
    </row>
    <row r="28" spans="4:22">
      <c r="D28" t="s">
        <v>357</v>
      </c>
      <c r="E28" t="s">
        <v>358</v>
      </c>
      <c r="K28" t="s">
        <v>359</v>
      </c>
      <c r="L28" t="s">
        <v>360</v>
      </c>
      <c r="T28" t="s">
        <v>361</v>
      </c>
      <c r="U28" s="32" t="s">
        <v>303</v>
      </c>
      <c r="V28" s="32"/>
    </row>
    <row r="29" spans="4:22">
      <c r="D29" t="s">
        <v>362</v>
      </c>
      <c r="E29" t="s">
        <v>363</v>
      </c>
      <c r="K29" s="36">
        <v>9</v>
      </c>
      <c r="L29" s="32" t="s">
        <v>364</v>
      </c>
      <c r="T29" t="s">
        <v>365</v>
      </c>
      <c r="U29" s="32" t="s">
        <v>309</v>
      </c>
      <c r="V29" s="32"/>
    </row>
    <row r="30" spans="4:22">
      <c r="D30" t="s">
        <v>366</v>
      </c>
      <c r="E30" t="s">
        <v>367</v>
      </c>
      <c r="K30" s="36">
        <v>1</v>
      </c>
      <c r="L30" t="s">
        <v>368</v>
      </c>
      <c r="T30" t="s">
        <v>369</v>
      </c>
      <c r="U30" s="32" t="s">
        <v>288</v>
      </c>
      <c r="V30" s="32"/>
    </row>
    <row r="31" spans="4:22">
      <c r="D31" t="s">
        <v>370</v>
      </c>
      <c r="E31" t="s">
        <v>371</v>
      </c>
      <c r="K31" s="36">
        <v>4</v>
      </c>
      <c r="L31" t="s">
        <v>372</v>
      </c>
      <c r="T31" t="s">
        <v>373</v>
      </c>
      <c r="U31" s="32" t="s">
        <v>295</v>
      </c>
      <c r="V31" s="32"/>
    </row>
    <row r="32" spans="4:22">
      <c r="D32" t="s">
        <v>374</v>
      </c>
      <c r="E32" t="s">
        <v>375</v>
      </c>
      <c r="K32" s="36">
        <v>5</v>
      </c>
      <c r="L32" t="s">
        <v>376</v>
      </c>
      <c r="T32" t="s">
        <v>377</v>
      </c>
      <c r="U32" s="32" t="s">
        <v>303</v>
      </c>
      <c r="V32" s="32"/>
    </row>
    <row r="33" spans="1:22">
      <c r="D33" t="s">
        <v>378</v>
      </c>
      <c r="E33" t="s">
        <v>379</v>
      </c>
      <c r="K33" s="36">
        <v>6</v>
      </c>
      <c r="L33" t="s">
        <v>380</v>
      </c>
      <c r="T33" t="s">
        <v>381</v>
      </c>
      <c r="U33" s="32" t="s">
        <v>309</v>
      </c>
      <c r="V33" s="32"/>
    </row>
    <row r="34" spans="1:22">
      <c r="D34" t="s">
        <v>382</v>
      </c>
      <c r="E34" t="s">
        <v>383</v>
      </c>
      <c r="T34" t="s">
        <v>384</v>
      </c>
      <c r="U34" s="32" t="s">
        <v>288</v>
      </c>
      <c r="V34" s="32"/>
    </row>
    <row r="35" spans="1:22">
      <c r="D35" t="s">
        <v>385</v>
      </c>
      <c r="E35" t="s">
        <v>386</v>
      </c>
      <c r="T35" t="s">
        <v>387</v>
      </c>
      <c r="U35" s="32" t="s">
        <v>295</v>
      </c>
      <c r="V35" s="32"/>
    </row>
    <row r="36" spans="1:22">
      <c r="D36" t="s">
        <v>388</v>
      </c>
      <c r="E36" t="s">
        <v>389</v>
      </c>
      <c r="K36" s="32"/>
      <c r="L36" s="32"/>
      <c r="N36" s="32"/>
      <c r="O36" s="32"/>
      <c r="T36" t="s">
        <v>390</v>
      </c>
      <c r="U36" s="32" t="s">
        <v>303</v>
      </c>
      <c r="V36" s="32"/>
    </row>
    <row r="37" spans="1:22">
      <c r="D37" t="s">
        <v>391</v>
      </c>
      <c r="E37" t="s">
        <v>392</v>
      </c>
      <c r="K37" s="32"/>
      <c r="L37" s="32"/>
      <c r="N37" s="32"/>
      <c r="O37" s="32"/>
      <c r="T37" t="s">
        <v>393</v>
      </c>
      <c r="U37" s="32" t="s">
        <v>309</v>
      </c>
      <c r="V37" s="32"/>
    </row>
    <row r="38" spans="1:22">
      <c r="D38" t="s">
        <v>394</v>
      </c>
      <c r="E38" t="s">
        <v>395</v>
      </c>
      <c r="K38" s="32"/>
      <c r="L38" s="32"/>
      <c r="N38" s="32"/>
      <c r="O38" s="32"/>
      <c r="T38" t="s">
        <v>396</v>
      </c>
      <c r="U38" s="32" t="s">
        <v>175</v>
      </c>
      <c r="V38" s="32"/>
    </row>
    <row r="39" spans="1:22">
      <c r="D39" t="s">
        <v>397</v>
      </c>
      <c r="E39" t="s">
        <v>398</v>
      </c>
      <c r="K39" s="32"/>
      <c r="L39" s="32"/>
      <c r="N39" s="32"/>
      <c r="O39" s="32"/>
      <c r="T39" t="s">
        <v>399</v>
      </c>
      <c r="U39" t="s">
        <v>265</v>
      </c>
    </row>
    <row r="40" spans="1:22">
      <c r="D40" t="s">
        <v>400</v>
      </c>
      <c r="E40" t="s">
        <v>401</v>
      </c>
      <c r="T40" t="s">
        <v>402</v>
      </c>
      <c r="U40" s="32" t="s">
        <v>303</v>
      </c>
      <c r="V40" s="32"/>
    </row>
    <row r="41" spans="1:22" ht="15" thickBot="1">
      <c r="D41" t="s">
        <v>228</v>
      </c>
      <c r="E41" t="s">
        <v>403</v>
      </c>
      <c r="T41" t="s">
        <v>404</v>
      </c>
      <c r="U41" s="32" t="s">
        <v>309</v>
      </c>
      <c r="V41" s="32"/>
    </row>
    <row r="42" spans="1:22" ht="15" thickBot="1">
      <c r="D42" t="s">
        <v>405</v>
      </c>
      <c r="E42" t="s">
        <v>406</v>
      </c>
      <c r="K42" s="22" t="str">
        <f t="shared" ref="K42:K47" si="0">IF(ISERROR(VALUE(titleletters5678)),"No",IF(AND(VALUE(titleletters5678)&gt;L42,VALUE(titleletters5678)&lt;M42),"Yes","No"))</f>
        <v>No</v>
      </c>
      <c r="L42" s="37">
        <v>2000</v>
      </c>
      <c r="M42" s="37">
        <v>2599</v>
      </c>
      <c r="N42" s="37" t="s">
        <v>407</v>
      </c>
      <c r="O42" s="37"/>
      <c r="P42" s="37"/>
      <c r="Q42" s="23"/>
      <c r="R42" s="38"/>
      <c r="T42" t="s">
        <v>408</v>
      </c>
      <c r="U42" s="32" t="s">
        <v>409</v>
      </c>
      <c r="V42" s="32"/>
    </row>
    <row r="43" spans="1:22" ht="15" thickBot="1">
      <c r="D43" t="s">
        <v>410</v>
      </c>
      <c r="E43" t="s">
        <v>411</v>
      </c>
      <c r="K43" s="22" t="str">
        <f t="shared" si="0"/>
        <v>No</v>
      </c>
      <c r="L43" s="38">
        <v>7000</v>
      </c>
      <c r="M43" s="38">
        <v>7199</v>
      </c>
      <c r="N43" s="38" t="s">
        <v>407</v>
      </c>
      <c r="O43" s="38"/>
      <c r="P43" s="38"/>
      <c r="Q43" s="25"/>
      <c r="R43" s="38"/>
      <c r="T43" t="s">
        <v>412</v>
      </c>
      <c r="U43" s="32" t="s">
        <v>413</v>
      </c>
      <c r="V43" s="32"/>
    </row>
    <row r="44" spans="1:22" ht="15" thickBot="1">
      <c r="D44" t="s">
        <v>237</v>
      </c>
      <c r="E44" t="s">
        <v>414</v>
      </c>
      <c r="K44" s="22" t="str">
        <f t="shared" si="0"/>
        <v>No</v>
      </c>
      <c r="L44" s="38">
        <v>7200</v>
      </c>
      <c r="M44" s="38">
        <v>7399</v>
      </c>
      <c r="N44" s="38" t="s">
        <v>415</v>
      </c>
      <c r="O44" s="38"/>
      <c r="P44" s="38"/>
      <c r="Q44" s="25"/>
      <c r="R44" s="38"/>
      <c r="T44" t="s">
        <v>416</v>
      </c>
      <c r="U44" s="32" t="s">
        <v>175</v>
      </c>
      <c r="V44" s="32"/>
    </row>
    <row r="45" spans="1:22" ht="15" thickBot="1">
      <c r="D45" t="s">
        <v>417</v>
      </c>
      <c r="E45" t="s">
        <v>418</v>
      </c>
      <c r="K45" s="22" t="str">
        <f t="shared" si="0"/>
        <v>No</v>
      </c>
      <c r="L45" s="38">
        <v>7400</v>
      </c>
      <c r="M45" s="38">
        <v>7599</v>
      </c>
      <c r="N45" s="38" t="s">
        <v>419</v>
      </c>
      <c r="O45" s="38"/>
      <c r="P45" s="38"/>
      <c r="Q45" s="25"/>
      <c r="R45" s="38"/>
      <c r="T45" t="s">
        <v>420</v>
      </c>
      <c r="U45" t="s">
        <v>265</v>
      </c>
    </row>
    <row r="46" spans="1:22" ht="15" thickBot="1">
      <c r="A46" s="34"/>
      <c r="D46" t="s">
        <v>421</v>
      </c>
      <c r="E46" t="s">
        <v>422</v>
      </c>
      <c r="K46" s="22" t="str">
        <f t="shared" si="0"/>
        <v>No</v>
      </c>
      <c r="L46" s="38">
        <v>7600</v>
      </c>
      <c r="M46" s="38">
        <v>7799</v>
      </c>
      <c r="N46" s="38" t="s">
        <v>423</v>
      </c>
      <c r="O46" s="38"/>
      <c r="P46" s="38"/>
      <c r="Q46" s="25"/>
      <c r="R46" s="38"/>
      <c r="T46" t="s">
        <v>424</v>
      </c>
      <c r="U46" s="32" t="s">
        <v>193</v>
      </c>
      <c r="V46" s="32"/>
    </row>
    <row r="47" spans="1:22" ht="15" thickBot="1">
      <c r="D47" t="s">
        <v>247</v>
      </c>
      <c r="E47" t="s">
        <v>425</v>
      </c>
      <c r="K47" s="22" t="str">
        <f t="shared" si="0"/>
        <v>No</v>
      </c>
      <c r="L47" s="39">
        <v>7900</v>
      </c>
      <c r="M47" s="39">
        <v>7999</v>
      </c>
      <c r="N47" s="39" t="s">
        <v>423</v>
      </c>
      <c r="O47" s="39"/>
      <c r="P47" s="39"/>
      <c r="Q47" s="27"/>
      <c r="R47" s="38"/>
      <c r="T47" t="s">
        <v>426</v>
      </c>
      <c r="U47" s="32" t="s">
        <v>202</v>
      </c>
      <c r="V47" s="32"/>
    </row>
    <row r="48" spans="1:22">
      <c r="D48" t="s">
        <v>427</v>
      </c>
      <c r="E48" t="s">
        <v>428</v>
      </c>
      <c r="K48" s="22" t="str">
        <f>IF(AND(extractions!$F$35&gt;L48,extractions!$F$35&lt;M48),"Yes","")</f>
        <v/>
      </c>
      <c r="T48" t="s">
        <v>429</v>
      </c>
      <c r="U48" s="32" t="s">
        <v>430</v>
      </c>
      <c r="V48" s="32"/>
    </row>
    <row r="49" spans="4:22">
      <c r="D49" t="s">
        <v>431</v>
      </c>
      <c r="E49" t="s">
        <v>432</v>
      </c>
      <c r="T49" t="s">
        <v>433</v>
      </c>
      <c r="U49" s="32" t="s">
        <v>434</v>
      </c>
      <c r="V49" s="32"/>
    </row>
    <row r="50" spans="4:22">
      <c r="D50" t="s">
        <v>435</v>
      </c>
      <c r="E50" t="s">
        <v>436</v>
      </c>
      <c r="T50" s="32" t="s">
        <v>437</v>
      </c>
      <c r="U50" s="32" t="s">
        <v>239</v>
      </c>
      <c r="V50" s="32"/>
    </row>
    <row r="51" spans="4:22">
      <c r="D51" t="s">
        <v>438</v>
      </c>
      <c r="E51" t="s">
        <v>439</v>
      </c>
    </row>
    <row r="52" spans="4:22">
      <c r="D52" t="s">
        <v>440</v>
      </c>
      <c r="E52" t="s">
        <v>441</v>
      </c>
    </row>
    <row r="53" spans="4:22">
      <c r="D53" t="s">
        <v>442</v>
      </c>
      <c r="E53" t="s">
        <v>443</v>
      </c>
    </row>
    <row r="54" spans="4:22">
      <c r="D54" t="s">
        <v>444</v>
      </c>
      <c r="E54" t="s">
        <v>445</v>
      </c>
    </row>
    <row r="55" spans="4:22">
      <c r="D55" t="s">
        <v>446</v>
      </c>
      <c r="E55" t="s">
        <v>447</v>
      </c>
    </row>
    <row r="56" spans="4:22">
      <c r="D56" t="s">
        <v>448</v>
      </c>
      <c r="E56" t="s">
        <v>449</v>
      </c>
    </row>
    <row r="57" spans="4:22">
      <c r="D57" t="s">
        <v>450</v>
      </c>
      <c r="E57" t="s">
        <v>451</v>
      </c>
    </row>
    <row r="58" spans="4:22">
      <c r="D58" t="s">
        <v>452</v>
      </c>
      <c r="E58" t="s">
        <v>453</v>
      </c>
    </row>
    <row r="59" spans="4:22">
      <c r="D59" t="s">
        <v>454</v>
      </c>
      <c r="E59" t="s">
        <v>455</v>
      </c>
    </row>
    <row r="60" spans="4:22">
      <c r="D60" t="s">
        <v>456</v>
      </c>
      <c r="E60" t="s">
        <v>457</v>
      </c>
    </row>
    <row r="61" spans="4:22">
      <c r="D61" t="s">
        <v>458</v>
      </c>
      <c r="E61" t="s">
        <v>459</v>
      </c>
    </row>
    <row r="62" spans="4:22">
      <c r="D62" t="s">
        <v>460</v>
      </c>
      <c r="E62" t="s">
        <v>461</v>
      </c>
    </row>
    <row r="63" spans="4:22">
      <c r="D63" t="s">
        <v>462</v>
      </c>
      <c r="E63" t="s">
        <v>463</v>
      </c>
    </row>
    <row r="64" spans="4:22">
      <c r="D64" t="s">
        <v>464</v>
      </c>
      <c r="E64" t="s">
        <v>465</v>
      </c>
    </row>
    <row r="65" spans="4:5">
      <c r="D65" t="s">
        <v>466</v>
      </c>
      <c r="E65" t="s">
        <v>467</v>
      </c>
    </row>
    <row r="66" spans="4:5">
      <c r="D66" t="s">
        <v>468</v>
      </c>
      <c r="E66" t="s">
        <v>469</v>
      </c>
    </row>
    <row r="67" spans="4:5">
      <c r="D67" t="s">
        <v>470</v>
      </c>
      <c r="E67" t="s">
        <v>471</v>
      </c>
    </row>
    <row r="68" spans="4:5">
      <c r="D68" t="s">
        <v>472</v>
      </c>
      <c r="E68" t="s">
        <v>473</v>
      </c>
    </row>
    <row r="69" spans="4:5">
      <c r="D69" t="s">
        <v>474</v>
      </c>
      <c r="E69" t="s">
        <v>475</v>
      </c>
    </row>
    <row r="70" spans="4:5">
      <c r="D70" t="s">
        <v>476</v>
      </c>
      <c r="E70" t="s">
        <v>477</v>
      </c>
    </row>
    <row r="71" spans="4:5">
      <c r="D71" t="s">
        <v>478</v>
      </c>
      <c r="E71" t="s">
        <v>479</v>
      </c>
    </row>
    <row r="72" spans="4:5">
      <c r="D72" t="s">
        <v>480</v>
      </c>
      <c r="E72" t="s">
        <v>481</v>
      </c>
    </row>
    <row r="73" spans="4:5">
      <c r="D73" t="s">
        <v>482</v>
      </c>
      <c r="E73" t="s">
        <v>483</v>
      </c>
    </row>
    <row r="74" spans="4:5">
      <c r="D74" t="s">
        <v>484</v>
      </c>
      <c r="E74" t="s">
        <v>485</v>
      </c>
    </row>
    <row r="75" spans="4:5">
      <c r="D75" t="s">
        <v>486</v>
      </c>
      <c r="E75" t="s">
        <v>487</v>
      </c>
    </row>
    <row r="76" spans="4:5">
      <c r="D76" t="s">
        <v>488</v>
      </c>
      <c r="E76" t="s">
        <v>489</v>
      </c>
    </row>
    <row r="77" spans="4:5">
      <c r="D77" t="s">
        <v>490</v>
      </c>
      <c r="E77" t="s">
        <v>491</v>
      </c>
    </row>
    <row r="78" spans="4:5">
      <c r="D78" t="s">
        <v>492</v>
      </c>
      <c r="E78" t="s">
        <v>493</v>
      </c>
    </row>
    <row r="79" spans="4:5">
      <c r="D79" t="s">
        <v>494</v>
      </c>
      <c r="E79" t="s">
        <v>495</v>
      </c>
    </row>
    <row r="80" spans="4:5">
      <c r="D80" t="s">
        <v>496</v>
      </c>
      <c r="E80" t="s">
        <v>497</v>
      </c>
    </row>
    <row r="81" spans="4:5">
      <c r="D81" t="s">
        <v>498</v>
      </c>
      <c r="E81" t="s">
        <v>499</v>
      </c>
    </row>
    <row r="82" spans="4:5">
      <c r="D82" t="s">
        <v>500</v>
      </c>
      <c r="E82" t="s">
        <v>501</v>
      </c>
    </row>
    <row r="83" spans="4:5">
      <c r="D83" t="s">
        <v>502</v>
      </c>
      <c r="E83" t="s">
        <v>503</v>
      </c>
    </row>
    <row r="84" spans="4:5">
      <c r="D84" t="s">
        <v>504</v>
      </c>
      <c r="E84" t="s">
        <v>505</v>
      </c>
    </row>
    <row r="85" spans="4:5">
      <c r="D85" t="s">
        <v>506</v>
      </c>
      <c r="E85" t="s">
        <v>507</v>
      </c>
    </row>
    <row r="86" spans="4:5">
      <c r="D86" t="s">
        <v>508</v>
      </c>
      <c r="E86" t="s">
        <v>509</v>
      </c>
    </row>
    <row r="87" spans="4:5">
      <c r="D87" t="s">
        <v>510</v>
      </c>
      <c r="E87" t="s">
        <v>511</v>
      </c>
    </row>
    <row r="88" spans="4:5">
      <c r="D88" t="s">
        <v>512</v>
      </c>
      <c r="E88" t="s">
        <v>513</v>
      </c>
    </row>
    <row r="89" spans="4:5">
      <c r="D89" t="s">
        <v>514</v>
      </c>
      <c r="E89" t="s">
        <v>515</v>
      </c>
    </row>
    <row r="90" spans="4:5">
      <c r="D90" t="s">
        <v>516</v>
      </c>
      <c r="E90" t="s">
        <v>517</v>
      </c>
    </row>
    <row r="91" spans="4:5">
      <c r="D91" t="s">
        <v>518</v>
      </c>
      <c r="E91" t="s">
        <v>519</v>
      </c>
    </row>
    <row r="92" spans="4:5">
      <c r="D92" t="s">
        <v>520</v>
      </c>
      <c r="E92" t="s">
        <v>521</v>
      </c>
    </row>
    <row r="93" spans="4:5">
      <c r="D93" t="s">
        <v>522</v>
      </c>
      <c r="E93" t="s">
        <v>523</v>
      </c>
    </row>
    <row r="94" spans="4:5">
      <c r="D94" t="s">
        <v>524</v>
      </c>
      <c r="E94" t="s">
        <v>525</v>
      </c>
    </row>
    <row r="95" spans="4:5">
      <c r="D95" t="s">
        <v>526</v>
      </c>
      <c r="E95" t="s">
        <v>527</v>
      </c>
    </row>
    <row r="96" spans="4:5">
      <c r="D96" t="s">
        <v>528</v>
      </c>
      <c r="E96" t="s">
        <v>529</v>
      </c>
    </row>
    <row r="97" spans="4:5">
      <c r="D97" t="s">
        <v>530</v>
      </c>
      <c r="E97" t="s">
        <v>531</v>
      </c>
    </row>
    <row r="98" spans="4:5">
      <c r="D98" t="s">
        <v>532</v>
      </c>
      <c r="E98" t="s">
        <v>533</v>
      </c>
    </row>
    <row r="99" spans="4:5">
      <c r="D99" t="s">
        <v>534</v>
      </c>
      <c r="E99" t="s">
        <v>535</v>
      </c>
    </row>
    <row r="100" spans="4:5">
      <c r="D100" t="s">
        <v>536</v>
      </c>
      <c r="E100" t="s">
        <v>537</v>
      </c>
    </row>
    <row r="101" spans="4:5">
      <c r="D101" t="s">
        <v>538</v>
      </c>
      <c r="E101" t="s">
        <v>539</v>
      </c>
    </row>
    <row r="102" spans="4:5">
      <c r="D102" t="s">
        <v>540</v>
      </c>
      <c r="E102" t="s">
        <v>541</v>
      </c>
    </row>
    <row r="103" spans="4:5">
      <c r="D103" t="s">
        <v>542</v>
      </c>
      <c r="E103" t="s">
        <v>543</v>
      </c>
    </row>
    <row r="104" spans="4:5">
      <c r="D104" t="s">
        <v>544</v>
      </c>
      <c r="E104" t="s">
        <v>545</v>
      </c>
    </row>
    <row r="105" spans="4:5">
      <c r="D105" t="s">
        <v>546</v>
      </c>
      <c r="E105" t="s">
        <v>547</v>
      </c>
    </row>
    <row r="106" spans="4:5">
      <c r="D106" t="s">
        <v>548</v>
      </c>
      <c r="E106" t="s">
        <v>549</v>
      </c>
    </row>
    <row r="107" spans="4:5">
      <c r="D107" t="s">
        <v>550</v>
      </c>
      <c r="E107" t="s">
        <v>551</v>
      </c>
    </row>
    <row r="108" spans="4:5">
      <c r="D108" t="s">
        <v>552</v>
      </c>
      <c r="E108" t="s">
        <v>553</v>
      </c>
    </row>
    <row r="109" spans="4:5">
      <c r="D109" t="s">
        <v>554</v>
      </c>
      <c r="E109" t="s">
        <v>555</v>
      </c>
    </row>
    <row r="110" spans="4:5">
      <c r="D110" t="s">
        <v>556</v>
      </c>
      <c r="E110" t="s">
        <v>557</v>
      </c>
    </row>
    <row r="111" spans="4:5">
      <c r="D111" t="s">
        <v>558</v>
      </c>
      <c r="E111" t="s">
        <v>559</v>
      </c>
    </row>
    <row r="112" spans="4:5">
      <c r="D112" t="s">
        <v>560</v>
      </c>
      <c r="E112" t="s">
        <v>561</v>
      </c>
    </row>
    <row r="113" spans="4:5">
      <c r="D113" t="s">
        <v>562</v>
      </c>
      <c r="E113" t="s">
        <v>563</v>
      </c>
    </row>
    <row r="114" spans="4:5">
      <c r="D114" t="s">
        <v>564</v>
      </c>
      <c r="E114" t="s">
        <v>565</v>
      </c>
    </row>
    <row r="115" spans="4:5">
      <c r="D115" t="s">
        <v>566</v>
      </c>
      <c r="E115" t="s">
        <v>567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C1:E50"/>
  <sheetViews>
    <sheetView workbookViewId="0">
      <selection activeCell="A8" sqref="A8"/>
    </sheetView>
  </sheetViews>
  <sheetFormatPr defaultRowHeight="14.25"/>
  <cols>
    <col min="1" max="3" width="9.125" customWidth="1"/>
    <col min="4" max="4" width="9.75" bestFit="1" customWidth="1"/>
    <col min="5" max="5" width="12.625" customWidth="1"/>
  </cols>
  <sheetData>
    <row r="1" spans="3:5">
      <c r="C1">
        <f>LEN(D1)</f>
        <v>0</v>
      </c>
      <c r="D1" t="str">
        <f t="shared" ref="D1:D32" si="0">IF(ISERROR(VLOOKUP(E1,AllBlocks,1,AllBlocks)),"",VLOOKUP(E1,AllBlocks,1,AllBlocks))</f>
        <v/>
      </c>
      <c r="E1" t="s">
        <v>608</v>
      </c>
    </row>
    <row r="2" spans="3:5">
      <c r="C2">
        <f t="shared" ref="C2:C50" si="1">LEN(D2)</f>
        <v>0</v>
      </c>
      <c r="D2" t="str">
        <f t="shared" si="0"/>
        <v/>
      </c>
      <c r="E2" t="s">
        <v>609</v>
      </c>
    </row>
    <row r="3" spans="3:5">
      <c r="C3">
        <f t="shared" si="1"/>
        <v>0</v>
      </c>
      <c r="D3" t="str">
        <f t="shared" si="0"/>
        <v/>
      </c>
      <c r="E3" t="s">
        <v>610</v>
      </c>
    </row>
    <row r="4" spans="3:5">
      <c r="C4">
        <f t="shared" si="1"/>
        <v>0</v>
      </c>
      <c r="D4" t="str">
        <f t="shared" si="0"/>
        <v/>
      </c>
      <c r="E4" t="s">
        <v>611</v>
      </c>
    </row>
    <row r="5" spans="3:5">
      <c r="C5">
        <f t="shared" si="1"/>
        <v>0</v>
      </c>
      <c r="D5" t="str">
        <f t="shared" si="0"/>
        <v/>
      </c>
      <c r="E5" t="s">
        <v>612</v>
      </c>
    </row>
    <row r="6" spans="3:5">
      <c r="C6">
        <f t="shared" si="1"/>
        <v>0</v>
      </c>
      <c r="D6" t="str">
        <f t="shared" si="0"/>
        <v/>
      </c>
      <c r="E6" t="s">
        <v>613</v>
      </c>
    </row>
    <row r="7" spans="3:5">
      <c r="C7">
        <f t="shared" si="1"/>
        <v>0</v>
      </c>
      <c r="D7" t="str">
        <f t="shared" si="0"/>
        <v/>
      </c>
      <c r="E7" t="s">
        <v>614</v>
      </c>
    </row>
    <row r="8" spans="3:5">
      <c r="C8">
        <f t="shared" si="1"/>
        <v>0</v>
      </c>
      <c r="D8" t="str">
        <f t="shared" si="0"/>
        <v/>
      </c>
      <c r="E8" t="s">
        <v>615</v>
      </c>
    </row>
    <row r="9" spans="3:5">
      <c r="C9">
        <f t="shared" si="1"/>
        <v>0</v>
      </c>
      <c r="D9" t="str">
        <f t="shared" si="0"/>
        <v/>
      </c>
      <c r="E9" t="s">
        <v>616</v>
      </c>
    </row>
    <row r="10" spans="3:5">
      <c r="C10">
        <f t="shared" si="1"/>
        <v>0</v>
      </c>
      <c r="D10" t="str">
        <f t="shared" si="0"/>
        <v/>
      </c>
      <c r="E10" t="s">
        <v>617</v>
      </c>
    </row>
    <row r="11" spans="3:5">
      <c r="C11">
        <f t="shared" si="1"/>
        <v>0</v>
      </c>
      <c r="D11" t="str">
        <f t="shared" si="0"/>
        <v/>
      </c>
      <c r="E11" t="s">
        <v>618</v>
      </c>
    </row>
    <row r="12" spans="3:5">
      <c r="C12">
        <f t="shared" si="1"/>
        <v>0</v>
      </c>
      <c r="D12" t="str">
        <f t="shared" si="0"/>
        <v/>
      </c>
      <c r="E12" t="s">
        <v>619</v>
      </c>
    </row>
    <row r="13" spans="3:5">
      <c r="C13">
        <f t="shared" si="1"/>
        <v>0</v>
      </c>
      <c r="D13" t="str">
        <f t="shared" si="0"/>
        <v/>
      </c>
      <c r="E13" t="s">
        <v>620</v>
      </c>
    </row>
    <row r="14" spans="3:5">
      <c r="C14">
        <f t="shared" si="1"/>
        <v>0</v>
      </c>
      <c r="D14" t="str">
        <f t="shared" si="0"/>
        <v/>
      </c>
      <c r="E14" t="s">
        <v>621</v>
      </c>
    </row>
    <row r="15" spans="3:5">
      <c r="C15">
        <f t="shared" si="1"/>
        <v>0</v>
      </c>
      <c r="D15" t="str">
        <f t="shared" si="0"/>
        <v/>
      </c>
      <c r="E15" t="s">
        <v>622</v>
      </c>
    </row>
    <row r="16" spans="3:5">
      <c r="C16">
        <f t="shared" si="1"/>
        <v>0</v>
      </c>
      <c r="D16" t="str">
        <f t="shared" si="0"/>
        <v/>
      </c>
      <c r="E16" t="s">
        <v>623</v>
      </c>
    </row>
    <row r="17" spans="3:5">
      <c r="C17">
        <f t="shared" si="1"/>
        <v>0</v>
      </c>
      <c r="D17" t="str">
        <f t="shared" si="0"/>
        <v/>
      </c>
      <c r="E17" t="s">
        <v>624</v>
      </c>
    </row>
    <row r="18" spans="3:5">
      <c r="C18">
        <f t="shared" si="1"/>
        <v>0</v>
      </c>
      <c r="D18" t="str">
        <f t="shared" si="0"/>
        <v/>
      </c>
      <c r="E18" t="s">
        <v>625</v>
      </c>
    </row>
    <row r="19" spans="3:5">
      <c r="C19">
        <f t="shared" si="1"/>
        <v>0</v>
      </c>
      <c r="D19" t="str">
        <f t="shared" si="0"/>
        <v/>
      </c>
      <c r="E19" t="s">
        <v>626</v>
      </c>
    </row>
    <row r="20" spans="3:5">
      <c r="C20">
        <f t="shared" si="1"/>
        <v>0</v>
      </c>
      <c r="D20" t="str">
        <f t="shared" si="0"/>
        <v/>
      </c>
      <c r="E20" t="s">
        <v>627</v>
      </c>
    </row>
    <row r="21" spans="3:5">
      <c r="C21">
        <f t="shared" si="1"/>
        <v>0</v>
      </c>
      <c r="D21" t="str">
        <f t="shared" si="0"/>
        <v/>
      </c>
      <c r="E21" t="s">
        <v>628</v>
      </c>
    </row>
    <row r="22" spans="3:5">
      <c r="C22">
        <f t="shared" si="1"/>
        <v>0</v>
      </c>
      <c r="D22" t="str">
        <f t="shared" si="0"/>
        <v/>
      </c>
      <c r="E22" t="s">
        <v>629</v>
      </c>
    </row>
    <row r="23" spans="3:5">
      <c r="C23">
        <f t="shared" si="1"/>
        <v>0</v>
      </c>
      <c r="D23" t="str">
        <f t="shared" si="0"/>
        <v/>
      </c>
      <c r="E23" t="s">
        <v>630</v>
      </c>
    </row>
    <row r="24" spans="3:5">
      <c r="C24">
        <f t="shared" si="1"/>
        <v>7</v>
      </c>
      <c r="D24" t="str">
        <f t="shared" si="0"/>
        <v>G-DONUT</v>
      </c>
      <c r="E24" t="s">
        <v>631</v>
      </c>
    </row>
    <row r="25" spans="3:5">
      <c r="C25">
        <f t="shared" si="1"/>
        <v>0</v>
      </c>
      <c r="D25" t="str">
        <f t="shared" si="0"/>
        <v/>
      </c>
      <c r="E25" t="s">
        <v>632</v>
      </c>
    </row>
    <row r="26" spans="3:5">
      <c r="C26">
        <f t="shared" si="1"/>
        <v>0</v>
      </c>
      <c r="D26" t="str">
        <f t="shared" si="0"/>
        <v/>
      </c>
      <c r="E26" t="s">
        <v>657</v>
      </c>
    </row>
    <row r="27" spans="3:5">
      <c r="C27">
        <f t="shared" si="1"/>
        <v>0</v>
      </c>
      <c r="D27" t="str">
        <f t="shared" si="0"/>
        <v/>
      </c>
      <c r="E27" t="s">
        <v>633</v>
      </c>
    </row>
    <row r="28" spans="3:5">
      <c r="C28">
        <f t="shared" si="1"/>
        <v>0</v>
      </c>
      <c r="D28" t="str">
        <f t="shared" si="0"/>
        <v/>
      </c>
      <c r="E28" t="s">
        <v>634</v>
      </c>
    </row>
    <row r="29" spans="3:5">
      <c r="C29">
        <f t="shared" si="1"/>
        <v>0</v>
      </c>
      <c r="D29" t="str">
        <f t="shared" si="0"/>
        <v/>
      </c>
      <c r="E29" t="s">
        <v>635</v>
      </c>
    </row>
    <row r="30" spans="3:5">
      <c r="C30">
        <f t="shared" si="1"/>
        <v>0</v>
      </c>
      <c r="D30" t="str">
        <f t="shared" si="0"/>
        <v/>
      </c>
      <c r="E30" t="s">
        <v>636</v>
      </c>
    </row>
    <row r="31" spans="3:5">
      <c r="C31">
        <f t="shared" si="1"/>
        <v>0</v>
      </c>
      <c r="D31" t="str">
        <f t="shared" si="0"/>
        <v/>
      </c>
      <c r="E31" t="s">
        <v>637</v>
      </c>
    </row>
    <row r="32" spans="3:5">
      <c r="C32">
        <f t="shared" si="1"/>
        <v>0</v>
      </c>
      <c r="D32" t="str">
        <f t="shared" si="0"/>
        <v/>
      </c>
      <c r="E32" t="s">
        <v>638</v>
      </c>
    </row>
    <row r="33" spans="3:5">
      <c r="C33">
        <f t="shared" si="1"/>
        <v>0</v>
      </c>
      <c r="D33" t="str">
        <f t="shared" ref="D33:D50" si="2">IF(ISERROR(VLOOKUP(E33,AllBlocks,1,AllBlocks)),"",VLOOKUP(E33,AllBlocks,1,AllBlocks))</f>
        <v/>
      </c>
      <c r="E33" t="s">
        <v>639</v>
      </c>
    </row>
    <row r="34" spans="3:5">
      <c r="C34">
        <f t="shared" si="1"/>
        <v>0</v>
      </c>
      <c r="D34" t="str">
        <f t="shared" si="2"/>
        <v/>
      </c>
      <c r="E34" t="s">
        <v>640</v>
      </c>
    </row>
    <row r="35" spans="3:5">
      <c r="C35">
        <f t="shared" si="1"/>
        <v>0</v>
      </c>
      <c r="D35" t="str">
        <f t="shared" si="2"/>
        <v/>
      </c>
      <c r="E35" t="s">
        <v>641</v>
      </c>
    </row>
    <row r="36" spans="3:5">
      <c r="C36">
        <f t="shared" si="1"/>
        <v>0</v>
      </c>
      <c r="D36" t="str">
        <f t="shared" si="2"/>
        <v/>
      </c>
      <c r="E36" t="s">
        <v>642</v>
      </c>
    </row>
    <row r="37" spans="3:5">
      <c r="C37">
        <f t="shared" si="1"/>
        <v>0</v>
      </c>
      <c r="D37" t="str">
        <f t="shared" si="2"/>
        <v/>
      </c>
      <c r="E37" t="s">
        <v>643</v>
      </c>
    </row>
    <row r="38" spans="3:5">
      <c r="C38">
        <f t="shared" si="1"/>
        <v>0</v>
      </c>
      <c r="D38" t="str">
        <f t="shared" si="2"/>
        <v/>
      </c>
      <c r="E38" t="s">
        <v>644</v>
      </c>
    </row>
    <row r="39" spans="3:5">
      <c r="C39">
        <f t="shared" si="1"/>
        <v>0</v>
      </c>
      <c r="D39" t="str">
        <f t="shared" si="2"/>
        <v/>
      </c>
      <c r="E39" t="s">
        <v>645</v>
      </c>
    </row>
    <row r="40" spans="3:5">
      <c r="C40">
        <f t="shared" si="1"/>
        <v>0</v>
      </c>
      <c r="D40" t="str">
        <f t="shared" si="2"/>
        <v/>
      </c>
      <c r="E40" t="s">
        <v>646</v>
      </c>
    </row>
    <row r="41" spans="3:5">
      <c r="C41">
        <f t="shared" si="1"/>
        <v>0</v>
      </c>
      <c r="D41" t="str">
        <f t="shared" si="2"/>
        <v/>
      </c>
      <c r="E41" t="s">
        <v>647</v>
      </c>
    </row>
    <row r="42" spans="3:5">
      <c r="C42">
        <f t="shared" si="1"/>
        <v>0</v>
      </c>
      <c r="D42" t="str">
        <f t="shared" si="2"/>
        <v/>
      </c>
      <c r="E42" t="s">
        <v>648</v>
      </c>
    </row>
    <row r="43" spans="3:5">
      <c r="C43">
        <f t="shared" si="1"/>
        <v>0</v>
      </c>
      <c r="D43" t="str">
        <f t="shared" si="2"/>
        <v/>
      </c>
      <c r="E43" t="s">
        <v>649</v>
      </c>
    </row>
    <row r="44" spans="3:5">
      <c r="C44">
        <f t="shared" si="1"/>
        <v>0</v>
      </c>
      <c r="D44" t="str">
        <f t="shared" si="2"/>
        <v/>
      </c>
      <c r="E44" t="s">
        <v>650</v>
      </c>
    </row>
    <row r="45" spans="3:5">
      <c r="C45">
        <f t="shared" si="1"/>
        <v>0</v>
      </c>
      <c r="D45" t="str">
        <f t="shared" si="2"/>
        <v/>
      </c>
      <c r="E45" t="s">
        <v>651</v>
      </c>
    </row>
    <row r="46" spans="3:5">
      <c r="C46">
        <f t="shared" si="1"/>
        <v>0</v>
      </c>
      <c r="D46" t="str">
        <f t="shared" si="2"/>
        <v/>
      </c>
      <c r="E46" t="s">
        <v>652</v>
      </c>
    </row>
    <row r="47" spans="3:5">
      <c r="C47">
        <f t="shared" si="1"/>
        <v>0</v>
      </c>
      <c r="D47" t="str">
        <f t="shared" si="2"/>
        <v/>
      </c>
      <c r="E47" t="s">
        <v>653</v>
      </c>
    </row>
    <row r="48" spans="3:5">
      <c r="C48">
        <f t="shared" si="1"/>
        <v>0</v>
      </c>
      <c r="D48" t="str">
        <f t="shared" si="2"/>
        <v/>
      </c>
      <c r="E48" t="s">
        <v>654</v>
      </c>
    </row>
    <row r="49" spans="3:5">
      <c r="C49">
        <f t="shared" si="1"/>
        <v>0</v>
      </c>
      <c r="D49" t="str">
        <f t="shared" si="2"/>
        <v/>
      </c>
      <c r="E49" t="s">
        <v>655</v>
      </c>
    </row>
    <row r="50" spans="3:5">
      <c r="C50">
        <f t="shared" si="1"/>
        <v>0</v>
      </c>
      <c r="D50" t="str">
        <f t="shared" si="2"/>
        <v/>
      </c>
      <c r="E50" t="s">
        <v>656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2"/>
  <sheetViews>
    <sheetView workbookViewId="0">
      <selection activeCell="B2" sqref="B2"/>
    </sheetView>
  </sheetViews>
  <sheetFormatPr defaultRowHeight="14.25"/>
  <cols>
    <col min="1" max="1" width="16.75" bestFit="1" customWidth="1"/>
    <col min="2" max="2" width="13.125" bestFit="1" customWidth="1"/>
  </cols>
  <sheetData>
    <row r="1" spans="1:2">
      <c r="A1" t="s">
        <v>770</v>
      </c>
    </row>
    <row r="2" spans="1:2">
      <c r="B2" s="13" t="s">
        <v>123</v>
      </c>
    </row>
    <row r="3" spans="1:2">
      <c r="B3" s="13" t="s">
        <v>124</v>
      </c>
    </row>
    <row r="4" spans="1:2">
      <c r="B4" s="13" t="s">
        <v>125</v>
      </c>
    </row>
    <row r="5" spans="1:2">
      <c r="B5" s="68" t="s">
        <v>772</v>
      </c>
    </row>
    <row r="6" spans="1:2">
      <c r="B6" s="68" t="s">
        <v>773</v>
      </c>
    </row>
    <row r="7" spans="1:2">
      <c r="B7" s="68" t="s">
        <v>774</v>
      </c>
    </row>
    <row r="8" spans="1:2">
      <c r="B8" s="68" t="s">
        <v>775</v>
      </c>
    </row>
    <row r="9" spans="1:2">
      <c r="B9" s="68" t="s">
        <v>776</v>
      </c>
    </row>
    <row r="10" spans="1:2">
      <c r="B10" s="68" t="s">
        <v>777</v>
      </c>
    </row>
    <row r="11" spans="1:2">
      <c r="B11" s="68" t="s">
        <v>778</v>
      </c>
    </row>
    <row r="12" spans="1:2">
      <c r="B12" s="68" t="s">
        <v>779</v>
      </c>
    </row>
    <row r="13" spans="1:2">
      <c r="B13" s="68" t="s">
        <v>780</v>
      </c>
    </row>
    <row r="14" spans="1:2">
      <c r="B14" s="68" t="s">
        <v>781</v>
      </c>
    </row>
    <row r="15" spans="1:2">
      <c r="B15" s="68" t="s">
        <v>782</v>
      </c>
    </row>
    <row r="16" spans="1:2">
      <c r="B16" s="68" t="s">
        <v>783</v>
      </c>
    </row>
    <row r="17" spans="2:2">
      <c r="B17" s="68" t="s">
        <v>784</v>
      </c>
    </row>
    <row r="18" spans="2:2">
      <c r="B18" s="68" t="s">
        <v>785</v>
      </c>
    </row>
    <row r="19" spans="2:2">
      <c r="B19" s="68" t="s">
        <v>786</v>
      </c>
    </row>
    <row r="20" spans="2:2">
      <c r="B20" s="68" t="s">
        <v>787</v>
      </c>
    </row>
    <row r="21" spans="2:2">
      <c r="B21" s="68" t="s">
        <v>788</v>
      </c>
    </row>
    <row r="22" spans="2:2">
      <c r="B22" s="68" t="s">
        <v>789</v>
      </c>
    </row>
    <row r="23" spans="2:2">
      <c r="B23" s="68" t="s">
        <v>790</v>
      </c>
    </row>
    <row r="24" spans="2:2">
      <c r="B24" s="68" t="s">
        <v>791</v>
      </c>
    </row>
    <row r="25" spans="2:2">
      <c r="B25" s="68" t="s">
        <v>792</v>
      </c>
    </row>
    <row r="26" spans="2:2">
      <c r="B26" s="68" t="s">
        <v>793</v>
      </c>
    </row>
    <row r="27" spans="2:2">
      <c r="B27" s="68" t="s">
        <v>794</v>
      </c>
    </row>
    <row r="28" spans="2:2">
      <c r="B28" s="68" t="s">
        <v>795</v>
      </c>
    </row>
    <row r="29" spans="2:2">
      <c r="B29" s="68" t="s">
        <v>796</v>
      </c>
    </row>
    <row r="30" spans="2:2">
      <c r="B30" s="68" t="s">
        <v>797</v>
      </c>
    </row>
    <row r="31" spans="2:2">
      <c r="B31" s="68" t="s">
        <v>798</v>
      </c>
    </row>
    <row r="32" spans="2:2">
      <c r="B32" s="68" t="s">
        <v>799</v>
      </c>
    </row>
    <row r="33" spans="2:2">
      <c r="B33" s="68" t="s">
        <v>800</v>
      </c>
    </row>
    <row r="34" spans="2:2">
      <c r="B34" s="68" t="s">
        <v>801</v>
      </c>
    </row>
    <row r="35" spans="2:2">
      <c r="B35" s="68" t="s">
        <v>802</v>
      </c>
    </row>
    <row r="36" spans="2:2">
      <c r="B36" s="68" t="s">
        <v>803</v>
      </c>
    </row>
    <row r="37" spans="2:2">
      <c r="B37" s="68" t="s">
        <v>804</v>
      </c>
    </row>
    <row r="38" spans="2:2">
      <c r="B38" s="68" t="s">
        <v>805</v>
      </c>
    </row>
    <row r="39" spans="2:2">
      <c r="B39" s="68" t="s">
        <v>806</v>
      </c>
    </row>
    <row r="40" spans="2:2">
      <c r="B40" s="68" t="s">
        <v>334</v>
      </c>
    </row>
    <row r="41" spans="2:2">
      <c r="B41" s="68" t="s">
        <v>807</v>
      </c>
    </row>
    <row r="42" spans="2:2">
      <c r="B42" s="68" t="s">
        <v>808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5</vt:i4>
      </vt:variant>
      <vt:variant>
        <vt:lpstr>טווחים בעלי שם</vt:lpstr>
      </vt:variant>
      <vt:variant>
        <vt:i4>190</vt:i4>
      </vt:variant>
    </vt:vector>
  </HeadingPairs>
  <TitlesOfParts>
    <vt:vector size="195" baseType="lpstr">
      <vt:lpstr>summary</vt:lpstr>
      <vt:lpstr>extractions</vt:lpstr>
      <vt:lpstr>chk1</vt:lpstr>
      <vt:lpstr>chk13</vt:lpstr>
      <vt:lpstr>chk17</vt:lpstr>
      <vt:lpstr>_chk1</vt:lpstr>
      <vt:lpstr>_chk10</vt:lpstr>
      <vt:lpstr>_chk11</vt:lpstr>
      <vt:lpstr>_chk12</vt:lpstr>
      <vt:lpstr>_chk13</vt:lpstr>
      <vt:lpstr>_chk14</vt:lpstr>
      <vt:lpstr>_chk15</vt:lpstr>
      <vt:lpstr>_chk16</vt:lpstr>
      <vt:lpstr>_chk17</vt:lpstr>
      <vt:lpstr>_chk18</vt:lpstr>
      <vt:lpstr>_chk2</vt:lpstr>
      <vt:lpstr>_chk3</vt:lpstr>
      <vt:lpstr>_chk4</vt:lpstr>
      <vt:lpstr>_chk5</vt:lpstr>
      <vt:lpstr>_chk6</vt:lpstr>
      <vt:lpstr>_chk7</vt:lpstr>
      <vt:lpstr>_chk8</vt:lpstr>
      <vt:lpstr>_chk9</vt:lpstr>
      <vt:lpstr>AllBlocks</vt:lpstr>
      <vt:lpstr>allowedLineTypes</vt:lpstr>
      <vt:lpstr>AnnotationSymbols</vt:lpstr>
      <vt:lpstr>AppDate</vt:lpstr>
      <vt:lpstr>Approved</vt:lpstr>
      <vt:lpstr>blockname</vt:lpstr>
      <vt:lpstr>building</vt:lpstr>
      <vt:lpstr>buildingNumberInTitle1</vt:lpstr>
      <vt:lpstr>CheckDate</vt:lpstr>
      <vt:lpstr>Checked</vt:lpstr>
      <vt:lpstr>chk10Summary</vt:lpstr>
      <vt:lpstr>chk11Summary</vt:lpstr>
      <vt:lpstr>chk12Summary</vt:lpstr>
      <vt:lpstr>chk13Summary</vt:lpstr>
      <vt:lpstr>chk14Summary</vt:lpstr>
      <vt:lpstr>chk15Summary</vt:lpstr>
      <vt:lpstr>chk16Summary</vt:lpstr>
      <vt:lpstr>chk17Summary</vt:lpstr>
      <vt:lpstr>chk18Summary</vt:lpstr>
      <vt:lpstr>chk1Summary</vt:lpstr>
      <vt:lpstr>chk2Layer</vt:lpstr>
      <vt:lpstr>chk2Summary</vt:lpstr>
      <vt:lpstr>chk3Summary</vt:lpstr>
      <vt:lpstr>chk4Summary</vt:lpstr>
      <vt:lpstr>chk5Summary</vt:lpstr>
      <vt:lpstr>chk6Summary</vt:lpstr>
      <vt:lpstr>chk7Summary</vt:lpstr>
      <vt:lpstr>chk8Summary</vt:lpstr>
      <vt:lpstr>chk9Summary</vt:lpstr>
      <vt:lpstr>copyarea</vt:lpstr>
      <vt:lpstr>CrossCheck</vt:lpstr>
      <vt:lpstr>CrsDate</vt:lpstr>
      <vt:lpstr>Date</vt:lpstr>
      <vt:lpstr>dimEntities</vt:lpstr>
      <vt:lpstr>dimScaleOk</vt:lpstr>
      <vt:lpstr>dimstyle</vt:lpstr>
      <vt:lpstr>DimStyleNames</vt:lpstr>
      <vt:lpstr>DimStyleScales</vt:lpstr>
      <vt:lpstr>discipline</vt:lpstr>
      <vt:lpstr>Drawn</vt:lpstr>
      <vt:lpstr>dwgchecked</vt:lpstr>
      <vt:lpstr>DwgDate</vt:lpstr>
      <vt:lpstr>dwgname</vt:lpstr>
      <vt:lpstr>DwgNum</vt:lpstr>
      <vt:lpstr>EngDate</vt:lpstr>
      <vt:lpstr>Engineer</vt:lpstr>
      <vt:lpstr>EqtCode</vt:lpstr>
      <vt:lpstr>expectedgridname</vt:lpstr>
      <vt:lpstr>expectedxreflayout</vt:lpstr>
      <vt:lpstr>File</vt:lpstr>
      <vt:lpstr>Fwr</vt:lpstr>
      <vt:lpstr>hasAnnotation</vt:lpstr>
      <vt:lpstr>hasBindError</vt:lpstr>
      <vt:lpstr>hasDollarError</vt:lpstr>
      <vt:lpstr>hasOriginProblem</vt:lpstr>
      <vt:lpstr>hasPathProblem</vt:lpstr>
      <vt:lpstr>hasTitleBlock</vt:lpstr>
      <vt:lpstr>IsCivil</vt:lpstr>
      <vt:lpstr>IsDetail</vt:lpstr>
      <vt:lpstr>isDetail1</vt:lpstr>
      <vt:lpstr>isDetail2</vt:lpstr>
      <vt:lpstr>isEightLetters</vt:lpstr>
      <vt:lpstr>IsElevation</vt:lpstr>
      <vt:lpstr>IsEnlarged</vt:lpstr>
      <vt:lpstr>isEnlargedView1</vt:lpstr>
      <vt:lpstr>isEnlargedView2</vt:lpstr>
      <vt:lpstr>IsLayout</vt:lpstr>
      <vt:lpstr>isPurged</vt:lpstr>
      <vt:lpstr>isRecordDrawing</vt:lpstr>
      <vt:lpstr>IsSection</vt:lpstr>
      <vt:lpstr>IsView</vt:lpstr>
      <vt:lpstr>layer0ents</vt:lpstr>
      <vt:lpstr>layer0model</vt:lpstr>
      <vt:lpstr>layer0paper</vt:lpstr>
      <vt:lpstr>layers</vt:lpstr>
      <vt:lpstr>layoutOrViewInTitle</vt:lpstr>
      <vt:lpstr>letter1legal</vt:lpstr>
      <vt:lpstr>levelInTitle</vt:lpstr>
      <vt:lpstr>linetype</vt:lpstr>
      <vt:lpstr>lineTypeError</vt:lpstr>
      <vt:lpstr>modelall</vt:lpstr>
      <vt:lpstr>modelblks</vt:lpstr>
      <vt:lpstr>modelcircles</vt:lpstr>
      <vt:lpstr>modellines</vt:lpstr>
      <vt:lpstr>modeltext</vt:lpstr>
      <vt:lpstr>NCAreas</vt:lpstr>
      <vt:lpstr>NCBuilding</vt:lpstr>
      <vt:lpstr>NCDetailsHighNum1</vt:lpstr>
      <vt:lpstr>NCDetailsHighNum2</vt:lpstr>
      <vt:lpstr>NCDetailsLowNum1</vt:lpstr>
      <vt:lpstr>NCDetailsLowNum2</vt:lpstr>
      <vt:lpstr>NCDisciplines</vt:lpstr>
      <vt:lpstr>NCElevationsHighNum</vt:lpstr>
      <vt:lpstr>NCElevationsLowNum</vt:lpstr>
      <vt:lpstr>NCEnlargedHighNum1</vt:lpstr>
      <vt:lpstr>NCEnlargedHighNum2</vt:lpstr>
      <vt:lpstr>NCEnlargedLowNum1</vt:lpstr>
      <vt:lpstr>NCEnlargedLowNum2</vt:lpstr>
      <vt:lpstr>NCLevels</vt:lpstr>
      <vt:lpstr>NCPlanKey</vt:lpstr>
      <vt:lpstr>NCSectionsHighNum</vt:lpstr>
      <vt:lpstr>NCSectionsLowNum</vt:lpstr>
      <vt:lpstr>NCSeries</vt:lpstr>
      <vt:lpstr>NCSpecial</vt:lpstr>
      <vt:lpstr>northarrowangle</vt:lpstr>
      <vt:lpstr>northarrowok</vt:lpstr>
      <vt:lpstr>northarrowqty</vt:lpstr>
      <vt:lpstr>OldNum</vt:lpstr>
      <vt:lpstr>oncorrectlayer</vt:lpstr>
      <vt:lpstr>originRange</vt:lpstr>
      <vt:lpstr>overallSectorInTitle</vt:lpstr>
      <vt:lpstr>paperall</vt:lpstr>
      <vt:lpstr>paperblks</vt:lpstr>
      <vt:lpstr>papercircles</vt:lpstr>
      <vt:lpstr>paperlines</vt:lpstr>
      <vt:lpstr>papertext</vt:lpstr>
      <vt:lpstr>pathRange</vt:lpstr>
      <vt:lpstr>PlaDate</vt:lpstr>
      <vt:lpstr>Planning</vt:lpstr>
      <vt:lpstr>PlotScale</vt:lpstr>
      <vt:lpstr>plotscaleok</vt:lpstr>
      <vt:lpstr>properXrefFound</vt:lpstr>
      <vt:lpstr>purge</vt:lpstr>
      <vt:lpstr>Rev</vt:lpstr>
      <vt:lpstr>RevDescriptions</vt:lpstr>
      <vt:lpstr>revisionline</vt:lpstr>
      <vt:lpstr>SafDate</vt:lpstr>
      <vt:lpstr>Safety</vt:lpstr>
      <vt:lpstr>Scale</vt:lpstr>
      <vt:lpstr>scaleformatok</vt:lpstr>
      <vt:lpstr>sector</vt:lpstr>
      <vt:lpstr>series</vt:lpstr>
      <vt:lpstr>SummaryNotes</vt:lpstr>
      <vt:lpstr>textEntity</vt:lpstr>
      <vt:lpstr>textHeightProblem</vt:lpstr>
      <vt:lpstr>textHeightRemainder</vt:lpstr>
      <vt:lpstr>textstyle</vt:lpstr>
      <vt:lpstr>thisdwg</vt:lpstr>
      <vt:lpstr>Title1</vt:lpstr>
      <vt:lpstr>title1proper</vt:lpstr>
      <vt:lpstr>Title2</vt:lpstr>
      <vt:lpstr>title2proper</vt:lpstr>
      <vt:lpstr>Title3</vt:lpstr>
      <vt:lpstr>title3proper</vt:lpstr>
      <vt:lpstr>Title4</vt:lpstr>
      <vt:lpstr>title4proper</vt:lpstr>
      <vt:lpstr>titleinmodel</vt:lpstr>
      <vt:lpstr>titleinpaper</vt:lpstr>
      <vt:lpstr>titleIsLayout</vt:lpstr>
      <vt:lpstr>titlelayer</vt:lpstr>
      <vt:lpstr>titleletter1</vt:lpstr>
      <vt:lpstr>titleletter2</vt:lpstr>
      <vt:lpstr>titleletter3</vt:lpstr>
      <vt:lpstr>titleletter4</vt:lpstr>
      <vt:lpstr>titleletter5</vt:lpstr>
      <vt:lpstr>titleletter6</vt:lpstr>
      <vt:lpstr>titleletter7</vt:lpstr>
      <vt:lpstr>titleletter78</vt:lpstr>
      <vt:lpstr>titleletter8</vt:lpstr>
      <vt:lpstr>titleletter9</vt:lpstr>
      <vt:lpstr>titleletters256</vt:lpstr>
      <vt:lpstr>titleletters34</vt:lpstr>
      <vt:lpstr>titleletters5678</vt:lpstr>
      <vt:lpstr>titleqtymodel</vt:lpstr>
      <vt:lpstr>titleqtypaper</vt:lpstr>
      <vt:lpstr>titleunique</vt:lpstr>
      <vt:lpstr>UniqueTitle</vt:lpstr>
      <vt:lpstr>Value5678</vt:lpstr>
      <vt:lpstr>xrefLetterTable</vt:lpstr>
      <vt:lpstr>XrefList</vt:lpstr>
      <vt:lpstr>xrefNameProper</vt:lpstr>
      <vt:lpstr>xrefnames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2012-05-06T07:58:17Z</dcterms:created>
  <dcterms:modified xsi:type="dcterms:W3CDTF">2012-07-17T12:50:15Z</dcterms:modified>
</cp:coreProperties>
</file>