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hidden" name="5050" sheetId="2" r:id="rId5"/>
  </sheets>
  <definedNames/>
  <calcPr/>
</workbook>
</file>

<file path=xl/sharedStrings.xml><?xml version="1.0" encoding="utf-8"?>
<sst xmlns="http://schemas.openxmlformats.org/spreadsheetml/2006/main" count="195" uniqueCount="83">
  <si>
    <t>https://etherscan.io/address/0x389442a68957a814ffeb43275b12493797e2866e#readContract</t>
  </si>
  <si>
    <t>HOPR Uniswap v3 Pool Simulation</t>
  </si>
  <si>
    <t>Suggested Uniswap v3 Liquidity</t>
  </si>
  <si>
    <t>Red cells are inputs</t>
  </si>
  <si>
    <t>Uni v3 Pool Setup — Limit Position</t>
  </si>
  <si>
    <t>Uni v3 Price Impact when Limit Position Active</t>
  </si>
  <si>
    <t>Liquidity Suggested</t>
  </si>
  <si>
    <t>Token 0: WETH</t>
  </si>
  <si>
    <t>Token 0 In / Token 1 Out (Sell)</t>
  </si>
  <si>
    <t>Limit Position</t>
  </si>
  <si>
    <t>WETH Liquidity (USD value)</t>
  </si>
  <si>
    <t>WETH swap</t>
  </si>
  <si>
    <t>HOPR</t>
  </si>
  <si>
    <t>WETH Price (USD value)</t>
  </si>
  <si>
    <t>In USD</t>
  </si>
  <si>
    <t>WETH</t>
  </si>
  <si>
    <t>Initial WETH (tokens amount)</t>
  </si>
  <si>
    <t>Pool Fees</t>
  </si>
  <si>
    <t>Token 1: HOPR</t>
  </si>
  <si>
    <t>Net WETH in</t>
  </si>
  <si>
    <t>Base Position</t>
  </si>
  <si>
    <t>HOPR Liquidity (USD Value)</t>
  </si>
  <si>
    <t>New Price</t>
  </si>
  <si>
    <t>USD per HOPR</t>
  </si>
  <si>
    <t>Price Impact</t>
  </si>
  <si>
    <t>Initial HOPR</t>
  </si>
  <si>
    <t>Price (Token 1 / Token 0)</t>
  </si>
  <si>
    <t>Token 1 In / Token 0 Out (Buy)</t>
  </si>
  <si>
    <t>Total</t>
  </si>
  <si>
    <t>HOPR per WETH</t>
  </si>
  <si>
    <t>HOPR swap</t>
  </si>
  <si>
    <t>WETH per HOPR</t>
  </si>
  <si>
    <t>Price Width (+/- %)</t>
  </si>
  <si>
    <t>Net HOPR in</t>
  </si>
  <si>
    <t>Uni v3 Liquidity to be added</t>
  </si>
  <si>
    <t>Lower Bound HOPR per WETH</t>
  </si>
  <si>
    <t>Upper Bound HOPR per WETH</t>
  </si>
  <si>
    <t>Tick Spacing</t>
  </si>
  <si>
    <t xml:space="preserve">Uni v3 Pool — Base Position </t>
  </si>
  <si>
    <t>Uni v3 Price Impact</t>
  </si>
  <si>
    <t>Position Details</t>
  </si>
  <si>
    <t>Lower Bound in ETH per WETH</t>
  </si>
  <si>
    <t>Lower Bound in USD</t>
  </si>
  <si>
    <t>Lower Bound in Ticks</t>
  </si>
  <si>
    <t>Ending Price</t>
  </si>
  <si>
    <t>Price Movement</t>
  </si>
  <si>
    <t>Upper Bound in ETH per WETH</t>
  </si>
  <si>
    <t>Price Impact (Estimate)</t>
  </si>
  <si>
    <t>Upper Bound in Ticks</t>
  </si>
  <si>
    <t>Lower Bound %</t>
  </si>
  <si>
    <t>Upper Bound %</t>
  </si>
  <si>
    <t>Token Composition Scenarios</t>
  </si>
  <si>
    <t>WETH USD Price</t>
  </si>
  <si>
    <t>WETH per ETH</t>
  </si>
  <si>
    <t>Amount WETH</t>
  </si>
  <si>
    <t>Amount ETH</t>
  </si>
  <si>
    <t>ETH %</t>
  </si>
  <si>
    <t>WETH %</t>
  </si>
  <si>
    <t>Total USD Value</t>
  </si>
  <si>
    <t>Uniswap Math — Limit Position</t>
  </si>
  <si>
    <t>L Top</t>
  </si>
  <si>
    <t>L Bottom</t>
  </si>
  <si>
    <t>Virtual Liquidity</t>
  </si>
  <si>
    <t>With Additional Pool Liquidity</t>
  </si>
  <si>
    <t>Initial Sqrt Price</t>
  </si>
  <si>
    <t>Token 0 In</t>
  </si>
  <si>
    <t>Value</t>
  </si>
  <si>
    <t>After Inverse</t>
  </si>
  <si>
    <t>Squared</t>
  </si>
  <si>
    <t>Token 1 In</t>
  </si>
  <si>
    <t>Uniswap v3 Math</t>
  </si>
  <si>
    <t>Full Range AMM Price Impact</t>
  </si>
  <si>
    <t>Initial WETH</t>
  </si>
  <si>
    <t>Constant K</t>
  </si>
  <si>
    <t>New WETH</t>
  </si>
  <si>
    <t>New HOPR</t>
  </si>
  <si>
    <t>WETH Uniswap v3 Pool Simulation</t>
  </si>
  <si>
    <t>Green cells are inputs</t>
  </si>
  <si>
    <t>WETH/ETH Uniswap v3 Pool Link</t>
  </si>
  <si>
    <t>Etherscan</t>
  </si>
  <si>
    <t>Uni v3 Pool Setup — Base Position</t>
  </si>
  <si>
    <t>Total Liquidity Suggested</t>
  </si>
  <si>
    <t>Uniswap Math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</si>
</sst>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&quot;$&quot;#,##0"/>
    <numFmt numFmtId="165" formatCode="&quot;$&quot;#,##0.00"/>
    <numFmt numFmtId="166" formatCode="&quot;$&quot;#,##0.000"/>
    <numFmt numFmtId="167" formatCode="#,##0.000"/>
    <numFmt numFmtId="168" formatCode="#,##0.0000000000"/>
    <numFmt numFmtId="169" formatCode="0.0000%"/>
    <numFmt numFmtId="170" formatCode="0.000"/>
    <numFmt numFmtId="171" formatCode="#,##0.00000000"/>
    <numFmt numFmtId="172" formatCode="#,##0.0000"/>
    <numFmt numFmtId="173" formatCode="#,##0.000000"/>
    <numFmt numFmtId="174" formatCode="&quot;$&quot;#,##0.00000"/>
    <numFmt numFmtId="175" formatCode="#,##0.000000000"/>
    <numFmt numFmtId="176" formatCode="#,##0.00000"/>
  </numFmts>
  <fonts count="25">
    <font>
      <sz val="10.0"/>
      <color rgb="FF000000"/>
      <name val="Arial"/>
      <scheme val="minor"/>
    </font>
    <font>
      <color theme="1"/>
      <name val="Rubik"/>
    </font>
    <font>
      <u/>
      <color rgb="FF0000FF"/>
      <name val="Rubik"/>
    </font>
    <font>
      <color theme="1"/>
      <name val="Arial"/>
    </font>
    <font>
      <b/>
      <sz val="14.0"/>
      <color rgb="FFFFFFFF"/>
      <name val="Rubik"/>
    </font>
    <font>
      <i/>
      <color theme="1"/>
      <name val="Rubik"/>
    </font>
    <font>
      <u/>
      <color rgb="FFFFFFFF"/>
      <name val="Rubik"/>
    </font>
    <font>
      <u/>
      <color rgb="FF1155CC"/>
      <name val="Rubik"/>
    </font>
    <font>
      <u/>
      <color rgb="FFFFFFFF"/>
      <name val="Rubik"/>
    </font>
    <font>
      <u/>
      <color rgb="FF1155CC"/>
      <name val="Roboto"/>
    </font>
    <font>
      <u/>
      <color rgb="FF1155CC"/>
      <name val="Rubik"/>
    </font>
    <font>
      <b/>
      <color rgb="FFFFFFFF"/>
      <name val="Rubik"/>
    </font>
    <font>
      <b/>
      <color theme="1"/>
      <name val="Rubik"/>
    </font>
    <font>
      <color rgb="FF000000"/>
      <name val="Rubik"/>
    </font>
    <font>
      <color theme="1"/>
      <name val="Arial"/>
      <scheme val="minor"/>
    </font>
    <font>
      <b/>
      <color theme="1"/>
      <name val="Arial"/>
      <scheme val="minor"/>
    </font>
    <font/>
    <font>
      <color rgb="FFFFFFFF"/>
      <name val="Arial"/>
    </font>
    <font>
      <color rgb="FF212529"/>
      <name val="&quot;Helvetica Neue&quot;"/>
    </font>
    <font>
      <b/>
      <sz val="14.0"/>
      <color rgb="FFFFFFFF"/>
      <name val="Arial"/>
    </font>
    <font>
      <u/>
      <color rgb="FFFFFFFF"/>
      <name val="Arial"/>
    </font>
    <font>
      <u/>
      <color rgb="FF1155CC"/>
      <name val="Arial"/>
    </font>
    <font>
      <u/>
      <color rgb="FFFFFFFF"/>
      <name val="Arial"/>
    </font>
    <font>
      <u/>
      <color rgb="FF1155CC"/>
      <name val="Arial"/>
    </font>
    <font>
      <color rgb="FF000000"/>
      <name val="Docs-Rubik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C1F250"/>
        <bgColor rgb="FFC1F250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center" readingOrder="0" vertical="bottom"/>
    </xf>
    <xf borderId="0" fillId="2" fontId="4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1" fillId="3" fontId="5" numFmtId="0" xfId="0" applyAlignment="1" applyBorder="1" applyFill="1" applyFont="1">
      <alignment vertical="bottom"/>
    </xf>
    <xf borderId="1" fillId="3" fontId="6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2" fillId="4" fontId="5" numFmtId="0" xfId="0" applyAlignment="1" applyBorder="1" applyFill="1" applyFont="1">
      <alignment readingOrder="0" vertical="bottom"/>
    </xf>
    <xf borderId="3" fillId="4" fontId="8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vertical="bottom"/>
    </xf>
    <xf borderId="0" fillId="5" fontId="9" numFmtId="0" xfId="0" applyAlignment="1" applyFill="1" applyFont="1">
      <alignment readingOrder="0"/>
    </xf>
    <xf borderId="4" fillId="6" fontId="10" numFmtId="0" xfId="0" applyAlignment="1" applyBorder="1" applyFill="1" applyFont="1">
      <alignment readingOrder="0" vertical="bottom"/>
    </xf>
    <xf borderId="0" fillId="2" fontId="11" numFmtId="0" xfId="0" applyAlignment="1" applyFont="1">
      <alignment horizontal="center" readingOrder="0" vertical="bottom"/>
    </xf>
    <xf borderId="0" fillId="6" fontId="12" numFmtId="0" xfId="0" applyAlignment="1" applyFont="1">
      <alignment readingOrder="0"/>
    </xf>
    <xf borderId="0" fillId="6" fontId="1" numFmtId="0" xfId="0" applyFont="1"/>
    <xf borderId="0" fillId="6" fontId="12" numFmtId="0" xfId="0" applyAlignment="1" applyFont="1">
      <alignment readingOrder="0" vertical="bottom"/>
    </xf>
    <xf borderId="0" fillId="6" fontId="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4" fontId="1" numFmtId="164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4" fontId="1" numFmtId="165" xfId="0" applyAlignment="1" applyFont="1" applyNumberForma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12" numFmtId="169" xfId="0" applyAlignment="1" applyFont="1" applyNumberFormat="1">
      <alignment horizontal="right" vertical="bottom"/>
    </xf>
    <xf borderId="0" fillId="0" fontId="1" numFmtId="170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3" fontId="1" numFmtId="0" xfId="0" applyAlignment="1" applyFont="1">
      <alignment readingOrder="0" vertical="bottom"/>
    </xf>
    <xf borderId="0" fillId="3" fontId="1" numFmtId="171" xfId="0" applyAlignment="1" applyFont="1" applyNumberFormat="1">
      <alignment horizontal="right" vertical="bottom"/>
    </xf>
    <xf borderId="0" fillId="4" fontId="1" numFmtId="4" xfId="0" applyAlignment="1" applyFont="1" applyNumberFormat="1">
      <alignment horizontal="right" vertical="bottom"/>
    </xf>
    <xf borderId="0" fillId="3" fontId="13" numFmtId="0" xfId="0" applyAlignment="1" applyFont="1">
      <alignment horizontal="left" readingOrder="0"/>
    </xf>
    <xf borderId="0" fillId="0" fontId="1" numFmtId="0" xfId="0" applyFont="1"/>
    <xf borderId="0" fillId="4" fontId="1" numFmtId="10" xfId="0" applyAlignment="1" applyFont="1" applyNumberFormat="1">
      <alignment readingOrder="0" vertical="bottom"/>
    </xf>
    <xf borderId="5" fillId="0" fontId="12" numFmtId="0" xfId="0" applyAlignment="1" applyBorder="1" applyFont="1">
      <alignment readingOrder="0" vertical="bottom"/>
    </xf>
    <xf borderId="5" fillId="0" fontId="12" numFmtId="164" xfId="0" applyAlignment="1" applyBorder="1" applyFont="1" applyNumberFormat="1">
      <alignment horizontal="right" vertical="bottom"/>
    </xf>
    <xf borderId="0" fillId="0" fontId="1" numFmtId="172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6" fontId="3" numFmtId="0" xfId="0" applyAlignment="1" applyFont="1">
      <alignment vertical="bottom"/>
    </xf>
    <xf borderId="5" fillId="6" fontId="12" numFmtId="0" xfId="0" applyAlignment="1" applyBorder="1" applyFont="1">
      <alignment vertical="bottom"/>
    </xf>
    <xf borderId="5" fillId="6" fontId="1" numFmtId="0" xfId="0" applyAlignment="1" applyBorder="1" applyFont="1">
      <alignment vertical="bottom"/>
    </xf>
    <xf borderId="0" fillId="4" fontId="1" numFmtId="4" xfId="0" applyAlignment="1" applyFont="1" applyNumberFormat="1">
      <alignment horizontal="right" readingOrder="0" vertical="bottom"/>
    </xf>
    <xf borderId="5" fillId="3" fontId="1" numFmtId="4" xfId="0" applyAlignment="1" applyBorder="1" applyFont="1" applyNumberFormat="1">
      <alignment readingOrder="0" shrinkToFit="0" vertical="bottom" wrapText="0"/>
    </xf>
    <xf borderId="5" fillId="3" fontId="1" numFmtId="4" xfId="0" applyAlignment="1" applyBorder="1" applyFont="1" applyNumberFormat="1">
      <alignment vertical="bottom"/>
    </xf>
    <xf borderId="5" fillId="0" fontId="1" numFmtId="0" xfId="0" applyAlignment="1" applyBorder="1" applyFont="1">
      <alignment readingOrder="0" vertical="bottom"/>
    </xf>
    <xf borderId="5" fillId="0" fontId="1" numFmtId="173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vertical="bottom"/>
    </xf>
    <xf borderId="5" fillId="0" fontId="1" numFmtId="166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horizontal="right" vertical="bottom"/>
    </xf>
    <xf borderId="0" fillId="7" fontId="1" numFmtId="174" xfId="0" applyAlignment="1" applyFill="1" applyFont="1" applyNumberFormat="1">
      <alignment horizontal="right" readingOrder="0" vertical="bottom"/>
    </xf>
    <xf borderId="0" fillId="0" fontId="1" numFmtId="169" xfId="0" applyAlignment="1" applyFont="1" applyNumberFormat="1">
      <alignment horizontal="right" vertical="bottom"/>
    </xf>
    <xf borderId="6" fillId="0" fontId="12" numFmtId="0" xfId="0" applyAlignment="1" applyBorder="1" applyFont="1">
      <alignment readingOrder="0" vertical="bottom"/>
    </xf>
    <xf borderId="7" fillId="0" fontId="12" numFmtId="169" xfId="0" applyAlignment="1" applyBorder="1" applyFont="1" applyNumberFormat="1">
      <alignment horizontal="right" vertical="bottom"/>
    </xf>
    <xf borderId="0" fillId="3" fontId="1" numFmtId="171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vertical="bottom"/>
    </xf>
    <xf borderId="0" fillId="7" fontId="1" numFmtId="0" xfId="0" applyAlignment="1" applyFont="1">
      <alignment horizontal="right" readingOrder="0" vertical="bottom"/>
    </xf>
    <xf borderId="0" fillId="3" fontId="1" numFmtId="4" xfId="0" applyAlignment="1" applyFont="1" applyNumberFormat="1">
      <alignment horizontal="right" readingOrder="0" vertical="bottom"/>
    </xf>
    <xf borderId="0" fillId="0" fontId="14" numFmtId="0" xfId="0" applyAlignment="1" applyFont="1">
      <alignment readingOrder="0"/>
    </xf>
    <xf borderId="0" fillId="4" fontId="1" numFmtId="10" xfId="0" applyAlignment="1" applyFont="1" applyNumberFormat="1">
      <alignment horizontal="right" readingOrder="0"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0" fontId="1" numFmtId="175" xfId="0" applyAlignment="1" applyFont="1" applyNumberFormat="1">
      <alignment horizontal="right" readingOrder="0" vertical="bottom"/>
    </xf>
    <xf borderId="0" fillId="0" fontId="1" numFmtId="175" xfId="0" applyAlignment="1" applyFont="1" applyNumberFormat="1">
      <alignment horizontal="right" vertical="bottom"/>
    </xf>
    <xf borderId="0" fillId="0" fontId="15" numFmtId="0" xfId="0" applyAlignment="1" applyFont="1">
      <alignment readingOrder="0"/>
    </xf>
    <xf borderId="8" fillId="2" fontId="11" numFmtId="0" xfId="0" applyAlignment="1" applyBorder="1" applyFont="1">
      <alignment horizontal="center" vertical="bottom"/>
    </xf>
    <xf borderId="9" fillId="0" fontId="16" numFmtId="0" xfId="0" applyBorder="1" applyFont="1"/>
    <xf borderId="10" fillId="0" fontId="16" numFmtId="0" xfId="0" applyBorder="1" applyFont="1"/>
    <xf borderId="0" fillId="6" fontId="12" numFmtId="0" xfId="0" applyAlignment="1" applyFont="1">
      <alignment horizontal="center" readingOrder="0" vertical="bottom"/>
    </xf>
    <xf borderId="0" fillId="6" fontId="12" numFmtId="0" xfId="0" applyAlignment="1" applyFont="1">
      <alignment horizontal="center" vertical="bottom"/>
    </xf>
    <xf borderId="0" fillId="0" fontId="1" numFmtId="166" xfId="0" applyAlignment="1" applyFont="1" applyNumberFormat="1">
      <alignment horizontal="right" vertical="bottom"/>
    </xf>
    <xf borderId="0" fillId="0" fontId="1" numFmtId="176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2" fontId="11" numFmtId="0" xfId="0" applyAlignment="1" applyFont="1">
      <alignment readingOrder="0" vertical="bottom"/>
    </xf>
    <xf borderId="0" fillId="2" fontId="17" numFmtId="0" xfId="0" applyAlignment="1" applyFont="1">
      <alignment vertical="bottom"/>
    </xf>
    <xf borderId="0" fillId="6" fontId="1" numFmtId="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6" fontId="14" numFmtId="0" xfId="0" applyFont="1"/>
    <xf borderId="0" fillId="6" fontId="14" numFmtId="4" xfId="0" applyFont="1" applyNumberFormat="1"/>
    <xf borderId="0" fillId="6" fontId="1" numFmtId="4" xfId="0" applyAlignment="1" applyFont="1" applyNumberFormat="1">
      <alignment vertical="bottom"/>
    </xf>
    <xf borderId="0" fillId="6" fontId="14" numFmtId="0" xfId="0" applyAlignment="1" applyFont="1">
      <alignment readingOrder="0"/>
    </xf>
    <xf borderId="0" fillId="6" fontId="3" numFmtId="4" xfId="0" applyAlignment="1" applyFont="1" applyNumberFormat="1">
      <alignment vertical="bottom"/>
    </xf>
    <xf borderId="0" fillId="3" fontId="18" numFmtId="0" xfId="0" applyAlignment="1" applyFont="1">
      <alignment horizontal="left" readingOrder="0"/>
    </xf>
    <xf borderId="0" fillId="2" fontId="3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6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6" fillId="2" fontId="19" numFmtId="0" xfId="0" applyAlignment="1" applyBorder="1" applyFont="1">
      <alignment horizontal="center" readingOrder="0" vertical="bottom"/>
    </xf>
    <xf borderId="11" fillId="0" fontId="16" numFmtId="0" xfId="0" applyBorder="1" applyFont="1"/>
    <xf borderId="6" fillId="3" fontId="5" numFmtId="0" xfId="0" applyAlignment="1" applyBorder="1" applyFont="1">
      <alignment vertical="bottom"/>
    </xf>
    <xf borderId="6" fillId="3" fontId="20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vertical="bottom"/>
    </xf>
    <xf borderId="12" fillId="0" fontId="21" numFmtId="0" xfId="0" applyAlignment="1" applyBorder="1" applyFont="1">
      <alignment readingOrder="0" vertical="bottom"/>
    </xf>
    <xf borderId="12" fillId="0" fontId="3" numFmtId="0" xfId="0" applyAlignment="1" applyBorder="1" applyFont="1">
      <alignment vertical="bottom"/>
    </xf>
    <xf borderId="5" fillId="8" fontId="5" numFmtId="0" xfId="0" applyAlignment="1" applyBorder="1" applyFill="1" applyFont="1">
      <alignment vertical="bottom"/>
    </xf>
    <xf borderId="5" fillId="8" fontId="22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vertical="bottom"/>
    </xf>
    <xf borderId="13" fillId="6" fontId="23" numFmtId="0" xfId="0" applyAlignment="1" applyBorder="1" applyFont="1">
      <alignment readingOrder="0" vertical="bottom"/>
    </xf>
    <xf borderId="0" fillId="2" fontId="11" numFmtId="0" xfId="0" applyAlignment="1" applyFont="1">
      <alignment horizontal="center" vertical="bottom"/>
    </xf>
    <xf borderId="0" fillId="8" fontId="1" numFmtId="164" xfId="0" applyAlignment="1" applyFont="1" applyNumberFormat="1">
      <alignment horizontal="right" readingOrder="0" vertical="bottom"/>
    </xf>
    <xf borderId="0" fillId="8" fontId="1" numFmtId="4" xfId="0" applyAlignment="1" applyFont="1" applyNumberFormat="1">
      <alignment horizontal="right" readingOrder="0" vertical="bottom"/>
    </xf>
    <xf borderId="0" fillId="8" fontId="1" numFmtId="166" xfId="0" applyAlignment="1" applyFont="1" applyNumberFormat="1">
      <alignment horizontal="right" readingOrder="0" vertical="bottom"/>
    </xf>
    <xf borderId="0" fillId="8" fontId="1" numFmtId="165" xfId="0" applyAlignment="1" applyFont="1" applyNumberFormat="1">
      <alignment horizontal="right" readingOrder="0" vertical="bottom"/>
    </xf>
    <xf borderId="0" fillId="8" fontId="1" numFmtId="171" xfId="0" applyAlignment="1" applyFont="1" applyNumberFormat="1">
      <alignment horizontal="right" vertical="bottom"/>
    </xf>
    <xf borderId="0" fillId="3" fontId="24" numFmtId="0" xfId="0" applyAlignment="1" applyFont="1">
      <alignment horizontal="left" readingOrder="0"/>
    </xf>
    <xf borderId="0" fillId="8" fontId="1" numFmtId="10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533400</xdr:rowOff>
    </xdr:from>
    <xdr:ext cx="1228725" cy="295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0</xdr:row>
      <xdr:rowOff>152400</xdr:rowOff>
    </xdr:from>
    <xdr:ext cx="781050" cy="190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419100</xdr:colOff>
      <xdr:row>0</xdr:row>
      <xdr:rowOff>104775</xdr:rowOff>
    </xdr:from>
    <xdr:ext cx="781050" cy="2762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therscan.io/address/0x389442a68957a814ffeb43275b12493797e2866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nfo.uniswap.org/" TargetMode="External"/><Relationship Id="rId2" Type="http://schemas.openxmlformats.org/officeDocument/2006/relationships/hyperlink" Target="https://etherscan.io/address/0xea5b14e31019a1b26d16196cddb4850189d6fd9c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4.25"/>
    <col customWidth="1" min="2" max="2" width="37.88"/>
    <col customWidth="1" min="3" max="3" width="19.75"/>
    <col customWidth="1" min="4" max="4" width="13.13"/>
    <col customWidth="1" min="5" max="5" width="31.25"/>
    <col customWidth="1" min="6" max="6" width="19.63"/>
    <col customWidth="1" min="7" max="7" width="7.38"/>
    <col customWidth="1" hidden="1" min="8" max="8" width="26.75"/>
    <col customWidth="1" hidden="1" min="9" max="9" width="13.25"/>
  </cols>
  <sheetData>
    <row r="1" ht="69.75" customHeight="1">
      <c r="A1" s="1"/>
      <c r="B1" s="2"/>
      <c r="C1" s="2"/>
      <c r="D1" s="2"/>
      <c r="E1" s="2"/>
      <c r="F1" s="3" t="s">
        <v>0</v>
      </c>
      <c r="G1" s="2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/>
      <c r="B2" s="5" t="s">
        <v>1</v>
      </c>
      <c r="G2" s="2"/>
      <c r="H2" s="6" t="s">
        <v>2</v>
      </c>
      <c r="I2" s="7"/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/>
      <c r="B3" s="8"/>
      <c r="C3" s="9"/>
      <c r="D3" s="2"/>
      <c r="E3" s="10"/>
      <c r="F3" s="11"/>
      <c r="G3" s="2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ollapsed="1">
      <c r="A4" s="2"/>
      <c r="B4" s="12" t="s">
        <v>3</v>
      </c>
      <c r="C4" s="13"/>
      <c r="D4" s="14"/>
      <c r="E4" s="15"/>
      <c r="F4" s="16"/>
      <c r="G4" s="2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idden="1" outlineLevel="1">
      <c r="A5" s="2"/>
      <c r="B5" s="17" t="s">
        <v>4</v>
      </c>
      <c r="D5" s="2"/>
      <c r="E5" s="17" t="s">
        <v>5</v>
      </c>
      <c r="G5" s="2"/>
      <c r="H5" s="17" t="s">
        <v>6</v>
      </c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idden="1" outlineLevel="1">
      <c r="A6" s="2"/>
      <c r="B6" s="18" t="s">
        <v>7</v>
      </c>
      <c r="C6" s="19"/>
      <c r="D6" s="2"/>
      <c r="E6" s="20" t="s">
        <v>8</v>
      </c>
      <c r="F6" s="21"/>
      <c r="G6" s="2"/>
      <c r="H6" s="22" t="s">
        <v>9</v>
      </c>
      <c r="I6" s="2"/>
      <c r="J6" s="2"/>
      <c r="K6" s="2"/>
      <c r="L6" s="2"/>
      <c r="M6" s="2"/>
      <c r="N6" s="2"/>
      <c r="O6" s="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idden="1" outlineLevel="1">
      <c r="A7" s="2"/>
      <c r="B7" s="1" t="s">
        <v>10</v>
      </c>
      <c r="C7" s="23">
        <v>500000.0</v>
      </c>
      <c r="D7" s="2"/>
      <c r="E7" s="1" t="s">
        <v>11</v>
      </c>
      <c r="F7" s="24">
        <f>F15*C12/C8</f>
        <v>101490.2095</v>
      </c>
      <c r="G7" s="1"/>
      <c r="H7" s="1" t="s">
        <v>12</v>
      </c>
      <c r="I7" s="25">
        <v>0.0</v>
      </c>
      <c r="J7" s="2"/>
      <c r="K7" s="2"/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idden="1" outlineLevel="1">
      <c r="A8" s="2"/>
      <c r="B8" s="1" t="s">
        <v>13</v>
      </c>
      <c r="C8" s="26">
        <f>C12/C16</f>
        <v>0.4023048154</v>
      </c>
      <c r="D8" s="2"/>
      <c r="E8" s="2" t="s">
        <v>14</v>
      </c>
      <c r="F8" s="24">
        <f>F7*C8</f>
        <v>40830</v>
      </c>
      <c r="G8" s="2"/>
      <c r="H8" s="1" t="s">
        <v>15</v>
      </c>
      <c r="I8" s="27">
        <f>C7/C8</f>
        <v>1242838.715</v>
      </c>
      <c r="J8" s="2"/>
      <c r="K8" s="2"/>
      <c r="L8" s="2"/>
      <c r="M8" s="2"/>
      <c r="N8" s="2"/>
      <c r="O8" s="2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idden="1" outlineLevel="1">
      <c r="A9" s="2"/>
      <c r="B9" s="1" t="s">
        <v>16</v>
      </c>
      <c r="C9" s="28">
        <f>C7/C8</f>
        <v>1242838.715</v>
      </c>
      <c r="D9" s="2"/>
      <c r="E9" s="2" t="s">
        <v>17</v>
      </c>
      <c r="F9" s="29">
        <v>0.003</v>
      </c>
      <c r="G9" s="2"/>
      <c r="H9" s="2"/>
      <c r="I9" s="2"/>
      <c r="J9" s="2"/>
      <c r="K9" s="2"/>
      <c r="L9" s="2"/>
      <c r="M9" s="2"/>
      <c r="N9" s="2"/>
      <c r="O9" s="2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idden="1" outlineLevel="1">
      <c r="A10" s="2"/>
      <c r="B10" s="18" t="s">
        <v>18</v>
      </c>
      <c r="C10" s="19"/>
      <c r="D10" s="2"/>
      <c r="E10" s="1" t="s">
        <v>19</v>
      </c>
      <c r="F10" s="30">
        <f>F7*(1-F9)</f>
        <v>101185.7389</v>
      </c>
      <c r="G10" s="2"/>
      <c r="H10" s="22" t="s">
        <v>20</v>
      </c>
      <c r="I10" s="2"/>
      <c r="J10" s="2"/>
      <c r="K10" s="2"/>
      <c r="L10" s="2"/>
      <c r="M10" s="2"/>
      <c r="N10" s="2"/>
      <c r="O10" s="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idden="1" outlineLevel="1">
      <c r="A11" s="2"/>
      <c r="B11" s="1" t="s">
        <v>21</v>
      </c>
      <c r="C11" s="23">
        <v>0.0</v>
      </c>
      <c r="D11" s="2"/>
      <c r="E11" s="2" t="s">
        <v>22</v>
      </c>
      <c r="F11" s="31">
        <f>C71</f>
        <v>0.00009399541158</v>
      </c>
      <c r="G11" s="2"/>
      <c r="H11" s="1" t="s">
        <v>12</v>
      </c>
      <c r="I11" s="27">
        <f>C33</f>
        <v>41741243.15</v>
      </c>
      <c r="J11" s="2"/>
      <c r="K11" s="2"/>
      <c r="L11" s="2"/>
      <c r="M11" s="2"/>
      <c r="N11" s="2"/>
      <c r="O11" s="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idden="1" outlineLevel="1">
      <c r="A12" s="2"/>
      <c r="B12" s="1" t="s">
        <v>23</v>
      </c>
      <c r="C12" s="32">
        <v>4083.0</v>
      </c>
      <c r="D12" s="2"/>
      <c r="E12" s="33" t="s">
        <v>24</v>
      </c>
      <c r="F12" s="34">
        <f>F11/C15-1</f>
        <v>-0.04603859871</v>
      </c>
      <c r="G12" s="2"/>
      <c r="H12" s="1" t="s">
        <v>15</v>
      </c>
      <c r="I12" s="27">
        <f>C29</f>
        <v>1878.287002</v>
      </c>
      <c r="J12" s="2"/>
      <c r="K12" s="2"/>
      <c r="L12" s="2"/>
      <c r="M12" s="2"/>
      <c r="N12" s="2"/>
      <c r="O12" s="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idden="1" outlineLevel="1">
      <c r="B13" s="1" t="s">
        <v>25</v>
      </c>
      <c r="C13" s="35">
        <f>C11/C12</f>
        <v>0</v>
      </c>
      <c r="D13" s="2"/>
      <c r="E13" s="2"/>
      <c r="F13" s="25"/>
      <c r="G13" s="2"/>
      <c r="H13" s="22"/>
      <c r="I13" s="36"/>
      <c r="J13" s="2"/>
      <c r="K13" s="2"/>
      <c r="L13" s="2"/>
      <c r="M13" s="2"/>
      <c r="N13" s="2"/>
      <c r="O13" s="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idden="1" outlineLevel="1">
      <c r="A14" s="2"/>
      <c r="B14" s="18" t="s">
        <v>26</v>
      </c>
      <c r="C14" s="19"/>
      <c r="D14" s="2"/>
      <c r="E14" s="20" t="s">
        <v>27</v>
      </c>
      <c r="F14" s="21"/>
      <c r="G14" s="2"/>
      <c r="H14" s="22" t="s">
        <v>28</v>
      </c>
      <c r="I14" s="36"/>
      <c r="J14" s="2"/>
      <c r="K14" s="2"/>
      <c r="L14" s="2"/>
      <c r="M14" s="2"/>
      <c r="N14" s="2"/>
      <c r="O14" s="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idden="1" outlineLevel="1">
      <c r="A15" s="2"/>
      <c r="B15" s="37" t="s">
        <v>29</v>
      </c>
      <c r="C15" s="38">
        <f>((7.86443467299135E+26/power(2,96))^2)</f>
        <v>0.00009853167167</v>
      </c>
      <c r="D15" s="2"/>
      <c r="E15" s="1" t="s">
        <v>30</v>
      </c>
      <c r="F15" s="39">
        <v>10.0</v>
      </c>
      <c r="G15" s="2"/>
      <c r="H15" s="1" t="s">
        <v>12</v>
      </c>
      <c r="I15" s="27">
        <f t="shared" ref="I15:I16" si="1">I7+I11</f>
        <v>41741243.15</v>
      </c>
      <c r="J15" s="2"/>
      <c r="K15" s="2"/>
      <c r="L15" s="2"/>
      <c r="M15" s="2"/>
      <c r="N15" s="2"/>
      <c r="O15" s="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idden="1" outlineLevel="1">
      <c r="A16" s="2"/>
      <c r="B16" s="40" t="s">
        <v>31</v>
      </c>
      <c r="C16" s="25">
        <f>1/C15</f>
        <v>10149.02095</v>
      </c>
      <c r="D16" s="2"/>
      <c r="E16" s="2" t="s">
        <v>14</v>
      </c>
      <c r="F16" s="24">
        <f>F15*C12</f>
        <v>40830</v>
      </c>
      <c r="G16" s="41"/>
      <c r="H16" s="1" t="s">
        <v>15</v>
      </c>
      <c r="I16" s="27">
        <f t="shared" si="1"/>
        <v>1244717.002</v>
      </c>
      <c r="J16" s="2"/>
      <c r="K16" s="2"/>
      <c r="L16" s="2"/>
      <c r="M16" s="2"/>
      <c r="N16" s="2"/>
      <c r="O16" s="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idden="1" outlineLevel="1">
      <c r="A17" s="2"/>
      <c r="B17" s="2"/>
      <c r="C17" s="2"/>
      <c r="D17" s="2"/>
      <c r="E17" s="2" t="s">
        <v>17</v>
      </c>
      <c r="F17" s="29">
        <v>0.003</v>
      </c>
      <c r="G17" s="41"/>
      <c r="H17" s="2"/>
      <c r="I17" s="2"/>
      <c r="J17" s="2"/>
      <c r="K17" s="2"/>
      <c r="L17" s="2"/>
      <c r="M17" s="2"/>
      <c r="N17" s="2"/>
      <c r="O17" s="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idden="1" outlineLevel="1">
      <c r="A18" s="2"/>
      <c r="B18" s="2" t="s">
        <v>32</v>
      </c>
      <c r="C18" s="42">
        <v>1.0</v>
      </c>
      <c r="D18" s="2"/>
      <c r="E18" s="1" t="s">
        <v>33</v>
      </c>
      <c r="F18" s="30">
        <f>F15*(1-F17)</f>
        <v>9.97</v>
      </c>
      <c r="G18" s="41"/>
      <c r="H18" s="43" t="s">
        <v>34</v>
      </c>
      <c r="I18" s="44">
        <f>(I7+I15)*C12+(I8+I12)*C8</f>
        <v>170429996543</v>
      </c>
      <c r="J18" s="2"/>
      <c r="K18" s="2"/>
      <c r="L18" s="2"/>
      <c r="M18" s="2"/>
      <c r="N18" s="2"/>
      <c r="O18" s="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idden="1" outlineLevel="1">
      <c r="A19" s="2"/>
      <c r="B19" s="1" t="s">
        <v>35</v>
      </c>
      <c r="C19" s="45">
        <f>C15*(1.0000001)</f>
        <v>0.00009853168153</v>
      </c>
      <c r="D19" s="2"/>
      <c r="E19" s="2" t="s">
        <v>22</v>
      </c>
      <c r="F19" s="31">
        <f>C75</f>
        <v>0.0001032868537</v>
      </c>
      <c r="G19" s="2"/>
      <c r="H19" s="2"/>
      <c r="I19" s="2"/>
      <c r="J19" s="2"/>
      <c r="K19" s="2"/>
      <c r="L19" s="2"/>
      <c r="M19" s="2"/>
      <c r="N19" s="2"/>
      <c r="O19" s="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idden="1" outlineLevel="1">
      <c r="A20" s="2"/>
      <c r="B20" s="1" t="s">
        <v>36</v>
      </c>
      <c r="C20" s="45">
        <f>C15*(1+C18)</f>
        <v>0.0001970633433</v>
      </c>
      <c r="D20" s="2"/>
      <c r="E20" s="33" t="s">
        <v>24</v>
      </c>
      <c r="F20" s="34">
        <f>F19/C15-1</f>
        <v>0.04826044183</v>
      </c>
      <c r="G20" s="2"/>
      <c r="H20" s="2"/>
      <c r="I20" s="2"/>
      <c r="J20" s="2"/>
      <c r="K20" s="2"/>
      <c r="L20" s="2"/>
      <c r="M20" s="2"/>
      <c r="N20" s="2"/>
      <c r="O20" s="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idden="1" outlineLevel="1">
      <c r="A21" s="2"/>
      <c r="B21" s="41"/>
      <c r="C21" s="41"/>
      <c r="D21" s="2"/>
      <c r="E21" s="46" t="s">
        <v>37</v>
      </c>
      <c r="F21" s="46">
        <v>60.0</v>
      </c>
      <c r="G21" s="41"/>
      <c r="H21" s="2"/>
      <c r="I21" s="2"/>
      <c r="J21" s="2"/>
      <c r="K21" s="2"/>
      <c r="L21" s="2"/>
      <c r="M21" s="2"/>
      <c r="N21" s="2"/>
      <c r="O21" s="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idden="1" outlineLevel="1">
      <c r="A22" s="2"/>
      <c r="B22" s="41"/>
      <c r="C22" s="41"/>
      <c r="D22" s="2"/>
      <c r="E22" s="41"/>
      <c r="F22" s="41"/>
      <c r="G22" s="41"/>
      <c r="H22" s="2"/>
      <c r="I22" s="2"/>
      <c r="J22" s="2"/>
      <c r="K22" s="2"/>
      <c r="L22" s="2"/>
      <c r="M22" s="2"/>
      <c r="N22" s="2"/>
      <c r="O22" s="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idden="1" outlineLevel="1">
      <c r="A23" s="2"/>
      <c r="D23" s="2"/>
      <c r="E23" s="41"/>
      <c r="F23" s="41"/>
      <c r="G23" s="41"/>
      <c r="H23" s="2"/>
      <c r="I23" s="2"/>
      <c r="J23" s="2"/>
      <c r="K23" s="2"/>
      <c r="L23" s="2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idden="1" outlineLevel="1">
      <c r="A24" s="2"/>
      <c r="B24" s="2"/>
      <c r="C24" s="2"/>
      <c r="D24" s="2"/>
      <c r="E24" s="41"/>
      <c r="F24" s="41"/>
      <c r="G24" s="2"/>
      <c r="H24" s="2"/>
      <c r="I24" s="2"/>
      <c r="J24" s="2"/>
      <c r="K24" s="2"/>
      <c r="L24" s="2"/>
      <c r="M24" s="2"/>
      <c r="N24" s="2"/>
      <c r="O24" s="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17" t="s">
        <v>38</v>
      </c>
      <c r="D25" s="2"/>
      <c r="E25" s="17" t="s">
        <v>39</v>
      </c>
      <c r="G25" s="2"/>
      <c r="H25" s="17" t="s">
        <v>40</v>
      </c>
      <c r="J25" s="2"/>
      <c r="K25" s="2"/>
      <c r="L25" s="2"/>
      <c r="M25" s="2"/>
      <c r="N25" s="2"/>
      <c r="O25" s="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18" t="s">
        <v>7</v>
      </c>
      <c r="C26" s="19"/>
      <c r="D26" s="2"/>
      <c r="E26" s="20" t="s">
        <v>8</v>
      </c>
      <c r="F26" s="47"/>
      <c r="G26" s="41"/>
      <c r="H26" s="48" t="s">
        <v>20</v>
      </c>
      <c r="I26" s="49"/>
      <c r="J26" s="2"/>
      <c r="K26" s="2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1" t="s">
        <v>10</v>
      </c>
      <c r="C27" s="23">
        <v>2500000.0</v>
      </c>
      <c r="D27" s="2"/>
      <c r="E27" s="1" t="s">
        <v>11</v>
      </c>
      <c r="F27" s="50">
        <v>10.0</v>
      </c>
      <c r="G27" s="1"/>
      <c r="H27" s="51"/>
      <c r="I27" s="52"/>
      <c r="J27" s="2"/>
      <c r="K27" s="2"/>
      <c r="L27" s="2"/>
      <c r="M27" s="2"/>
      <c r="N27" s="2"/>
      <c r="O27" s="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1" t="s">
        <v>13</v>
      </c>
      <c r="C28" s="23">
        <v>1331.0</v>
      </c>
      <c r="D28" s="2"/>
      <c r="E28" s="2" t="s">
        <v>14</v>
      </c>
      <c r="F28" s="24">
        <f>F27*C28</f>
        <v>13310</v>
      </c>
      <c r="G28" s="41"/>
      <c r="H28" s="53" t="s">
        <v>41</v>
      </c>
      <c r="I28" s="54">
        <f>C41</f>
        <v>2222.303785</v>
      </c>
      <c r="J28" s="2"/>
      <c r="K28" s="2"/>
      <c r="L28" s="2"/>
      <c r="M28" s="2"/>
      <c r="N28" s="2"/>
      <c r="O28" s="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1" t="s">
        <v>16</v>
      </c>
      <c r="C29" s="28">
        <f>C27/C28</f>
        <v>1878.287002</v>
      </c>
      <c r="D29" s="2"/>
      <c r="E29" s="2" t="s">
        <v>17</v>
      </c>
      <c r="F29" s="29">
        <v>0.003</v>
      </c>
      <c r="G29" s="2"/>
      <c r="H29" s="55" t="s">
        <v>42</v>
      </c>
      <c r="I29" s="56">
        <f>I28*C32</f>
        <v>133.1</v>
      </c>
      <c r="J29" s="1"/>
      <c r="K29" s="2"/>
      <c r="L29" s="2"/>
      <c r="M29" s="2"/>
      <c r="N29" s="2"/>
      <c r="O29" s="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18" t="s">
        <v>18</v>
      </c>
      <c r="C30" s="19"/>
      <c r="D30" s="2"/>
      <c r="E30" s="1" t="s">
        <v>19</v>
      </c>
      <c r="F30" s="30">
        <f>F27*(1-F29)</f>
        <v>9.97</v>
      </c>
      <c r="G30" s="2"/>
      <c r="H30" s="55" t="s">
        <v>43</v>
      </c>
      <c r="I30" s="57">
        <f>round(log(I28,1.0001)/$F$21,0)*$F$21</f>
        <v>77040</v>
      </c>
      <c r="J30" s="2"/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1" t="s">
        <v>21</v>
      </c>
      <c r="C31" s="23">
        <v>2500000.0</v>
      </c>
      <c r="D31" s="2"/>
      <c r="E31" s="1" t="s">
        <v>44</v>
      </c>
      <c r="F31" s="24">
        <f>C87</f>
        <v>22062.59563</v>
      </c>
      <c r="G31" s="2"/>
      <c r="H31" s="55"/>
      <c r="I31" s="55"/>
      <c r="J31" s="2"/>
      <c r="K31" s="2"/>
      <c r="L31" s="2"/>
      <c r="M31" s="2"/>
      <c r="N31" s="2"/>
      <c r="O31" s="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1" t="s">
        <v>23</v>
      </c>
      <c r="C32" s="58">
        <f>C28/C36</f>
        <v>0.05989280173</v>
      </c>
      <c r="D32" s="2"/>
      <c r="E32" s="1" t="s">
        <v>45</v>
      </c>
      <c r="F32" s="59">
        <f>F31/C36-1</f>
        <v>-0.007219635288</v>
      </c>
      <c r="G32" s="2"/>
      <c r="H32" s="53" t="s">
        <v>46</v>
      </c>
      <c r="I32" s="54">
        <f>C42</f>
        <v>222230.3785</v>
      </c>
      <c r="J32" s="2"/>
      <c r="K32" s="2"/>
      <c r="L32" s="2"/>
      <c r="M32" s="2"/>
      <c r="N32" s="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1" t="s">
        <v>25</v>
      </c>
      <c r="C33" s="28">
        <f>C31/C32</f>
        <v>41741243.15</v>
      </c>
      <c r="D33" s="2"/>
      <c r="E33" s="60" t="s">
        <v>47</v>
      </c>
      <c r="F33" s="61">
        <f>F32/2</f>
        <v>-0.003609817644</v>
      </c>
      <c r="G33" s="2"/>
      <c r="H33" s="55" t="s">
        <v>42</v>
      </c>
      <c r="I33" s="56">
        <f>C32*I32</f>
        <v>13310</v>
      </c>
      <c r="J33" s="2"/>
      <c r="K33" s="2"/>
      <c r="L33" s="2"/>
      <c r="M33" s="2"/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18" t="s">
        <v>26</v>
      </c>
      <c r="C34" s="19"/>
      <c r="D34" s="2"/>
      <c r="G34" s="2"/>
      <c r="H34" s="55" t="s">
        <v>48</v>
      </c>
      <c r="I34" s="57">
        <f>round(log(I32,1.0001)/$F$21,0)*$F$21</f>
        <v>123120</v>
      </c>
      <c r="J34" s="2"/>
      <c r="K34" s="2"/>
      <c r="L34" s="2"/>
      <c r="M34" s="2"/>
      <c r="N34" s="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37" t="s">
        <v>31</v>
      </c>
      <c r="C35" s="62">
        <f>1/C36</f>
        <v>0.00004499834841</v>
      </c>
      <c r="D35" s="2"/>
      <c r="E35" s="20" t="s">
        <v>27</v>
      </c>
      <c r="F35" s="47"/>
      <c r="G35" s="2"/>
      <c r="H35" s="63"/>
      <c r="I35" s="63"/>
      <c r="J35" s="2"/>
      <c r="K35" s="2"/>
      <c r="L35" s="2"/>
      <c r="M35" s="2"/>
      <c r="N35" s="2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0" t="s">
        <v>29</v>
      </c>
      <c r="C36" s="64">
        <f>((1.18108538843665E+31/power(2,96))^2)</f>
        <v>22223.03785</v>
      </c>
      <c r="D36" s="2"/>
      <c r="E36" s="1" t="s">
        <v>30</v>
      </c>
      <c r="F36" s="65">
        <f>F27*C28/C32</f>
        <v>222230.3785</v>
      </c>
      <c r="G36" s="2"/>
      <c r="J36" s="2"/>
      <c r="K36" s="2"/>
      <c r="L36" s="2"/>
      <c r="M36" s="2"/>
      <c r="N36" s="2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2"/>
      <c r="C37" s="2"/>
      <c r="D37" s="2"/>
      <c r="E37" s="2" t="s">
        <v>14</v>
      </c>
      <c r="F37" s="24">
        <f>F36*C32</f>
        <v>13310</v>
      </c>
      <c r="G37" s="2"/>
      <c r="J37" s="2"/>
      <c r="K37" s="2"/>
      <c r="L37" s="2"/>
      <c r="M37" s="2"/>
      <c r="N37" s="2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18" t="s">
        <v>32</v>
      </c>
      <c r="C38" s="19"/>
      <c r="D38" s="2"/>
      <c r="E38" s="2" t="s">
        <v>17</v>
      </c>
      <c r="F38" s="29">
        <v>0.003</v>
      </c>
      <c r="G38" s="2"/>
      <c r="J38" s="2"/>
      <c r="K38" s="2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66" t="s">
        <v>49</v>
      </c>
      <c r="C39" s="67">
        <v>0.1</v>
      </c>
      <c r="D39" s="2"/>
      <c r="E39" s="1" t="s">
        <v>33</v>
      </c>
      <c r="F39" s="30">
        <f>F36*(1-F38)</f>
        <v>221563.6874</v>
      </c>
      <c r="G39" s="2"/>
      <c r="J39" s="2"/>
      <c r="K39" s="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66" t="s">
        <v>50</v>
      </c>
      <c r="C40" s="67">
        <f>1/C39</f>
        <v>10</v>
      </c>
      <c r="D40" s="2"/>
      <c r="E40" s="1" t="s">
        <v>44</v>
      </c>
      <c r="F40" s="24">
        <f>C91</f>
        <v>22384.64684</v>
      </c>
      <c r="G40" s="2"/>
      <c r="J40" s="68"/>
      <c r="K40" s="69"/>
      <c r="L40" s="70"/>
      <c r="M40" s="70"/>
      <c r="N40" s="70"/>
      <c r="O40" s="70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1" t="s">
        <v>35</v>
      </c>
      <c r="C41" s="71">
        <f>C39*C36</f>
        <v>2222.303785</v>
      </c>
      <c r="D41" s="2"/>
      <c r="E41" s="1" t="s">
        <v>45</v>
      </c>
      <c r="F41" s="59">
        <f>F40/C36-1</f>
        <v>0.007272137468</v>
      </c>
      <c r="G41" s="2"/>
      <c r="J41" s="2"/>
      <c r="K41" s="2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1" t="s">
        <v>36</v>
      </c>
      <c r="C42" s="72">
        <f>C40*C36</f>
        <v>222230.3785</v>
      </c>
      <c r="D42" s="2"/>
      <c r="E42" s="60" t="s">
        <v>47</v>
      </c>
      <c r="F42" s="61">
        <f>F41/2</f>
        <v>0.003636068734</v>
      </c>
      <c r="G42" s="2"/>
      <c r="J42" s="2"/>
      <c r="K42" s="2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2"/>
      <c r="C43" s="2"/>
      <c r="D43" s="2"/>
      <c r="G43" s="2"/>
      <c r="J43" s="2"/>
      <c r="K43" s="2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ollapsed="1">
      <c r="A44" s="4"/>
      <c r="B44" s="2"/>
      <c r="C44" s="2"/>
      <c r="D44" s="2"/>
      <c r="E44" s="73"/>
      <c r="G44" s="2"/>
      <c r="J44" s="2"/>
      <c r="K44" s="2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idden="1" outlineLevel="1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idden="1" outlineLevel="1">
      <c r="A46" s="4"/>
      <c r="B46" s="2"/>
      <c r="C46" s="2"/>
      <c r="D46" s="2"/>
      <c r="E46" s="41"/>
      <c r="F46" s="41"/>
      <c r="G46" s="2"/>
      <c r="H46" s="2"/>
      <c r="I46" s="2"/>
      <c r="J46" s="2"/>
      <c r="K46" s="2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idden="1" outlineLevel="1">
      <c r="A47" s="4"/>
      <c r="B47" s="74" t="s">
        <v>51</v>
      </c>
      <c r="C47" s="75"/>
      <c r="D47" s="75"/>
      <c r="E47" s="75"/>
      <c r="F47" s="75"/>
      <c r="G47" s="75"/>
      <c r="H47" s="76"/>
      <c r="I47" s="2"/>
      <c r="J47" s="2"/>
      <c r="K47" s="2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idden="1" outlineLevel="1">
      <c r="A48" s="4"/>
      <c r="B48" s="77" t="s">
        <v>52</v>
      </c>
      <c r="C48" s="77" t="s">
        <v>53</v>
      </c>
      <c r="D48" s="77" t="s">
        <v>54</v>
      </c>
      <c r="E48" s="78" t="s">
        <v>55</v>
      </c>
      <c r="F48" s="78" t="s">
        <v>56</v>
      </c>
      <c r="G48" s="77" t="s">
        <v>57</v>
      </c>
      <c r="H48" s="78" t="s">
        <v>58</v>
      </c>
      <c r="I48" s="2"/>
      <c r="J48" s="2"/>
      <c r="K48" s="2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idden="1" outlineLevel="1">
      <c r="A49" s="4"/>
      <c r="B49" s="79">
        <f t="shared" ref="B49:B55" si="2">C49*$C$12</f>
        <v>0.4023048154</v>
      </c>
      <c r="C49" s="80">
        <f>C15</f>
        <v>0.00009853167167</v>
      </c>
      <c r="D49" s="27">
        <f t="shared" ref="D49:D55" si="3">MAX($C$63*(SQRT($C$20)-SQRT(C49))/(SQRT($C$20)*SQRT(C49)),0)</f>
        <v>1242838.715</v>
      </c>
      <c r="E49" s="27">
        <f t="shared" ref="E49:E55" si="4">$C$63*(SQRT(C49)-SQRT($C$19))</f>
        <v>-0.00002090505439</v>
      </c>
      <c r="F49" s="81">
        <f t="shared" ref="F49:F55" si="5">E49*$C$12/H49</f>
        <v>-0.0000001707107033</v>
      </c>
      <c r="G49" s="81">
        <f t="shared" ref="G49:G55" si="6">D49*B49/H49</f>
        <v>1.000000171</v>
      </c>
      <c r="H49" s="82">
        <f t="shared" ref="H49:H55" si="7">D49*B49+E49*$C$12</f>
        <v>499999.9146</v>
      </c>
      <c r="I49" s="2"/>
      <c r="J49" s="2"/>
      <c r="K49" s="2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idden="1" outlineLevel="1">
      <c r="A50" s="4"/>
      <c r="B50" s="79">
        <f t="shared" si="2"/>
        <v>0.4224200562</v>
      </c>
      <c r="C50" s="80">
        <f t="shared" ref="C50:C55" si="8">C49*1.05</f>
        <v>0.0001034582553</v>
      </c>
      <c r="D50" s="27">
        <f t="shared" si="3"/>
        <v>1140575.09</v>
      </c>
      <c r="E50" s="27">
        <f t="shared" si="4"/>
        <v>10.32501772</v>
      </c>
      <c r="F50" s="81">
        <f t="shared" si="5"/>
        <v>0.08045870031</v>
      </c>
      <c r="G50" s="81">
        <f t="shared" si="6"/>
        <v>0.9195412997</v>
      </c>
      <c r="H50" s="82">
        <f t="shared" si="7"/>
        <v>523958.841</v>
      </c>
      <c r="I50" s="2"/>
      <c r="J50" s="2"/>
      <c r="K50" s="2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idden="1" outlineLevel="1">
      <c r="A51" s="4"/>
      <c r="B51" s="79">
        <f t="shared" si="2"/>
        <v>0.443541059</v>
      </c>
      <c r="C51" s="80">
        <f t="shared" si="8"/>
        <v>0.000108631168</v>
      </c>
      <c r="D51" s="27">
        <f t="shared" si="3"/>
        <v>1040776.011</v>
      </c>
      <c r="E51" s="27">
        <f t="shared" si="4"/>
        <v>20.90503397</v>
      </c>
      <c r="F51" s="81">
        <f t="shared" si="5"/>
        <v>0.1560476042</v>
      </c>
      <c r="G51" s="81">
        <f t="shared" si="6"/>
        <v>0.8439523958</v>
      </c>
      <c r="H51" s="82">
        <f t="shared" si="7"/>
        <v>546982.1477</v>
      </c>
      <c r="I51" s="2"/>
      <c r="J51" s="2"/>
      <c r="K51" s="2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idden="1" outlineLevel="1">
      <c r="A52" s="4"/>
      <c r="B52" s="79">
        <f t="shared" si="2"/>
        <v>0.465718112</v>
      </c>
      <c r="C52" s="80">
        <f t="shared" si="8"/>
        <v>0.0001140627264</v>
      </c>
      <c r="D52" s="27">
        <f t="shared" si="3"/>
        <v>943382.0818</v>
      </c>
      <c r="E52" s="27">
        <f t="shared" si="4"/>
        <v>31.74632453</v>
      </c>
      <c r="F52" s="81">
        <f t="shared" si="5"/>
        <v>0.2278154558</v>
      </c>
      <c r="G52" s="81">
        <f t="shared" si="6"/>
        <v>0.7721845442</v>
      </c>
      <c r="H52" s="82">
        <f t="shared" si="7"/>
        <v>568970.3651</v>
      </c>
      <c r="I52" s="2"/>
      <c r="J52" s="2"/>
      <c r="K52" s="2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idden="1" outlineLevel="1">
      <c r="A53" s="4"/>
      <c r="B53" s="79">
        <f t="shared" si="2"/>
        <v>0.4890040176</v>
      </c>
      <c r="C53" s="80">
        <f t="shared" si="8"/>
        <v>0.0001197658627</v>
      </c>
      <c r="D53" s="27">
        <f t="shared" si="3"/>
        <v>848335.3396</v>
      </c>
      <c r="E53" s="27">
        <f t="shared" si="4"/>
        <v>42.85534159</v>
      </c>
      <c r="F53" s="81">
        <f t="shared" si="5"/>
        <v>0.2966651309</v>
      </c>
      <c r="G53" s="81">
        <f t="shared" si="6"/>
        <v>0.7033348691</v>
      </c>
      <c r="H53" s="82">
        <f t="shared" si="7"/>
        <v>589817.749</v>
      </c>
      <c r="I53" s="2"/>
      <c r="J53" s="2"/>
      <c r="K53" s="2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idden="1" outlineLevel="1">
      <c r="A54" s="4"/>
      <c r="B54" s="79">
        <f t="shared" si="2"/>
        <v>0.5134542185</v>
      </c>
      <c r="C54" s="80">
        <f t="shared" si="8"/>
        <v>0.0001257541559</v>
      </c>
      <c r="D54" s="27">
        <f t="shared" si="3"/>
        <v>755579.2169</v>
      </c>
      <c r="E54" s="27">
        <f t="shared" si="4"/>
        <v>54.23869668</v>
      </c>
      <c r="F54" s="81">
        <f t="shared" si="5"/>
        <v>0.3633939309</v>
      </c>
      <c r="G54" s="81">
        <f t="shared" si="6"/>
        <v>0.6366060691</v>
      </c>
      <c r="H54" s="82">
        <f t="shared" si="7"/>
        <v>609411.9348</v>
      </c>
      <c r="I54" s="2"/>
      <c r="J54" s="2"/>
      <c r="K54" s="2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idden="1" outlineLevel="1">
      <c r="A55" s="4"/>
      <c r="B55" s="79">
        <f t="shared" si="2"/>
        <v>0.5391269294</v>
      </c>
      <c r="C55" s="80">
        <f t="shared" si="8"/>
        <v>0.0001320418637</v>
      </c>
      <c r="D55" s="27">
        <f t="shared" si="3"/>
        <v>665058.51</v>
      </c>
      <c r="E55" s="27">
        <f t="shared" si="4"/>
        <v>65.90316459</v>
      </c>
      <c r="F55" s="81">
        <f t="shared" si="5"/>
        <v>0.4287256649</v>
      </c>
      <c r="G55" s="81">
        <f t="shared" si="6"/>
        <v>0.5712743351</v>
      </c>
      <c r="H55" s="82">
        <f t="shared" si="7"/>
        <v>627633.5734</v>
      </c>
      <c r="I55" s="2"/>
      <c r="J55" s="2"/>
      <c r="K55" s="2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idden="1" outlineLevel="1">
      <c r="A56" s="4"/>
      <c r="B56" s="4"/>
      <c r="C56" s="4"/>
      <c r="D56" s="2"/>
      <c r="G56" s="2"/>
      <c r="H56" s="2"/>
      <c r="I56" s="2"/>
      <c r="J56" s="2"/>
      <c r="K56" s="2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idden="1" outlineLevel="1">
      <c r="A57" s="4"/>
      <c r="B57" s="4"/>
      <c r="C57" s="4"/>
      <c r="D57" s="2"/>
      <c r="G57" s="2"/>
      <c r="H57" s="2"/>
      <c r="I57" s="2"/>
      <c r="J57" s="2"/>
      <c r="K57" s="2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idden="1" outlineLevel="1">
      <c r="A58" s="4"/>
      <c r="B58" s="4"/>
      <c r="C58" s="4"/>
      <c r="D58" s="2"/>
      <c r="G58" s="2"/>
      <c r="H58" s="4"/>
      <c r="I58" s="4"/>
      <c r="J58" s="2"/>
      <c r="K58" s="2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idden="1" outlineLevel="1">
      <c r="A59" s="4"/>
      <c r="B59" s="83" t="s">
        <v>59</v>
      </c>
      <c r="C59" s="84"/>
      <c r="D59" s="2"/>
      <c r="G59" s="2"/>
      <c r="H59" s="4"/>
      <c r="I59" s="4"/>
      <c r="J59" s="2"/>
      <c r="K59" s="2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idden="1" outlineLevel="1">
      <c r="A60" s="4"/>
      <c r="B60" s="21" t="s">
        <v>60</v>
      </c>
      <c r="C60" s="85">
        <f>C9*(sqrt(C15)*sqrt(C20)/(sqrt(C20)-sqrt(C15)))</f>
        <v>42120.48682</v>
      </c>
      <c r="D60" s="2"/>
      <c r="G60" s="4"/>
      <c r="H60" s="4"/>
      <c r="I60" s="4"/>
      <c r="J60" s="2"/>
      <c r="K60" s="2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idden="1" outlineLevel="1">
      <c r="A61" s="4"/>
      <c r="B61" s="21" t="s">
        <v>61</v>
      </c>
      <c r="C61" s="85">
        <f>C13/(sqrt(C15)-sqrt(C19))</f>
        <v>0</v>
      </c>
      <c r="D61" s="2"/>
      <c r="G61" s="4"/>
      <c r="H61" s="4"/>
      <c r="I61" s="4"/>
      <c r="J61" s="2"/>
      <c r="K61" s="2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idden="1" outlineLevel="1">
      <c r="A62" s="4"/>
      <c r="B62" s="21" t="s">
        <v>62</v>
      </c>
      <c r="C62" s="85">
        <f>if(C15&lt;=C19,C60,if(C15&lt;=C20,min(C60:C61),C61))</f>
        <v>42120.48682</v>
      </c>
      <c r="D62" s="2"/>
      <c r="G62" s="4"/>
      <c r="H62" s="4"/>
      <c r="I62" s="86"/>
      <c r="J62" s="2"/>
      <c r="K62" s="2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idden="1" outlineLevel="1">
      <c r="A63" s="4"/>
      <c r="B63" s="21" t="s">
        <v>63</v>
      </c>
      <c r="C63" s="85">
        <f>C62</f>
        <v>42120.48682</v>
      </c>
      <c r="D63" s="2"/>
      <c r="G63" s="4"/>
      <c r="H63" s="87"/>
      <c r="I63" s="86"/>
      <c r="J63" s="2"/>
      <c r="K63" s="2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idden="1" outlineLevel="1">
      <c r="A64" s="4"/>
      <c r="B64" s="88"/>
      <c r="C64" s="89"/>
      <c r="D64" s="4"/>
      <c r="G64" s="4"/>
      <c r="H64" s="4"/>
      <c r="I64" s="86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idden="1" outlineLevel="1">
      <c r="A65" s="4"/>
      <c r="B65" s="88"/>
      <c r="C65" s="89"/>
      <c r="D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idden="1" outlineLevel="1">
      <c r="A66" s="4"/>
      <c r="B66" s="21" t="s">
        <v>64</v>
      </c>
      <c r="C66" s="90">
        <f>sqrt($C$15)</f>
        <v>0.009926312088</v>
      </c>
      <c r="D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idden="1" outlineLevel="1">
      <c r="A67" s="4"/>
      <c r="B67" s="21"/>
      <c r="C67" s="90"/>
      <c r="D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idden="1" outlineLevel="1">
      <c r="A68" s="4"/>
      <c r="B68" s="91" t="s">
        <v>65</v>
      </c>
      <c r="C68" s="88"/>
      <c r="D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idden="1" outlineLevel="1">
      <c r="A69" s="4"/>
      <c r="B69" s="21" t="s">
        <v>66</v>
      </c>
      <c r="C69" s="85">
        <f>F10/C63+1/C66</f>
        <v>103.1446421</v>
      </c>
      <c r="D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idden="1" outlineLevel="1">
      <c r="A70" s="4"/>
      <c r="B70" s="21" t="s">
        <v>67</v>
      </c>
      <c r="C70" s="85">
        <f>1/C69</f>
        <v>0.009695123082</v>
      </c>
      <c r="D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idden="1" outlineLevel="1">
      <c r="A71" s="4"/>
      <c r="B71" s="21" t="s">
        <v>68</v>
      </c>
      <c r="C71" s="90">
        <f>C70^2</f>
        <v>0.00009399541158</v>
      </c>
      <c r="D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idden="1" outlineLevel="1">
      <c r="A72" s="4"/>
      <c r="B72" s="47"/>
      <c r="C72" s="92"/>
      <c r="D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idden="1" outlineLevel="1">
      <c r="A73" s="4"/>
      <c r="B73" s="91" t="s">
        <v>69</v>
      </c>
      <c r="C73" s="89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idden="1" outlineLevel="1">
      <c r="A74" s="4"/>
      <c r="B74" s="21" t="s">
        <v>66</v>
      </c>
      <c r="C74" s="85">
        <f>F18/C63+C66</f>
        <v>0.01016301401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idden="1" outlineLevel="1">
      <c r="A75" s="4"/>
      <c r="B75" s="21" t="s">
        <v>68</v>
      </c>
      <c r="C75" s="90">
        <f>C74^2</f>
        <v>0.0001032868537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idden="1" outlineLevel="1">
      <c r="A76" s="4"/>
      <c r="B76" s="4"/>
      <c r="C76" s="9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idden="1" outlineLevel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D78" s="4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83" t="s">
        <v>70</v>
      </c>
      <c r="C79" s="94"/>
      <c r="D79" s="4"/>
      <c r="E79" s="17" t="s">
        <v>71</v>
      </c>
      <c r="G79" s="70"/>
      <c r="H79" s="70"/>
      <c r="I79" s="70"/>
      <c r="J79" s="70"/>
      <c r="K79" s="70"/>
      <c r="L79" s="70"/>
      <c r="M79" s="70"/>
      <c r="N79" s="70"/>
      <c r="O79" s="70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21" t="s">
        <v>60</v>
      </c>
      <c r="C80" s="85">
        <f>C29*(sqrt(C36)*sqrt(C42)/(sqrt(C42)-sqrt(C36)))</f>
        <v>409498.3959</v>
      </c>
      <c r="D80" s="4"/>
      <c r="E80" s="95" t="s">
        <v>8</v>
      </c>
      <c r="F80" s="47"/>
      <c r="G80" s="70"/>
      <c r="H80" s="70"/>
      <c r="I80" s="70"/>
      <c r="J80" s="70"/>
      <c r="K80" s="70"/>
      <c r="L80" s="70"/>
      <c r="M80" s="70"/>
      <c r="N80" s="70"/>
      <c r="O80" s="70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21" t="s">
        <v>61</v>
      </c>
      <c r="C81" s="85">
        <f>C33/(sqrt(C42)-sqrt(C41))</f>
        <v>98383.24814</v>
      </c>
      <c r="D81" s="4"/>
      <c r="E81" s="1" t="s">
        <v>11</v>
      </c>
      <c r="F81" s="39">
        <f>F95*C32/C28</f>
        <v>10</v>
      </c>
      <c r="G81" s="70"/>
      <c r="H81" s="70"/>
      <c r="I81" s="70"/>
      <c r="J81" s="70"/>
      <c r="K81" s="70"/>
      <c r="L81" s="70"/>
      <c r="M81" s="70"/>
      <c r="N81" s="70"/>
      <c r="O81" s="70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96" t="s">
        <v>62</v>
      </c>
      <c r="C82" s="85">
        <f>if(C35&lt;=C41,C80,if(C35&lt;=C42,min(C80:C81),C81))</f>
        <v>409498.3959</v>
      </c>
      <c r="D82" s="4"/>
      <c r="E82" s="2" t="s">
        <v>14</v>
      </c>
      <c r="F82" s="24">
        <f>F81*C28</f>
        <v>13310</v>
      </c>
      <c r="G82" s="70"/>
      <c r="H82" s="70"/>
      <c r="I82" s="70"/>
      <c r="J82" s="70"/>
      <c r="K82" s="70"/>
      <c r="L82" s="70"/>
      <c r="M82" s="70"/>
      <c r="N82" s="70"/>
      <c r="O82" s="70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21" t="s">
        <v>64</v>
      </c>
      <c r="C83" s="85">
        <f>sqrt($C$36)</f>
        <v>149.0739342</v>
      </c>
      <c r="D83" s="4"/>
      <c r="E83" s="2" t="s">
        <v>17</v>
      </c>
      <c r="F83" s="29">
        <v>0.003</v>
      </c>
      <c r="G83" s="70"/>
      <c r="H83" s="70"/>
      <c r="I83" s="70"/>
      <c r="J83" s="70"/>
      <c r="K83" s="70"/>
      <c r="L83" s="70"/>
      <c r="M83" s="70"/>
      <c r="N83" s="70"/>
      <c r="O83" s="70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7" t="s">
        <v>65</v>
      </c>
      <c r="C84" s="47"/>
      <c r="D84" s="4"/>
      <c r="E84" s="1" t="s">
        <v>19</v>
      </c>
      <c r="F84" s="30">
        <f>F81*(1-F83)</f>
        <v>9.97</v>
      </c>
      <c r="G84" s="70"/>
      <c r="H84" s="70"/>
      <c r="I84" s="70"/>
      <c r="J84" s="70"/>
      <c r="K84" s="70"/>
      <c r="L84" s="70"/>
      <c r="M84" s="70"/>
      <c r="N84" s="70"/>
      <c r="O84" s="70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21" t="s">
        <v>66</v>
      </c>
      <c r="C85" s="85">
        <f>F30/C82+1/C83</f>
        <v>0.006732427689</v>
      </c>
      <c r="D85" s="4"/>
      <c r="E85" s="1" t="s">
        <v>72</v>
      </c>
      <c r="F85" s="30">
        <f>C29</f>
        <v>1878.287002</v>
      </c>
      <c r="G85" s="70"/>
      <c r="H85" s="70"/>
      <c r="I85" s="70"/>
      <c r="J85" s="70"/>
      <c r="K85" s="70"/>
      <c r="L85" s="70"/>
      <c r="M85" s="70"/>
      <c r="N85" s="70"/>
      <c r="O85" s="70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21" t="s">
        <v>67</v>
      </c>
      <c r="C86" s="85">
        <f>1/C85</f>
        <v>148.5348297</v>
      </c>
      <c r="D86" s="4"/>
      <c r="E86" s="1" t="s">
        <v>25</v>
      </c>
      <c r="F86" s="30">
        <f>C33</f>
        <v>41741243.15</v>
      </c>
      <c r="G86" s="70"/>
      <c r="H86" s="70"/>
      <c r="I86" s="70"/>
      <c r="J86" s="70"/>
      <c r="K86" s="70"/>
      <c r="L86" s="70"/>
      <c r="M86" s="70"/>
      <c r="N86" s="70"/>
      <c r="O86" s="70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21" t="s">
        <v>68</v>
      </c>
      <c r="C87" s="85">
        <f>C86^2</f>
        <v>22062.59563</v>
      </c>
      <c r="D87" s="4"/>
      <c r="E87" s="97" t="s">
        <v>73</v>
      </c>
      <c r="F87" s="30">
        <f>F85*F86</f>
        <v>78402034469</v>
      </c>
      <c r="G87" s="70"/>
      <c r="H87" s="70"/>
      <c r="I87" s="70"/>
      <c r="J87" s="70"/>
      <c r="K87" s="70"/>
      <c r="L87" s="70"/>
      <c r="M87" s="70"/>
      <c r="N87" s="70"/>
      <c r="O87" s="70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7"/>
      <c r="C88" s="92"/>
      <c r="D88" s="4"/>
      <c r="E88" s="1" t="s">
        <v>74</v>
      </c>
      <c r="F88" s="30">
        <f>F85+F84</f>
        <v>1888.257002</v>
      </c>
      <c r="G88" s="70"/>
      <c r="H88" s="70"/>
      <c r="I88" s="70"/>
      <c r="J88" s="70"/>
      <c r="K88" s="70"/>
      <c r="L88" s="70"/>
      <c r="M88" s="70"/>
      <c r="N88" s="70"/>
      <c r="O88" s="70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7" t="s">
        <v>69</v>
      </c>
      <c r="C89" s="92"/>
      <c r="D89" s="4"/>
      <c r="E89" s="1" t="s">
        <v>75</v>
      </c>
      <c r="F89" s="30">
        <f>F87/F88</f>
        <v>41520849.32</v>
      </c>
      <c r="G89" s="70"/>
      <c r="H89" s="70"/>
      <c r="I89" s="70"/>
      <c r="J89" s="70"/>
      <c r="K89" s="70"/>
      <c r="L89" s="70"/>
      <c r="M89" s="70"/>
      <c r="N89" s="70"/>
      <c r="O89" s="70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21" t="s">
        <v>66</v>
      </c>
      <c r="C90" s="85">
        <f>F39/C82+C83</f>
        <v>149.6149954</v>
      </c>
      <c r="D90" s="4"/>
      <c r="E90" s="97" t="s">
        <v>44</v>
      </c>
      <c r="F90" s="31">
        <f>F89/F88</f>
        <v>21988.98205</v>
      </c>
      <c r="G90" s="70"/>
      <c r="H90" s="70"/>
      <c r="I90" s="70"/>
      <c r="J90" s="70"/>
      <c r="K90" s="70"/>
      <c r="L90" s="70"/>
      <c r="M90" s="70"/>
      <c r="N90" s="70"/>
      <c r="O90" s="70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21" t="s">
        <v>68</v>
      </c>
      <c r="C91" s="85">
        <f>C90^2</f>
        <v>22384.64684</v>
      </c>
      <c r="D91" s="4"/>
      <c r="E91" s="1" t="s">
        <v>45</v>
      </c>
      <c r="F91" s="59">
        <f>F90/C36-1</f>
        <v>-0.01053212479</v>
      </c>
      <c r="G91" s="70"/>
      <c r="H91" s="70"/>
      <c r="I91" s="70"/>
      <c r="J91" s="68"/>
      <c r="K91" s="70"/>
      <c r="L91" s="70"/>
      <c r="M91" s="70"/>
      <c r="N91" s="70"/>
      <c r="O91" s="70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60" t="s">
        <v>47</v>
      </c>
      <c r="F92" s="61">
        <f>F91/2</f>
        <v>-0.005266062395</v>
      </c>
      <c r="G92" s="70"/>
      <c r="H92" s="70"/>
      <c r="I92" s="70"/>
      <c r="J92" s="70"/>
      <c r="K92" s="70"/>
      <c r="L92" s="70"/>
      <c r="M92" s="70"/>
      <c r="N92" s="70"/>
      <c r="O92" s="70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G93" s="70"/>
      <c r="H93" s="70"/>
      <c r="I93" s="70"/>
      <c r="J93" s="70"/>
      <c r="K93" s="70"/>
      <c r="L93" s="70"/>
      <c r="M93" s="70"/>
      <c r="N93" s="70"/>
      <c r="O93" s="70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95" t="s">
        <v>27</v>
      </c>
      <c r="F94" s="47"/>
      <c r="G94" s="70"/>
      <c r="H94" s="70"/>
      <c r="I94" s="70"/>
      <c r="J94" s="70"/>
      <c r="K94" s="70"/>
      <c r="L94" s="70"/>
      <c r="M94" s="70"/>
      <c r="N94" s="70"/>
      <c r="O94" s="70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1" t="s">
        <v>30</v>
      </c>
      <c r="F95" s="39">
        <f>F27*C28/C32</f>
        <v>222230.3785</v>
      </c>
      <c r="G95" s="70"/>
      <c r="H95" s="70"/>
      <c r="I95" s="70"/>
      <c r="J95" s="70"/>
      <c r="K95" s="70"/>
      <c r="L95" s="70"/>
      <c r="M95" s="70"/>
      <c r="N95" s="70"/>
      <c r="O95" s="70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2" t="s">
        <v>14</v>
      </c>
      <c r="F96" s="24">
        <f>F95*C86</f>
        <v>33008951.42</v>
      </c>
      <c r="G96" s="70"/>
      <c r="H96" s="70"/>
      <c r="I96" s="70"/>
      <c r="J96" s="70"/>
      <c r="K96" s="70"/>
      <c r="L96" s="70"/>
      <c r="M96" s="70"/>
      <c r="N96" s="70"/>
      <c r="O96" s="70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2" t="s">
        <v>17</v>
      </c>
      <c r="F97" s="29">
        <v>0.003</v>
      </c>
      <c r="G97" s="70"/>
      <c r="H97" s="70"/>
      <c r="I97" s="70"/>
      <c r="J97" s="70"/>
      <c r="K97" s="70"/>
      <c r="L97" s="70"/>
      <c r="M97" s="70"/>
      <c r="N97" s="70"/>
      <c r="O97" s="70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1" t="s">
        <v>33</v>
      </c>
      <c r="F98" s="30">
        <f>F95*(1-F97)</f>
        <v>221563.6874</v>
      </c>
      <c r="G98" s="70"/>
      <c r="H98" s="70"/>
      <c r="I98" s="70"/>
      <c r="J98" s="70"/>
      <c r="K98" s="70"/>
      <c r="L98" s="70"/>
      <c r="M98" s="70"/>
      <c r="N98" s="70"/>
      <c r="O98" s="70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1" t="s">
        <v>72</v>
      </c>
      <c r="F99" s="28">
        <f>C29</f>
        <v>1878.287002</v>
      </c>
      <c r="G99" s="70"/>
      <c r="H99" s="70"/>
      <c r="I99" s="70"/>
      <c r="J99" s="70"/>
      <c r="K99" s="70"/>
      <c r="L99" s="70"/>
      <c r="M99" s="70"/>
      <c r="N99" s="70"/>
      <c r="O99" s="70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1" t="s">
        <v>25</v>
      </c>
      <c r="F100" s="28">
        <f>C33</f>
        <v>41741243.15</v>
      </c>
      <c r="G100" s="70"/>
      <c r="H100" s="70"/>
      <c r="I100" s="70"/>
      <c r="J100" s="70"/>
      <c r="K100" s="70"/>
      <c r="L100" s="70"/>
      <c r="M100" s="70"/>
      <c r="N100" s="70"/>
      <c r="O100" s="70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97" t="s">
        <v>73</v>
      </c>
      <c r="F101" s="28">
        <f>F99*F100</f>
        <v>78402034469</v>
      </c>
      <c r="G101" s="70"/>
      <c r="H101" s="70"/>
      <c r="I101" s="70"/>
      <c r="J101" s="70"/>
      <c r="K101" s="70"/>
      <c r="L101" s="70"/>
      <c r="M101" s="70"/>
      <c r="N101" s="70"/>
      <c r="O101" s="70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1" t="s">
        <v>74</v>
      </c>
      <c r="F102" s="28">
        <f>F101/F103</f>
        <v>1868.369644</v>
      </c>
      <c r="G102" s="70"/>
      <c r="H102" s="70"/>
      <c r="I102" s="70"/>
      <c r="J102" s="70"/>
      <c r="K102" s="70"/>
      <c r="L102" s="70"/>
      <c r="M102" s="70"/>
      <c r="N102" s="70"/>
      <c r="O102" s="70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1" t="s">
        <v>75</v>
      </c>
      <c r="F103" s="28">
        <f>F98+F100</f>
        <v>41962806.84</v>
      </c>
      <c r="G103" s="70"/>
      <c r="H103" s="70"/>
      <c r="I103" s="70"/>
      <c r="J103" s="70"/>
      <c r="K103" s="70"/>
      <c r="L103" s="70"/>
      <c r="M103" s="70"/>
      <c r="N103" s="70"/>
      <c r="O103" s="70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97" t="s">
        <v>44</v>
      </c>
      <c r="F104" s="31">
        <f>F103/F102</f>
        <v>22459.58501</v>
      </c>
      <c r="G104" s="70"/>
      <c r="H104" s="70"/>
      <c r="I104" s="70"/>
      <c r="J104" s="70"/>
      <c r="K104" s="70"/>
      <c r="L104" s="70"/>
      <c r="M104" s="70"/>
      <c r="N104" s="70"/>
      <c r="O104" s="70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1" t="s">
        <v>45</v>
      </c>
      <c r="F105" s="59">
        <f>F104/C36-1</f>
        <v>0.01064423116</v>
      </c>
      <c r="G105" s="70"/>
      <c r="H105" s="70"/>
      <c r="I105" s="70"/>
      <c r="J105" s="70"/>
      <c r="K105" s="70"/>
      <c r="L105" s="70"/>
      <c r="M105" s="70"/>
      <c r="N105" s="70"/>
      <c r="O105" s="70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60" t="s">
        <v>47</v>
      </c>
      <c r="F106" s="61">
        <f>F105/2</f>
        <v>0.005322115581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G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G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</sheetData>
  <mergeCells count="9">
    <mergeCell ref="E25:F25"/>
    <mergeCell ref="E79:F79"/>
    <mergeCell ref="B2:F2"/>
    <mergeCell ref="B5:C5"/>
    <mergeCell ref="E5:F5"/>
    <mergeCell ref="H5:I5"/>
    <mergeCell ref="B25:C25"/>
    <mergeCell ref="H25:I25"/>
    <mergeCell ref="B47:H47"/>
  </mergeCells>
  <hyperlinks>
    <hyperlink r:id="rId1" location="readContract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7.88"/>
    <col customWidth="1" min="3" max="3" width="19.75"/>
    <col customWidth="1" min="4" max="4" width="10.75"/>
    <col customWidth="1" min="5" max="5" width="31.25"/>
    <col customWidth="1" min="7" max="7" width="4.63"/>
  </cols>
  <sheetData>
    <row r="1">
      <c r="A1" s="2"/>
      <c r="B1" s="2"/>
      <c r="C1" s="2"/>
      <c r="D1" s="2"/>
      <c r="E1" s="2"/>
      <c r="F1" s="2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2"/>
      <c r="B2" s="2"/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2"/>
      <c r="B3" s="98" t="s">
        <v>76</v>
      </c>
      <c r="C3" s="99"/>
      <c r="D3" s="99"/>
      <c r="E3" s="99"/>
      <c r="F3" s="99"/>
      <c r="G3" s="2"/>
      <c r="H3" s="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2"/>
      <c r="B4" s="100"/>
      <c r="C4" s="101"/>
      <c r="D4" s="102"/>
      <c r="E4" s="103"/>
      <c r="F4" s="104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2"/>
      <c r="B5" s="105" t="s">
        <v>77</v>
      </c>
      <c r="C5" s="106"/>
      <c r="D5" s="107"/>
      <c r="E5" s="108" t="s">
        <v>78</v>
      </c>
      <c r="F5" s="108" t="s">
        <v>79</v>
      </c>
      <c r="G5" s="2"/>
      <c r="H5" s="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2"/>
      <c r="B6" s="109" t="s">
        <v>80</v>
      </c>
      <c r="D6" s="4"/>
      <c r="E6" s="17" t="s">
        <v>39</v>
      </c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2"/>
      <c r="B7" s="18" t="s">
        <v>7</v>
      </c>
      <c r="C7" s="19"/>
      <c r="D7" s="4"/>
      <c r="E7" s="20" t="s">
        <v>8</v>
      </c>
      <c r="F7" s="47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2"/>
      <c r="B8" s="1" t="s">
        <v>10</v>
      </c>
      <c r="C8" s="110">
        <v>500000.0</v>
      </c>
      <c r="D8" s="4"/>
      <c r="E8" s="1" t="s">
        <v>11</v>
      </c>
      <c r="F8" s="111">
        <v>8000.0</v>
      </c>
      <c r="G8" s="1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2"/>
      <c r="B9" s="1" t="s">
        <v>13</v>
      </c>
      <c r="C9" s="112">
        <v>7.5</v>
      </c>
      <c r="D9" s="4"/>
      <c r="E9" s="2" t="s">
        <v>14</v>
      </c>
      <c r="F9" s="24">
        <f>F8*C9</f>
        <v>60000</v>
      </c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2"/>
      <c r="B10" s="1" t="s">
        <v>16</v>
      </c>
      <c r="C10" s="28">
        <f>C8/C9</f>
        <v>66666.66667</v>
      </c>
      <c r="D10" s="4"/>
      <c r="E10" s="2" t="s">
        <v>17</v>
      </c>
      <c r="F10" s="29">
        <v>0.003</v>
      </c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2"/>
      <c r="B11" s="18" t="s">
        <v>18</v>
      </c>
      <c r="C11" s="19"/>
      <c r="D11" s="4"/>
      <c r="E11" s="1" t="s">
        <v>19</v>
      </c>
      <c r="F11" s="30">
        <f>F8*(1-F10)</f>
        <v>7976</v>
      </c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2"/>
      <c r="B12" s="1" t="s">
        <v>21</v>
      </c>
      <c r="C12" s="110">
        <v>500000.0</v>
      </c>
      <c r="D12" s="4"/>
      <c r="E12" s="2" t="s">
        <v>22</v>
      </c>
      <c r="F12" s="31">
        <f>C34</f>
        <v>0.001734459704</v>
      </c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2"/>
      <c r="B13" s="1" t="s">
        <v>23</v>
      </c>
      <c r="C13" s="113">
        <v>4100.0</v>
      </c>
      <c r="D13" s="4"/>
      <c r="E13" s="33" t="s">
        <v>24</v>
      </c>
      <c r="F13" s="34">
        <f>F12/C16-1</f>
        <v>-0.05182869505</v>
      </c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B14" s="1" t="s">
        <v>25</v>
      </c>
      <c r="C14" s="35">
        <f>C12/C13</f>
        <v>121.9512195</v>
      </c>
      <c r="D14" s="4"/>
      <c r="E14" s="2"/>
      <c r="F14" s="25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2"/>
      <c r="B15" s="18" t="s">
        <v>26</v>
      </c>
      <c r="C15" s="19"/>
      <c r="D15" s="4"/>
      <c r="E15" s="20" t="s">
        <v>27</v>
      </c>
      <c r="F15" s="47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2"/>
      <c r="B16" s="37" t="s">
        <v>29</v>
      </c>
      <c r="C16" s="114">
        <f>C9/C13</f>
        <v>0.001829268293</v>
      </c>
      <c r="D16" s="4"/>
      <c r="E16" s="1" t="s">
        <v>30</v>
      </c>
      <c r="F16" s="111">
        <v>10.0</v>
      </c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2"/>
      <c r="B17" s="115" t="s">
        <v>31</v>
      </c>
      <c r="C17" s="25">
        <f>1/C16</f>
        <v>546.6666667</v>
      </c>
      <c r="D17" s="4"/>
      <c r="E17" s="2" t="s">
        <v>14</v>
      </c>
      <c r="F17" s="24">
        <f>F16*C13</f>
        <v>41000</v>
      </c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2"/>
      <c r="B18" s="2"/>
      <c r="C18" s="2"/>
      <c r="D18" s="4"/>
      <c r="E18" s="2" t="s">
        <v>17</v>
      </c>
      <c r="F18" s="29">
        <v>0.003</v>
      </c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2"/>
      <c r="B19" s="2" t="s">
        <v>32</v>
      </c>
      <c r="C19" s="116">
        <v>0.4</v>
      </c>
      <c r="D19" s="4"/>
      <c r="E19" s="1" t="s">
        <v>33</v>
      </c>
      <c r="F19" s="30">
        <f>F16*(1-F18)</f>
        <v>9.97</v>
      </c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2"/>
      <c r="B20" s="1" t="s">
        <v>35</v>
      </c>
      <c r="C20" s="45">
        <f>C16*(1-C19)</f>
        <v>0.001097560976</v>
      </c>
      <c r="D20" s="4"/>
      <c r="E20" s="2" t="s">
        <v>22</v>
      </c>
      <c r="F20" s="31">
        <f>C38</f>
        <v>0.001897307607</v>
      </c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2"/>
      <c r="B21" s="1" t="s">
        <v>36</v>
      </c>
      <c r="C21" s="45">
        <f>C16*(1+C19)</f>
        <v>0.00256097561</v>
      </c>
      <c r="D21" s="4"/>
      <c r="E21" s="33" t="s">
        <v>24</v>
      </c>
      <c r="F21" s="34">
        <f>F20/C16-1</f>
        <v>0.03719482513</v>
      </c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2"/>
      <c r="B22" s="2"/>
      <c r="C22" s="117"/>
      <c r="D22" s="4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2"/>
      <c r="B23" s="43" t="s">
        <v>81</v>
      </c>
      <c r="C23" s="44">
        <f>C12+C8</f>
        <v>1000000</v>
      </c>
      <c r="D23" s="2"/>
      <c r="E23" s="2"/>
      <c r="F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2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83" t="s">
        <v>82</v>
      </c>
      <c r="C25" s="84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21" t="s">
        <v>60</v>
      </c>
      <c r="C26" s="85">
        <f>C10*(sqrt(C16)*sqrt(C21)/(sqrt(C21)-sqrt(C16)))</f>
        <v>18414.00122</v>
      </c>
      <c r="D26" s="2"/>
      <c r="E26" s="2"/>
      <c r="F26" s="2"/>
      <c r="H26" s="2"/>
      <c r="I26" s="2"/>
      <c r="J26" s="2"/>
      <c r="K26" s="2"/>
      <c r="L26" s="2"/>
      <c r="M26" s="2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21" t="s">
        <v>61</v>
      </c>
      <c r="C27" s="85">
        <f>C14/(sqrt(C16)-sqrt(C20))</f>
        <v>12649.90066</v>
      </c>
      <c r="D27" s="2"/>
      <c r="E27" s="2"/>
      <c r="F27" s="2"/>
      <c r="G27" s="1"/>
      <c r="H27" s="2"/>
      <c r="I27" s="2"/>
      <c r="J27" s="2"/>
      <c r="K27" s="2"/>
      <c r="L27" s="2"/>
      <c r="M27" s="2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21" t="s">
        <v>62</v>
      </c>
      <c r="C28" s="85">
        <f>if(C16&lt;=C20,C26,if(C16&lt;=C21,min(C26:C27),C27))</f>
        <v>12649.90066</v>
      </c>
      <c r="D28" s="2"/>
      <c r="E28" s="2"/>
      <c r="F28" s="2"/>
      <c r="H28" s="2"/>
      <c r="I28" s="2"/>
      <c r="J28" s="2"/>
      <c r="K28" s="2"/>
      <c r="L28" s="2"/>
      <c r="M28" s="2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21" t="s">
        <v>64</v>
      </c>
      <c r="C29" s="90">
        <f>sqrt($C$16)</f>
        <v>0.04276994614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88"/>
      <c r="C30" s="89"/>
      <c r="D30" s="2"/>
      <c r="E30" s="2"/>
      <c r="F30" s="2"/>
      <c r="G30" s="2"/>
      <c r="H30" s="2"/>
      <c r="I30" s="2"/>
      <c r="J30" s="2"/>
      <c r="K30" s="2"/>
      <c r="L30" s="2"/>
      <c r="M30" s="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91" t="s">
        <v>65</v>
      </c>
      <c r="C31" s="88"/>
      <c r="D31" s="2"/>
      <c r="E31" s="2"/>
      <c r="F31" s="2"/>
      <c r="G31" s="2"/>
      <c r="H31" s="2"/>
      <c r="I31" s="2"/>
      <c r="J31" s="2"/>
      <c r="K31" s="2"/>
      <c r="L31" s="2"/>
      <c r="M31" s="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21" t="s">
        <v>66</v>
      </c>
      <c r="C32" s="85">
        <f>F11/C28+1/C29</f>
        <v>24.01142267</v>
      </c>
      <c r="D32" s="2"/>
      <c r="E32" s="2"/>
      <c r="F32" s="2"/>
      <c r="G32" s="2"/>
      <c r="H32" s="2"/>
      <c r="I32" s="2"/>
      <c r="J32" s="2"/>
      <c r="K32" s="2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21" t="s">
        <v>67</v>
      </c>
      <c r="C33" s="85">
        <f>1/C32</f>
        <v>0.04164684507</v>
      </c>
      <c r="D33" s="2"/>
      <c r="E33" s="2"/>
      <c r="F33" s="2"/>
      <c r="G33" s="2"/>
      <c r="H33" s="2"/>
      <c r="I33" s="2"/>
      <c r="J33" s="2"/>
      <c r="K33" s="2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21" t="s">
        <v>68</v>
      </c>
      <c r="C34" s="90">
        <f>C33^2</f>
        <v>0.001734459704</v>
      </c>
      <c r="D34" s="2"/>
      <c r="E34" s="2"/>
      <c r="F34" s="2"/>
      <c r="G34" s="2"/>
      <c r="H34" s="2"/>
      <c r="I34" s="2"/>
      <c r="J34" s="2"/>
      <c r="K34" s="2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7"/>
      <c r="C35" s="92"/>
      <c r="D35" s="2"/>
      <c r="E35" s="2"/>
      <c r="F35" s="2"/>
      <c r="G35" s="2"/>
      <c r="H35" s="2"/>
      <c r="I35" s="2"/>
      <c r="J35" s="2"/>
      <c r="K35" s="2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91" t="s">
        <v>69</v>
      </c>
      <c r="C36" s="89"/>
      <c r="D36" s="2"/>
      <c r="E36" s="2"/>
      <c r="F36" s="2"/>
      <c r="G36" s="2"/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21" t="s">
        <v>66</v>
      </c>
      <c r="C37" s="85">
        <f>F19/C28+C29</f>
        <v>0.04355809462</v>
      </c>
      <c r="D37" s="2"/>
      <c r="E37" s="2"/>
      <c r="F37" s="2"/>
      <c r="G37" s="2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21" t="s">
        <v>68</v>
      </c>
      <c r="C38" s="90">
        <f>C37^2</f>
        <v>0.001897307607</v>
      </c>
      <c r="D38" s="2"/>
      <c r="E38" s="2"/>
      <c r="F38" s="2"/>
      <c r="G38" s="2"/>
      <c r="H38" s="2"/>
      <c r="I38" s="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D39" s="2"/>
      <c r="E39" s="2"/>
      <c r="F39" s="2"/>
      <c r="G39" s="2"/>
      <c r="H39" s="2"/>
      <c r="I39" s="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D40" s="2"/>
      <c r="E40" s="2"/>
      <c r="F40" s="2"/>
      <c r="G40" s="2"/>
      <c r="H40" s="2"/>
      <c r="I40" s="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2"/>
      <c r="E41" s="2"/>
      <c r="F41" s="2"/>
      <c r="G41" s="2"/>
      <c r="H41" s="2"/>
      <c r="I41" s="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2"/>
      <c r="E42" s="2"/>
      <c r="F42" s="2"/>
      <c r="G42" s="2"/>
      <c r="H42" s="2"/>
      <c r="I42" s="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2"/>
      <c r="E43" s="2"/>
      <c r="F43" s="2"/>
      <c r="G43" s="2"/>
      <c r="H43" s="2"/>
      <c r="I43" s="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2"/>
      <c r="E44" s="2"/>
      <c r="F44" s="2"/>
      <c r="G44" s="2"/>
      <c r="H44" s="2"/>
      <c r="I44" s="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2"/>
      <c r="E45" s="2"/>
      <c r="F45" s="2"/>
      <c r="G45" s="2"/>
      <c r="H45" s="2"/>
      <c r="I45" s="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2"/>
      <c r="E46" s="2"/>
      <c r="F46" s="2"/>
      <c r="G46" s="2"/>
      <c r="H46" s="2"/>
      <c r="I46" s="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2"/>
      <c r="E47" s="2"/>
      <c r="F47" s="2"/>
      <c r="G47" s="2"/>
      <c r="H47" s="2"/>
      <c r="I47" s="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2"/>
      <c r="E48" s="2"/>
      <c r="F48" s="2"/>
      <c r="G48" s="2"/>
      <c r="H48" s="2"/>
      <c r="I48" s="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2"/>
      <c r="E49" s="2"/>
      <c r="F49" s="2"/>
      <c r="G49" s="2"/>
      <c r="H49" s="2"/>
      <c r="I49" s="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2"/>
      <c r="E50" s="2"/>
      <c r="F50" s="2"/>
      <c r="G50" s="2"/>
      <c r="H50" s="2"/>
      <c r="I50" s="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2"/>
      <c r="E51" s="2"/>
      <c r="F51" s="2"/>
      <c r="G51" s="2"/>
      <c r="H51" s="2"/>
      <c r="I51" s="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2"/>
      <c r="E52" s="2"/>
      <c r="F52" s="2"/>
      <c r="G52" s="2"/>
      <c r="H52" s="2"/>
      <c r="I52" s="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2"/>
      <c r="E53" s="2"/>
      <c r="F53" s="2"/>
      <c r="G53" s="2"/>
      <c r="H53" s="2"/>
      <c r="I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2"/>
      <c r="E54" s="2"/>
      <c r="F54" s="2"/>
      <c r="G54" s="2"/>
      <c r="H54" s="2"/>
      <c r="I54" s="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2"/>
      <c r="E55" s="4"/>
      <c r="F55" s="4"/>
      <c r="G55" s="4"/>
      <c r="H55" s="2"/>
      <c r="I55" s="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2"/>
      <c r="E56" s="4"/>
      <c r="F56" s="4"/>
      <c r="G56" s="4"/>
      <c r="H56" s="2"/>
      <c r="I56" s="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2"/>
      <c r="E57" s="4"/>
      <c r="F57" s="4"/>
      <c r="G57" s="4"/>
      <c r="H57" s="2"/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2"/>
      <c r="E58" s="4"/>
      <c r="F58" s="4"/>
      <c r="G58" s="4"/>
      <c r="H58" s="2"/>
      <c r="I58" s="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</sheetData>
  <mergeCells count="3">
    <mergeCell ref="B3:F3"/>
    <mergeCell ref="B6:C6"/>
    <mergeCell ref="E6:F6"/>
  </mergeCells>
  <hyperlinks>
    <hyperlink r:id="rId1" location="/pools/0xea5b14e31019a1b26d16196cddb4850189d6fd9c" ref="E5"/>
    <hyperlink r:id="rId2" ref="F5"/>
  </hyperlinks>
  <drawing r:id="rId3"/>
</worksheet>
</file>