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5" yWindow="15" windowWidth="19320" windowHeight="5805"/>
  </bookViews>
  <sheets>
    <sheet name="上期品种调整" sheetId="7" r:id="rId1"/>
    <sheet name="上海期货交易所" sheetId="1" state="hidden" r:id="rId2"/>
    <sheet name="大连品种调整" sheetId="8" r:id="rId3"/>
    <sheet name="大连商品交易所" sheetId="4" state="hidden" r:id="rId4"/>
    <sheet name="郑州品种调整" sheetId="9" r:id="rId5"/>
    <sheet name="中国金融期货交易所" sheetId="11" state="hidden" r:id="rId6"/>
    <sheet name="郑州商品交易所" sheetId="3" state="hidden" r:id="rId7"/>
    <sheet name="中金品种调整" sheetId="6" r:id="rId8"/>
    <sheet name="春节月份" sheetId="5" state="hidden" r:id="rId9"/>
    <sheet name="2012节假日安排" sheetId="2" state="hidden" r:id="rId10"/>
    <sheet name="即将上市合约一栏表" sheetId="12" r:id="rId11"/>
  </sheets>
  <definedNames>
    <definedName name="_xlnm._FilterDatabase" localSheetId="10" hidden="1">即将上市合约一栏表!$E$2:$G$52</definedName>
    <definedName name="CTP">IF(中金品种调整!$I$7="CTP保证金分段(自然日)",1,0)</definedName>
    <definedName name="Holiday">{40909;40910;40911;40930;40931;40932;40933;40934;40935;40936;41001;41002;41003;41028;41029;41030;41082;41083;41084;41182;41183;41184;41185;41186;41187;41188;41189;41275;41276;41277;41314;41315;41316;41317;41318;41319;41320;41368;41369;41370;41393;41394;41395;41435;41436;41437;41536;41537;41538;41548;41549;41550;41551;41552;41553;41554;41640;41670;41671;41672;41673;41674;41675;41676;41734;41735;41736;41760;41761;41762;41790;41791;41792;41888;41889;41890;41913;41914;41915;41916;41917;41918;41919;42005;42006;42007;42053;42054;42055;42056;42057;42058;42059;42099;42100;42125;42175;42176;42177;42250;42251;42274;42278;42279;42280;42281;42282;42283;42284}</definedName>
    <definedName name="白糖SR" localSheetId="4">5%</definedName>
    <definedName name="白银Ag" localSheetId="0">8%</definedName>
    <definedName name="玻璃FG" localSheetId="4">5%</definedName>
    <definedName name="菜籽油OI" localSheetId="4">5%</definedName>
    <definedName name="动力煤TC" localSheetId="4">5%</definedName>
    <definedName name="豆粕M" localSheetId="2">5%</definedName>
    <definedName name="豆油Y" localSheetId="2">5%</definedName>
    <definedName name="硅铁SF" localSheetId="4">5%</definedName>
    <definedName name="国债T">2%</definedName>
    <definedName name="国债TF">1.2%</definedName>
    <definedName name="沪深300股指期货IF" localSheetId="7">10%</definedName>
    <definedName name="沪深300远月合约">{1,2;2,1;3,3;4,2;5,1;6,3;7,2;8,1;9,3;10,2;11,1;12,3}</definedName>
    <definedName name="黄大豆1号A" localSheetId="2">5%</definedName>
    <definedName name="黄大豆2号B" localSheetId="2">5%</definedName>
    <definedName name="黄金Au" localSheetId="0">6%</definedName>
    <definedName name="黄玉米C" localSheetId="2">5%</definedName>
    <definedName name="甲醇MA" localSheetId="4">5%</definedName>
    <definedName name="甲醇ME" localSheetId="4">6%</definedName>
    <definedName name="焦煤JM" localSheetId="2">5%</definedName>
    <definedName name="粳稻JR" localSheetId="4">5%</definedName>
    <definedName name="精对苯二甲酸PTA" localSheetId="4">5%</definedName>
    <definedName name="聚丙烯PP" localSheetId="2">5%</definedName>
    <definedName name="聚氯乙烯V" localSheetId="2">5%</definedName>
    <definedName name="聚乙烯L" localSheetId="2">5%</definedName>
    <definedName name="螺纹钢Rb" localSheetId="0">6%</definedName>
    <definedName name="铝AL" localSheetId="0">5%</definedName>
    <definedName name="锰硅SM" localSheetId="4">5%</definedName>
    <definedName name="棉花CF" localSheetId="4">5%</definedName>
    <definedName name="镍Ni" localSheetId="0">7%</definedName>
    <definedName name="普麦PM" localSheetId="4">5%</definedName>
    <definedName name="铅Pb" localSheetId="0">5%</definedName>
    <definedName name="强麦WH" localSheetId="4">5%</definedName>
    <definedName name="全局参数">IF(中金品种调整!$I$7="期货公司标准",2,IF(中金品种调整!$I$7="交易所标准",1,0))</definedName>
    <definedName name="燃料油Fu" localSheetId="0">8%</definedName>
    <definedName name="热轧板Hc" localSheetId="0">6%</definedName>
    <definedName name="上证50股指期货IH" localSheetId="7">10%</definedName>
    <definedName name="石油沥青BU" localSheetId="0">7%</definedName>
    <definedName name="铁矿石I" localSheetId="2">5%</definedName>
    <definedName name="铜Cu" localSheetId="0">8%</definedName>
    <definedName name="晚籼稻LR" localSheetId="4">5%</definedName>
    <definedName name="锡Sn" localSheetId="0">5%</definedName>
    <definedName name="细木工板BB" localSheetId="2">20%</definedName>
    <definedName name="纤维板FB" localSheetId="2">20%</definedName>
    <definedName name="鲜鸡蛋JD" localSheetId="2">8%</definedName>
    <definedName name="线材Wr" localSheetId="0">7%</definedName>
    <definedName name="橡胶Ru" localSheetId="0">8%</definedName>
    <definedName name="橡胶合约月份">{1;3;4;5;6;7;8;9;10;11;1}</definedName>
    <definedName name="锌Zn" localSheetId="0">6%</definedName>
    <definedName name="冶金焦炭J" localSheetId="2">5%</definedName>
    <definedName name="油菜粕RM" localSheetId="4">5%</definedName>
    <definedName name="油菜籽RS" localSheetId="4">5%</definedName>
    <definedName name="玉米淀粉CS" localSheetId="2">5%</definedName>
    <definedName name="早籼稻RI" localSheetId="4">5%</definedName>
    <definedName name="中证500股指期货IC" localSheetId="7">10%</definedName>
    <definedName name="棕榈油P" localSheetId="2">5%</definedName>
  </definedNames>
  <calcPr calcId="144525"/>
</workbook>
</file>

<file path=xl/calcChain.xml><?xml version="1.0" encoding="utf-8"?>
<calcChain xmlns="http://schemas.openxmlformats.org/spreadsheetml/2006/main">
  <c r="A94" i="9" l="1"/>
  <c r="A153" i="9" l="1"/>
  <c r="A155" i="9"/>
  <c r="A155" i="3"/>
  <c r="D155" i="3" l="1"/>
  <c r="E155" i="3"/>
  <c r="A156" i="9"/>
  <c r="B155" i="9"/>
  <c r="A156" i="3"/>
  <c r="B155" i="3"/>
  <c r="E156" i="3" l="1"/>
  <c r="D156" i="3"/>
  <c r="A157" i="9"/>
  <c r="B156" i="9"/>
  <c r="A157" i="3"/>
  <c r="B156" i="3"/>
  <c r="AA91" i="7"/>
  <c r="AA92" i="7"/>
  <c r="AA93" i="7"/>
  <c r="AA94" i="7"/>
  <c r="D157" i="3" l="1"/>
  <c r="E157" i="3"/>
  <c r="A158" i="9"/>
  <c r="B157" i="9"/>
  <c r="A158" i="3"/>
  <c r="B157" i="3"/>
  <c r="AA15" i="6"/>
  <c r="AA16" i="6"/>
  <c r="AA17" i="6"/>
  <c r="AA18" i="6"/>
  <c r="AA31" i="6"/>
  <c r="AA32" i="6"/>
  <c r="AA33" i="6"/>
  <c r="AA34" i="6"/>
  <c r="AA47" i="6"/>
  <c r="AA48" i="6"/>
  <c r="AA49" i="6"/>
  <c r="AA50" i="6"/>
  <c r="AA56" i="6"/>
  <c r="AA57" i="6"/>
  <c r="AA58" i="6"/>
  <c r="AA59" i="6"/>
  <c r="A35" i="6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B30" i="6" s="1"/>
  <c r="AA30" i="6" s="1"/>
  <c r="A33" i="6"/>
  <c r="A17" i="6"/>
  <c r="A35" i="1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B30" i="11" s="1"/>
  <c r="E158" i="3" l="1"/>
  <c r="D158" i="3"/>
  <c r="A159" i="9"/>
  <c r="B158" i="9"/>
  <c r="A159" i="3"/>
  <c r="B158" i="3"/>
  <c r="B23" i="6"/>
  <c r="AA23" i="6" s="1"/>
  <c r="B27" i="6"/>
  <c r="AA27" i="6" s="1"/>
  <c r="B20" i="6"/>
  <c r="AA20" i="6" s="1"/>
  <c r="B24" i="6"/>
  <c r="AA24" i="6" s="1"/>
  <c r="B28" i="6"/>
  <c r="AA28" i="6" s="1"/>
  <c r="B21" i="6"/>
  <c r="AA21" i="6" s="1"/>
  <c r="B25" i="6"/>
  <c r="AA25" i="6" s="1"/>
  <c r="B29" i="6"/>
  <c r="AA29" i="6" s="1"/>
  <c r="B22" i="6"/>
  <c r="AA22" i="6" s="1"/>
  <c r="B26" i="6"/>
  <c r="AA26" i="6" s="1"/>
  <c r="B19" i="6"/>
  <c r="AA19" i="6" s="1"/>
  <c r="B46" i="6"/>
  <c r="AA46" i="6" s="1"/>
  <c r="B39" i="6"/>
  <c r="AA39" i="6" s="1"/>
  <c r="B43" i="6"/>
  <c r="AA43" i="6" s="1"/>
  <c r="B36" i="6"/>
  <c r="AA36" i="6" s="1"/>
  <c r="B40" i="6"/>
  <c r="AA40" i="6" s="1"/>
  <c r="B44" i="6"/>
  <c r="AA44" i="6" s="1"/>
  <c r="B37" i="6"/>
  <c r="AA37" i="6" s="1"/>
  <c r="B41" i="6"/>
  <c r="AA41" i="6" s="1"/>
  <c r="B45" i="6"/>
  <c r="AA45" i="6" s="1"/>
  <c r="B38" i="6"/>
  <c r="AA38" i="6" s="1"/>
  <c r="B42" i="6"/>
  <c r="AA42" i="6" s="1"/>
  <c r="B35" i="6"/>
  <c r="AA35" i="6" s="1"/>
  <c r="C36" i="6"/>
  <c r="C35" i="6"/>
  <c r="C20" i="6"/>
  <c r="C19" i="6"/>
  <c r="B43" i="11"/>
  <c r="B39" i="11"/>
  <c r="B46" i="11"/>
  <c r="B42" i="11"/>
  <c r="B38" i="11"/>
  <c r="B45" i="11"/>
  <c r="B41" i="11"/>
  <c r="B37" i="11"/>
  <c r="B44" i="11"/>
  <c r="B40" i="11"/>
  <c r="B36" i="11"/>
  <c r="B35" i="11"/>
  <c r="B27" i="11"/>
  <c r="B23" i="11"/>
  <c r="B26" i="11"/>
  <c r="B22" i="11"/>
  <c r="B29" i="11"/>
  <c r="B25" i="11"/>
  <c r="B21" i="11"/>
  <c r="B28" i="11"/>
  <c r="B24" i="11"/>
  <c r="B20" i="11"/>
  <c r="B19" i="11"/>
  <c r="C36" i="11"/>
  <c r="C35" i="11"/>
  <c r="C20" i="11"/>
  <c r="C19" i="11"/>
  <c r="AA227" i="7"/>
  <c r="AA228" i="7"/>
  <c r="AA229" i="7"/>
  <c r="AA230" i="7"/>
  <c r="AA245" i="7"/>
  <c r="AA246" i="7"/>
  <c r="AA247" i="7"/>
  <c r="AA248" i="7"/>
  <c r="A249" i="7"/>
  <c r="B249" i="7" s="1"/>
  <c r="AA249" i="7" s="1"/>
  <c r="A231" i="7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B244" i="7" s="1"/>
  <c r="AA244" i="7" s="1"/>
  <c r="A247" i="7"/>
  <c r="A229" i="7"/>
  <c r="A231" i="1"/>
  <c r="D231" i="1" s="1"/>
  <c r="D231" i="7" s="1"/>
  <c r="A249" i="1"/>
  <c r="D249" i="1" s="1"/>
  <c r="D249" i="7" s="1"/>
  <c r="D159" i="3" l="1"/>
  <c r="E159" i="3"/>
  <c r="A160" i="9"/>
  <c r="B159" i="9"/>
  <c r="A160" i="3"/>
  <c r="B159" i="3"/>
  <c r="C37" i="6"/>
  <c r="C21" i="6"/>
  <c r="C37" i="11"/>
  <c r="C21" i="11"/>
  <c r="A250" i="7"/>
  <c r="B234" i="7"/>
  <c r="AA234" i="7" s="1"/>
  <c r="B238" i="7"/>
  <c r="AA238" i="7" s="1"/>
  <c r="B242" i="7"/>
  <c r="AA242" i="7" s="1"/>
  <c r="B232" i="7"/>
  <c r="AA232" i="7" s="1"/>
  <c r="B236" i="7"/>
  <c r="AA236" i="7" s="1"/>
  <c r="B240" i="7"/>
  <c r="AA240" i="7" s="1"/>
  <c r="B233" i="7"/>
  <c r="AA233" i="7" s="1"/>
  <c r="B237" i="7"/>
  <c r="AA237" i="7" s="1"/>
  <c r="B241" i="7"/>
  <c r="AA241" i="7" s="1"/>
  <c r="B235" i="7"/>
  <c r="AA235" i="7" s="1"/>
  <c r="B239" i="7"/>
  <c r="AA239" i="7" s="1"/>
  <c r="B243" i="7"/>
  <c r="AA243" i="7" s="1"/>
  <c r="B231" i="7"/>
  <c r="AA231" i="7" s="1"/>
  <c r="C249" i="7"/>
  <c r="G249" i="7" s="1"/>
  <c r="C231" i="7"/>
  <c r="G231" i="7" s="1"/>
  <c r="B249" i="1"/>
  <c r="B231" i="1"/>
  <c r="A250" i="1"/>
  <c r="A232" i="1"/>
  <c r="E249" i="1"/>
  <c r="E249" i="7" s="1"/>
  <c r="C249" i="1"/>
  <c r="F249" i="1" s="1"/>
  <c r="F249" i="7" s="1"/>
  <c r="E231" i="1"/>
  <c r="E231" i="7" s="1"/>
  <c r="C231" i="1"/>
  <c r="F231" i="1" s="1"/>
  <c r="F231" i="7" s="1"/>
  <c r="E59" i="6"/>
  <c r="D59" i="6"/>
  <c r="A58" i="6"/>
  <c r="A49" i="6"/>
  <c r="A60" i="6"/>
  <c r="B60" i="6" s="1"/>
  <c r="AA60" i="6" s="1"/>
  <c r="A51" i="6"/>
  <c r="A60" i="11"/>
  <c r="D60" i="11" s="1"/>
  <c r="D60" i="6" s="1"/>
  <c r="E50" i="6"/>
  <c r="D50" i="6"/>
  <c r="E160" i="3" l="1"/>
  <c r="D160" i="3"/>
  <c r="A161" i="9"/>
  <c r="B160" i="9"/>
  <c r="A161" i="3"/>
  <c r="B160" i="3"/>
  <c r="C38" i="6"/>
  <c r="C22" i="6"/>
  <c r="C38" i="11"/>
  <c r="C22" i="11"/>
  <c r="A251" i="7"/>
  <c r="B250" i="7"/>
  <c r="AA250" i="7" s="1"/>
  <c r="C250" i="7"/>
  <c r="G250" i="7" s="1"/>
  <c r="C232" i="7"/>
  <c r="G232" i="7" s="1"/>
  <c r="A251" i="1"/>
  <c r="B250" i="1"/>
  <c r="A233" i="1"/>
  <c r="B232" i="1"/>
  <c r="E250" i="1"/>
  <c r="E250" i="7" s="1"/>
  <c r="D250" i="1"/>
  <c r="D250" i="7" s="1"/>
  <c r="C250" i="1"/>
  <c r="F250" i="1" s="1"/>
  <c r="F250" i="7" s="1"/>
  <c r="E232" i="1"/>
  <c r="E232" i="7" s="1"/>
  <c r="D232" i="1"/>
  <c r="D232" i="7" s="1"/>
  <c r="C232" i="1"/>
  <c r="F232" i="1" s="1"/>
  <c r="F232" i="7" s="1"/>
  <c r="C60" i="6"/>
  <c r="F60" i="6" s="1"/>
  <c r="A61" i="6"/>
  <c r="C61" i="6" s="1"/>
  <c r="B60" i="11"/>
  <c r="E60" i="11"/>
  <c r="E60" i="6" s="1"/>
  <c r="C60" i="11"/>
  <c r="A61" i="11"/>
  <c r="AA2" i="8"/>
  <c r="AA14" i="8"/>
  <c r="AA15" i="8"/>
  <c r="AA16" i="8"/>
  <c r="AA17" i="8"/>
  <c r="AA26" i="8"/>
  <c r="AA27" i="8"/>
  <c r="AA28" i="8"/>
  <c r="AA29" i="8"/>
  <c r="AA38" i="8"/>
  <c r="AA39" i="8"/>
  <c r="AA40" i="8"/>
  <c r="AA41" i="8"/>
  <c r="AA50" i="8"/>
  <c r="AA51" i="8"/>
  <c r="AA52" i="8"/>
  <c r="AA53" i="8"/>
  <c r="AA68" i="8"/>
  <c r="AA69" i="8"/>
  <c r="AA70" i="8"/>
  <c r="AA71" i="8"/>
  <c r="AA86" i="8"/>
  <c r="AA87" i="8"/>
  <c r="AA88" i="8"/>
  <c r="AA89" i="8"/>
  <c r="AA104" i="8"/>
  <c r="AA105" i="8"/>
  <c r="AA106" i="8"/>
  <c r="AA107" i="8"/>
  <c r="AA122" i="8"/>
  <c r="AA123" i="8"/>
  <c r="AA124" i="8"/>
  <c r="AA125" i="8"/>
  <c r="AA136" i="8"/>
  <c r="AA137" i="8"/>
  <c r="AA138" i="8"/>
  <c r="AA139" i="8"/>
  <c r="AA150" i="8"/>
  <c r="AA151" i="8"/>
  <c r="AA152" i="8"/>
  <c r="AA153" i="8"/>
  <c r="AA168" i="8"/>
  <c r="AA169" i="8"/>
  <c r="AA170" i="8"/>
  <c r="AA171" i="8"/>
  <c r="AA186" i="8"/>
  <c r="AA187" i="8"/>
  <c r="AA188" i="8"/>
  <c r="AA189" i="8"/>
  <c r="AA202" i="8"/>
  <c r="AA203" i="8"/>
  <c r="AA204" i="8"/>
  <c r="AA205" i="8"/>
  <c r="AA220" i="8"/>
  <c r="AA221" i="8"/>
  <c r="AA222" i="8"/>
  <c r="AA223" i="8"/>
  <c r="AA238" i="8"/>
  <c r="AA239" i="8"/>
  <c r="AA240" i="8"/>
  <c r="AA241" i="8"/>
  <c r="A42" i="8"/>
  <c r="A43" i="8" s="1"/>
  <c r="A44" i="8" s="1"/>
  <c r="A45" i="8" s="1"/>
  <c r="A46" i="8" s="1"/>
  <c r="A47" i="8" s="1"/>
  <c r="A48" i="8" s="1"/>
  <c r="A49" i="8" s="1"/>
  <c r="B49" i="8" s="1"/>
  <c r="AA49" i="8" s="1"/>
  <c r="A40" i="8"/>
  <c r="A42" i="4"/>
  <c r="B42" i="4" s="1"/>
  <c r="D161" i="3" l="1"/>
  <c r="E161" i="3"/>
  <c r="A162" i="9"/>
  <c r="B161" i="9"/>
  <c r="A162" i="3"/>
  <c r="B161" i="3"/>
  <c r="C39" i="6"/>
  <c r="C23" i="6"/>
  <c r="C39" i="11"/>
  <c r="C23" i="11"/>
  <c r="A252" i="7"/>
  <c r="B251" i="7"/>
  <c r="AA251" i="7" s="1"/>
  <c r="C251" i="7"/>
  <c r="G251" i="7" s="1"/>
  <c r="C233" i="7"/>
  <c r="G233" i="7" s="1"/>
  <c r="A252" i="1"/>
  <c r="B251" i="1"/>
  <c r="A234" i="1"/>
  <c r="B233" i="1"/>
  <c r="C251" i="1"/>
  <c r="F251" i="1" s="1"/>
  <c r="F251" i="7" s="1"/>
  <c r="D251" i="1"/>
  <c r="D251" i="7" s="1"/>
  <c r="E251" i="1"/>
  <c r="E251" i="7" s="1"/>
  <c r="C233" i="1"/>
  <c r="F233" i="1" s="1"/>
  <c r="F233" i="7" s="1"/>
  <c r="D233" i="1"/>
  <c r="D233" i="7" s="1"/>
  <c r="E233" i="1"/>
  <c r="E233" i="7" s="1"/>
  <c r="A62" i="6"/>
  <c r="C62" i="6" s="1"/>
  <c r="B61" i="6"/>
  <c r="AA61" i="6" s="1"/>
  <c r="F61" i="6"/>
  <c r="E61" i="11"/>
  <c r="E61" i="6" s="1"/>
  <c r="B61" i="11"/>
  <c r="C61" i="11"/>
  <c r="D61" i="11"/>
  <c r="D61" i="6" s="1"/>
  <c r="A62" i="11"/>
  <c r="C44" i="8"/>
  <c r="C46" i="8"/>
  <c r="C48" i="8"/>
  <c r="C43" i="8"/>
  <c r="C45" i="8"/>
  <c r="C47" i="8"/>
  <c r="C49" i="8"/>
  <c r="C42" i="8"/>
  <c r="B44" i="8"/>
  <c r="AA44" i="8" s="1"/>
  <c r="B46" i="8"/>
  <c r="AA46" i="8" s="1"/>
  <c r="B48" i="8"/>
  <c r="AA48" i="8" s="1"/>
  <c r="B43" i="8"/>
  <c r="AA43" i="8" s="1"/>
  <c r="B45" i="8"/>
  <c r="AA45" i="8" s="1"/>
  <c r="B47" i="8"/>
  <c r="AA47" i="8" s="1"/>
  <c r="B42" i="8"/>
  <c r="AA42" i="8" s="1"/>
  <c r="A43" i="4"/>
  <c r="E42" i="4"/>
  <c r="E42" i="8" s="1"/>
  <c r="D42" i="4"/>
  <c r="D42" i="8" s="1"/>
  <c r="C42" i="4"/>
  <c r="E162" i="3" l="1"/>
  <c r="D162" i="3"/>
  <c r="A163" i="9"/>
  <c r="B162" i="9"/>
  <c r="A163" i="3"/>
  <c r="B162" i="3"/>
  <c r="C40" i="6"/>
  <c r="C24" i="6"/>
  <c r="C40" i="11"/>
  <c r="C24" i="11"/>
  <c r="A253" i="7"/>
  <c r="B252" i="7"/>
  <c r="AA252" i="7" s="1"/>
  <c r="C252" i="7"/>
  <c r="G252" i="7" s="1"/>
  <c r="C234" i="7"/>
  <c r="G234" i="7" s="1"/>
  <c r="A253" i="1"/>
  <c r="B252" i="1"/>
  <c r="A235" i="1"/>
  <c r="B234" i="1"/>
  <c r="E252" i="1"/>
  <c r="E252" i="7" s="1"/>
  <c r="D252" i="1"/>
  <c r="D252" i="7" s="1"/>
  <c r="C252" i="1"/>
  <c r="F252" i="1" s="1"/>
  <c r="F252" i="7" s="1"/>
  <c r="E234" i="1"/>
  <c r="E234" i="7" s="1"/>
  <c r="D234" i="1"/>
  <c r="D234" i="7" s="1"/>
  <c r="C234" i="1"/>
  <c r="F234" i="1" s="1"/>
  <c r="F234" i="7" s="1"/>
  <c r="A63" i="6"/>
  <c r="C63" i="6" s="1"/>
  <c r="B62" i="6"/>
  <c r="AA62" i="6" s="1"/>
  <c r="F62" i="6"/>
  <c r="E62" i="11"/>
  <c r="E62" i="6" s="1"/>
  <c r="B62" i="11"/>
  <c r="C62" i="11"/>
  <c r="D62" i="11"/>
  <c r="D62" i="6" s="1"/>
  <c r="A63" i="11"/>
  <c r="A44" i="4"/>
  <c r="D44" i="4" s="1"/>
  <c r="D44" i="8" s="1"/>
  <c r="B43" i="4"/>
  <c r="E43" i="4"/>
  <c r="E43" i="8" s="1"/>
  <c r="C43" i="4"/>
  <c r="D43" i="4"/>
  <c r="D43" i="8" s="1"/>
  <c r="A30" i="4"/>
  <c r="A18" i="4"/>
  <c r="A3" i="4"/>
  <c r="D163" i="3" l="1"/>
  <c r="E163" i="3"/>
  <c r="A164" i="9"/>
  <c r="B163" i="9"/>
  <c r="A164" i="3"/>
  <c r="B163" i="3"/>
  <c r="C41" i="6"/>
  <c r="C25" i="6"/>
  <c r="C41" i="11"/>
  <c r="C25" i="11"/>
  <c r="A254" i="7"/>
  <c r="B253" i="7"/>
  <c r="AA253" i="7" s="1"/>
  <c r="C253" i="7"/>
  <c r="G253" i="7" s="1"/>
  <c r="C235" i="7"/>
  <c r="G235" i="7" s="1"/>
  <c r="A254" i="1"/>
  <c r="B253" i="1"/>
  <c r="A236" i="1"/>
  <c r="B235" i="1"/>
  <c r="C253" i="1"/>
  <c r="F253" i="1" s="1"/>
  <c r="F253" i="7" s="1"/>
  <c r="D253" i="1"/>
  <c r="D253" i="7" s="1"/>
  <c r="E253" i="1"/>
  <c r="E253" i="7" s="1"/>
  <c r="C235" i="1"/>
  <c r="F235" i="1" s="1"/>
  <c r="F235" i="7" s="1"/>
  <c r="D235" i="1"/>
  <c r="D235" i="7" s="1"/>
  <c r="E235" i="1"/>
  <c r="E235" i="7" s="1"/>
  <c r="A64" i="6"/>
  <c r="B63" i="6"/>
  <c r="AA63" i="6" s="1"/>
  <c r="F63" i="6"/>
  <c r="E63" i="11"/>
  <c r="E63" i="6" s="1"/>
  <c r="B63" i="11"/>
  <c r="C63" i="11"/>
  <c r="D63" i="11"/>
  <c r="D63" i="6" s="1"/>
  <c r="A64" i="11"/>
  <c r="C44" i="4"/>
  <c r="E44" i="4"/>
  <c r="E44" i="8" s="1"/>
  <c r="A45" i="4"/>
  <c r="C45" i="4" s="1"/>
  <c r="B44" i="4"/>
  <c r="A183" i="1"/>
  <c r="B183" i="1" s="1"/>
  <c r="E164" i="3" l="1"/>
  <c r="D164" i="3"/>
  <c r="A165" i="9"/>
  <c r="B164" i="9"/>
  <c r="A165" i="3"/>
  <c r="B164" i="3"/>
  <c r="C42" i="6"/>
  <c r="C26" i="6"/>
  <c r="C42" i="11"/>
  <c r="C26" i="11"/>
  <c r="A255" i="7"/>
  <c r="B254" i="7"/>
  <c r="AA254" i="7" s="1"/>
  <c r="C254" i="7"/>
  <c r="G254" i="7" s="1"/>
  <c r="C236" i="7"/>
  <c r="G236" i="7" s="1"/>
  <c r="A255" i="1"/>
  <c r="B254" i="1"/>
  <c r="A237" i="1"/>
  <c r="B236" i="1"/>
  <c r="E254" i="1"/>
  <c r="E254" i="7" s="1"/>
  <c r="D254" i="1"/>
  <c r="D254" i="7" s="1"/>
  <c r="C254" i="1"/>
  <c r="F254" i="1" s="1"/>
  <c r="F254" i="7" s="1"/>
  <c r="E236" i="1"/>
  <c r="E236" i="7" s="1"/>
  <c r="D236" i="1"/>
  <c r="D236" i="7" s="1"/>
  <c r="C236" i="1"/>
  <c r="F236" i="1" s="1"/>
  <c r="F236" i="7" s="1"/>
  <c r="B64" i="6"/>
  <c r="AA64" i="6" s="1"/>
  <c r="C64" i="6"/>
  <c r="F64" i="6" s="1"/>
  <c r="E64" i="11"/>
  <c r="E64" i="6" s="1"/>
  <c r="B64" i="11"/>
  <c r="C64" i="11"/>
  <c r="D64" i="11"/>
  <c r="D64" i="6" s="1"/>
  <c r="C183" i="1"/>
  <c r="D45" i="4"/>
  <c r="D45" i="8" s="1"/>
  <c r="E45" i="4"/>
  <c r="E45" i="8" s="1"/>
  <c r="A46" i="4"/>
  <c r="C46" i="4" s="1"/>
  <c r="B45" i="4"/>
  <c r="Y169" i="9"/>
  <c r="Y170" i="9"/>
  <c r="Y171" i="9"/>
  <c r="Y172" i="9"/>
  <c r="Y181" i="9"/>
  <c r="Y182" i="9"/>
  <c r="Y183" i="9"/>
  <c r="Y184" i="9"/>
  <c r="Y193" i="9"/>
  <c r="Y194" i="9"/>
  <c r="Y195" i="9"/>
  <c r="Y196" i="9"/>
  <c r="Y211" i="9"/>
  <c r="Y212" i="9"/>
  <c r="Y213" i="9"/>
  <c r="Y214" i="9"/>
  <c r="A215" i="9"/>
  <c r="C215" i="9" s="1"/>
  <c r="A213" i="9"/>
  <c r="A197" i="9"/>
  <c r="C197" i="9" s="1"/>
  <c r="A195" i="9"/>
  <c r="A215" i="3"/>
  <c r="A197" i="3"/>
  <c r="D184" i="9"/>
  <c r="A183" i="9"/>
  <c r="A185" i="9"/>
  <c r="A186" i="9" s="1"/>
  <c r="A187" i="9" s="1"/>
  <c r="A188" i="9" s="1"/>
  <c r="A189" i="9" s="1"/>
  <c r="A190" i="9" s="1"/>
  <c r="A191" i="9" s="1"/>
  <c r="A192" i="9" s="1"/>
  <c r="A185" i="3"/>
  <c r="AA2" i="7"/>
  <c r="AA17" i="7"/>
  <c r="AA18" i="7"/>
  <c r="AA19" i="7"/>
  <c r="AA20" i="7"/>
  <c r="AA35" i="7"/>
  <c r="AA36" i="7"/>
  <c r="AA37" i="7"/>
  <c r="AA38" i="7"/>
  <c r="AA53" i="7"/>
  <c r="AA54" i="7"/>
  <c r="AA55" i="7"/>
  <c r="AA56" i="7"/>
  <c r="AA71" i="7"/>
  <c r="AA72" i="7"/>
  <c r="AA73" i="7"/>
  <c r="AA74" i="7"/>
  <c r="AA107" i="7"/>
  <c r="AA108" i="7"/>
  <c r="AA109" i="7"/>
  <c r="AA110" i="7"/>
  <c r="AA125" i="7"/>
  <c r="AA126" i="7"/>
  <c r="AA127" i="7"/>
  <c r="AA128" i="7"/>
  <c r="AA143" i="7"/>
  <c r="AA144" i="7"/>
  <c r="AA145" i="7"/>
  <c r="AA146" i="7"/>
  <c r="AA161" i="7"/>
  <c r="AA162" i="7"/>
  <c r="AA163" i="7"/>
  <c r="AA164" i="7"/>
  <c r="AA179" i="7"/>
  <c r="AA180" i="7"/>
  <c r="AA181" i="7"/>
  <c r="AA182" i="7"/>
  <c r="AA209" i="7"/>
  <c r="AA210" i="7"/>
  <c r="AA211" i="7"/>
  <c r="AA212" i="7"/>
  <c r="AA1" i="7"/>
  <c r="AA1" i="8"/>
  <c r="Y2" i="9"/>
  <c r="Y11" i="9"/>
  <c r="Y12" i="9"/>
  <c r="Y13" i="9"/>
  <c r="Y14" i="9"/>
  <c r="Y23" i="9"/>
  <c r="Y24" i="9"/>
  <c r="Y25" i="9"/>
  <c r="Y26" i="9"/>
  <c r="Y35" i="9"/>
  <c r="Y36" i="9"/>
  <c r="Y37" i="9"/>
  <c r="Y38" i="9"/>
  <c r="Y47" i="9"/>
  <c r="Y48" i="9"/>
  <c r="Y49" i="9"/>
  <c r="Y50" i="9"/>
  <c r="Y59" i="9"/>
  <c r="Y60" i="9"/>
  <c r="Y61" i="9"/>
  <c r="Y62" i="9"/>
  <c r="Y74" i="9"/>
  <c r="Y75" i="9"/>
  <c r="Y76" i="9"/>
  <c r="Y77" i="9"/>
  <c r="Y92" i="9"/>
  <c r="Y93" i="9"/>
  <c r="Y94" i="9"/>
  <c r="Y95" i="9"/>
  <c r="Y110" i="9"/>
  <c r="Y111" i="9"/>
  <c r="Y112" i="9"/>
  <c r="Y113" i="9"/>
  <c r="Y128" i="9"/>
  <c r="Y129" i="9"/>
  <c r="Y130" i="9"/>
  <c r="Y131" i="9"/>
  <c r="Y138" i="9"/>
  <c r="Y139" i="9"/>
  <c r="Y140" i="9"/>
  <c r="Y141" i="9"/>
  <c r="Y151" i="9"/>
  <c r="Y152" i="9"/>
  <c r="Y153" i="9"/>
  <c r="Y154" i="9"/>
  <c r="Y1" i="9"/>
  <c r="AA2" i="6"/>
  <c r="AA1" i="6"/>
  <c r="A96" i="9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B109" i="9" s="1"/>
  <c r="A96" i="3"/>
  <c r="A213" i="7"/>
  <c r="B213" i="7" s="1"/>
  <c r="A211" i="7"/>
  <c r="A213" i="1"/>
  <c r="B213" i="1" s="1"/>
  <c r="E215" i="3" l="1"/>
  <c r="D215" i="3"/>
  <c r="D215" i="9" s="1"/>
  <c r="A198" i="3"/>
  <c r="B198" i="3" s="1"/>
  <c r="D197" i="3"/>
  <c r="D197" i="9" s="1"/>
  <c r="E197" i="3"/>
  <c r="E185" i="3"/>
  <c r="E185" i="9" s="1"/>
  <c r="D185" i="3"/>
  <c r="D185" i="9" s="1"/>
  <c r="D165" i="3"/>
  <c r="E165" i="3"/>
  <c r="A97" i="3"/>
  <c r="D96" i="3"/>
  <c r="E96" i="3"/>
  <c r="A166" i="9"/>
  <c r="B165" i="9"/>
  <c r="A166" i="3"/>
  <c r="B165" i="3"/>
  <c r="C43" i="6"/>
  <c r="C27" i="6"/>
  <c r="C43" i="11"/>
  <c r="C27" i="11"/>
  <c r="A256" i="7"/>
  <c r="B255" i="7"/>
  <c r="AA255" i="7" s="1"/>
  <c r="C255" i="7"/>
  <c r="G255" i="7" s="1"/>
  <c r="C237" i="7"/>
  <c r="G237" i="7" s="1"/>
  <c r="A256" i="1"/>
  <c r="B255" i="1"/>
  <c r="A238" i="1"/>
  <c r="B237" i="1"/>
  <c r="C255" i="1"/>
  <c r="F255" i="1" s="1"/>
  <c r="F255" i="7" s="1"/>
  <c r="D255" i="1"/>
  <c r="D255" i="7" s="1"/>
  <c r="E255" i="1"/>
  <c r="E255" i="7" s="1"/>
  <c r="D237" i="1"/>
  <c r="D237" i="7" s="1"/>
  <c r="C237" i="1"/>
  <c r="F237" i="1" s="1"/>
  <c r="F237" i="7" s="1"/>
  <c r="E237" i="1"/>
  <c r="E237" i="7" s="1"/>
  <c r="A214" i="7"/>
  <c r="B214" i="7" s="1"/>
  <c r="AA214" i="7" s="1"/>
  <c r="C213" i="7"/>
  <c r="G213" i="7" s="1"/>
  <c r="D46" i="4"/>
  <c r="D46" i="8" s="1"/>
  <c r="E46" i="4"/>
  <c r="E46" i="8" s="1"/>
  <c r="A47" i="4"/>
  <c r="C47" i="4" s="1"/>
  <c r="B46" i="4"/>
  <c r="B215" i="3"/>
  <c r="B197" i="3"/>
  <c r="B185" i="3"/>
  <c r="B97" i="3"/>
  <c r="B96" i="3"/>
  <c r="B215" i="9"/>
  <c r="Y215" i="9" s="1"/>
  <c r="B197" i="9"/>
  <c r="Y197" i="9" s="1"/>
  <c r="B187" i="9"/>
  <c r="Y187" i="9" s="1"/>
  <c r="B189" i="9"/>
  <c r="Y189" i="9" s="1"/>
  <c r="B191" i="9"/>
  <c r="Y191" i="9" s="1"/>
  <c r="B186" i="9"/>
  <c r="Y186" i="9" s="1"/>
  <c r="B188" i="9"/>
  <c r="Y188" i="9" s="1"/>
  <c r="B190" i="9"/>
  <c r="Y190" i="9" s="1"/>
  <c r="B192" i="9"/>
  <c r="Y192" i="9" s="1"/>
  <c r="B185" i="9"/>
  <c r="Y185" i="9" s="1"/>
  <c r="B98" i="9"/>
  <c r="B100" i="9"/>
  <c r="B102" i="9"/>
  <c r="B104" i="9"/>
  <c r="B106" i="9"/>
  <c r="B108" i="9"/>
  <c r="B97" i="9"/>
  <c r="B99" i="9"/>
  <c r="B101" i="9"/>
  <c r="B103" i="9"/>
  <c r="B105" i="9"/>
  <c r="B107" i="9"/>
  <c r="B96" i="9"/>
  <c r="A216" i="9"/>
  <c r="B216" i="9" s="1"/>
  <c r="A198" i="9"/>
  <c r="B198" i="9" s="1"/>
  <c r="A216" i="3"/>
  <c r="E215" i="9"/>
  <c r="C215" i="3"/>
  <c r="C198" i="3"/>
  <c r="C197" i="3"/>
  <c r="E197" i="9"/>
  <c r="C186" i="9"/>
  <c r="C188" i="9"/>
  <c r="C190" i="9"/>
  <c r="C192" i="9"/>
  <c r="C185" i="9"/>
  <c r="C187" i="9"/>
  <c r="C189" i="9"/>
  <c r="C191" i="9"/>
  <c r="A186" i="3"/>
  <c r="C185" i="3"/>
  <c r="AA213" i="7"/>
  <c r="A214" i="1"/>
  <c r="B214" i="1" s="1"/>
  <c r="D213" i="1"/>
  <c r="D213" i="7" s="1"/>
  <c r="E213" i="1"/>
  <c r="E213" i="7" s="1"/>
  <c r="A173" i="9"/>
  <c r="B173" i="9" s="1"/>
  <c r="E216" i="3" l="1"/>
  <c r="D216" i="3"/>
  <c r="A199" i="3"/>
  <c r="E198" i="3"/>
  <c r="E198" i="9" s="1"/>
  <c r="D198" i="3"/>
  <c r="D198" i="9" s="1"/>
  <c r="B186" i="3"/>
  <c r="E186" i="3"/>
  <c r="D186" i="3"/>
  <c r="E166" i="3"/>
  <c r="D166" i="3"/>
  <c r="A98" i="3"/>
  <c r="E97" i="3"/>
  <c r="D97" i="3"/>
  <c r="A167" i="9"/>
  <c r="B166" i="9"/>
  <c r="A167" i="3"/>
  <c r="B166" i="3"/>
  <c r="C44" i="6"/>
  <c r="C28" i="6"/>
  <c r="C44" i="11"/>
  <c r="C28" i="11"/>
  <c r="A257" i="7"/>
  <c r="B256" i="7"/>
  <c r="AA256" i="7" s="1"/>
  <c r="C256" i="7"/>
  <c r="G256" i="7" s="1"/>
  <c r="C238" i="7"/>
  <c r="G238" i="7" s="1"/>
  <c r="A257" i="1"/>
  <c r="B256" i="1"/>
  <c r="A239" i="1"/>
  <c r="B238" i="1"/>
  <c r="E256" i="1"/>
  <c r="E256" i="7" s="1"/>
  <c r="D256" i="1"/>
  <c r="D256" i="7" s="1"/>
  <c r="C256" i="1"/>
  <c r="F256" i="1" s="1"/>
  <c r="F256" i="7" s="1"/>
  <c r="E238" i="1"/>
  <c r="E238" i="7" s="1"/>
  <c r="D238" i="1"/>
  <c r="D238" i="7" s="1"/>
  <c r="C238" i="1"/>
  <c r="F238" i="1" s="1"/>
  <c r="F238" i="7" s="1"/>
  <c r="A215" i="1"/>
  <c r="B215" i="1" s="1"/>
  <c r="A215" i="7"/>
  <c r="B215" i="7" s="1"/>
  <c r="C214" i="7"/>
  <c r="G214" i="7" s="1"/>
  <c r="D47" i="4"/>
  <c r="D47" i="8" s="1"/>
  <c r="E47" i="4"/>
  <c r="E47" i="8" s="1"/>
  <c r="A48" i="4"/>
  <c r="C48" i="4" s="1"/>
  <c r="B47" i="4"/>
  <c r="A217" i="3"/>
  <c r="B216" i="3"/>
  <c r="A217" i="9"/>
  <c r="B217" i="9" s="1"/>
  <c r="Y216" i="9"/>
  <c r="A199" i="9"/>
  <c r="B199" i="9" s="1"/>
  <c r="Y198" i="9"/>
  <c r="C216" i="9"/>
  <c r="C198" i="9"/>
  <c r="D216" i="9"/>
  <c r="E216" i="9"/>
  <c r="C216" i="3"/>
  <c r="A187" i="3"/>
  <c r="E186" i="9"/>
  <c r="D186" i="9"/>
  <c r="C186" i="3"/>
  <c r="D214" i="1"/>
  <c r="D214" i="7" s="1"/>
  <c r="E214" i="1"/>
  <c r="E214" i="7" s="1"/>
  <c r="A242" i="8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B255" i="8" s="1"/>
  <c r="AA255" i="8" s="1"/>
  <c r="A240" i="8"/>
  <c r="A242" i="4"/>
  <c r="D217" i="3" l="1"/>
  <c r="E217" i="3"/>
  <c r="A200" i="3"/>
  <c r="D199" i="3"/>
  <c r="D199" i="9" s="1"/>
  <c r="E199" i="3"/>
  <c r="E199" i="9" s="1"/>
  <c r="B199" i="3"/>
  <c r="C199" i="3"/>
  <c r="B187" i="3"/>
  <c r="E187" i="3"/>
  <c r="D187" i="3"/>
  <c r="D167" i="3"/>
  <c r="E167" i="3"/>
  <c r="A99" i="3"/>
  <c r="D98" i="3"/>
  <c r="E98" i="3"/>
  <c r="B98" i="3"/>
  <c r="A168" i="9"/>
  <c r="B168" i="9" s="1"/>
  <c r="B167" i="9"/>
  <c r="A168" i="3"/>
  <c r="B167" i="3"/>
  <c r="C45" i="6"/>
  <c r="C29" i="6"/>
  <c r="C45" i="11"/>
  <c r="C29" i="11"/>
  <c r="A258" i="7"/>
  <c r="B257" i="7"/>
  <c r="AA257" i="7" s="1"/>
  <c r="C257" i="7"/>
  <c r="G257" i="7" s="1"/>
  <c r="C239" i="7"/>
  <c r="G239" i="7" s="1"/>
  <c r="A258" i="1"/>
  <c r="B257" i="1"/>
  <c r="A240" i="1"/>
  <c r="B239" i="1"/>
  <c r="D257" i="1"/>
  <c r="D257" i="7" s="1"/>
  <c r="C257" i="1"/>
  <c r="F257" i="1" s="1"/>
  <c r="F257" i="7" s="1"/>
  <c r="E257" i="1"/>
  <c r="E257" i="7" s="1"/>
  <c r="D239" i="1"/>
  <c r="D239" i="7" s="1"/>
  <c r="C239" i="1"/>
  <c r="F239" i="1" s="1"/>
  <c r="F239" i="7" s="1"/>
  <c r="E239" i="1"/>
  <c r="E239" i="7" s="1"/>
  <c r="A216" i="1"/>
  <c r="B216" i="1" s="1"/>
  <c r="A216" i="7"/>
  <c r="B216" i="7" s="1"/>
  <c r="C215" i="7"/>
  <c r="G215" i="7" s="1"/>
  <c r="AA215" i="7"/>
  <c r="D48" i="4"/>
  <c r="D48" i="8" s="1"/>
  <c r="E48" i="4"/>
  <c r="E48" i="8" s="1"/>
  <c r="A49" i="4"/>
  <c r="B49" i="4" s="1"/>
  <c r="B48" i="4"/>
  <c r="A243" i="4"/>
  <c r="C243" i="4" s="1"/>
  <c r="D242" i="4"/>
  <c r="D242" i="8" s="1"/>
  <c r="A218" i="3"/>
  <c r="B217" i="3"/>
  <c r="A218" i="9"/>
  <c r="B218" i="9" s="1"/>
  <c r="Y217" i="9"/>
  <c r="A200" i="9"/>
  <c r="B200" i="9" s="1"/>
  <c r="Y199" i="9"/>
  <c r="C217" i="9"/>
  <c r="C199" i="9"/>
  <c r="D217" i="9"/>
  <c r="E217" i="9"/>
  <c r="C217" i="3"/>
  <c r="A188" i="3"/>
  <c r="D187" i="9"/>
  <c r="C187" i="3"/>
  <c r="E187" i="9"/>
  <c r="D215" i="1"/>
  <c r="D215" i="7" s="1"/>
  <c r="E215" i="1"/>
  <c r="E215" i="7" s="1"/>
  <c r="B244" i="8"/>
  <c r="AA244" i="8" s="1"/>
  <c r="B246" i="8"/>
  <c r="AA246" i="8" s="1"/>
  <c r="B248" i="8"/>
  <c r="AA248" i="8" s="1"/>
  <c r="B250" i="8"/>
  <c r="AA250" i="8" s="1"/>
  <c r="B252" i="8"/>
  <c r="AA252" i="8" s="1"/>
  <c r="B254" i="8"/>
  <c r="AA254" i="8" s="1"/>
  <c r="B243" i="8"/>
  <c r="AA243" i="8" s="1"/>
  <c r="B245" i="8"/>
  <c r="AA245" i="8" s="1"/>
  <c r="B247" i="8"/>
  <c r="AA247" i="8" s="1"/>
  <c r="B249" i="8"/>
  <c r="AA249" i="8" s="1"/>
  <c r="B251" i="8"/>
  <c r="AA251" i="8" s="1"/>
  <c r="B253" i="8"/>
  <c r="AA253" i="8" s="1"/>
  <c r="B242" i="8"/>
  <c r="AA242" i="8" s="1"/>
  <c r="C243" i="8"/>
  <c r="C242" i="8"/>
  <c r="C242" i="4"/>
  <c r="B242" i="4"/>
  <c r="E242" i="4"/>
  <c r="E242" i="8" s="1"/>
  <c r="A183" i="7"/>
  <c r="A3" i="1"/>
  <c r="B3" i="1" s="1"/>
  <c r="A21" i="1"/>
  <c r="A39" i="1"/>
  <c r="A57" i="1"/>
  <c r="A75" i="1"/>
  <c r="B75" i="1" s="1"/>
  <c r="A111" i="1"/>
  <c r="A129" i="1"/>
  <c r="B129" i="1" s="1"/>
  <c r="E218" i="3" l="1"/>
  <c r="D218" i="3"/>
  <c r="A201" i="3"/>
  <c r="E200" i="3"/>
  <c r="E200" i="9" s="1"/>
  <c r="D200" i="3"/>
  <c r="D200" i="9" s="1"/>
  <c r="C200" i="3"/>
  <c r="B200" i="3"/>
  <c r="B188" i="3"/>
  <c r="E188" i="3"/>
  <c r="D188" i="3"/>
  <c r="B168" i="3"/>
  <c r="E168" i="3"/>
  <c r="D168" i="3"/>
  <c r="A100" i="3"/>
  <c r="E99" i="3"/>
  <c r="D99" i="3"/>
  <c r="B99" i="3"/>
  <c r="C46" i="6"/>
  <c r="C30" i="6"/>
  <c r="C46" i="11"/>
  <c r="C30" i="11"/>
  <c r="B243" i="4"/>
  <c r="A259" i="7"/>
  <c r="B258" i="7"/>
  <c r="AA258" i="7" s="1"/>
  <c r="C258" i="7"/>
  <c r="G258" i="7" s="1"/>
  <c r="C240" i="7"/>
  <c r="G240" i="7" s="1"/>
  <c r="A259" i="1"/>
  <c r="B258" i="1"/>
  <c r="A241" i="1"/>
  <c r="B240" i="1"/>
  <c r="E258" i="1"/>
  <c r="E258" i="7" s="1"/>
  <c r="D258" i="1"/>
  <c r="D258" i="7" s="1"/>
  <c r="C258" i="1"/>
  <c r="F258" i="1" s="1"/>
  <c r="F258" i="7" s="1"/>
  <c r="E240" i="1"/>
  <c r="E240" i="7" s="1"/>
  <c r="D240" i="1"/>
  <c r="D240" i="7" s="1"/>
  <c r="C240" i="1"/>
  <c r="F240" i="1" s="1"/>
  <c r="F240" i="7" s="1"/>
  <c r="A217" i="1"/>
  <c r="B217" i="1" s="1"/>
  <c r="C183" i="7"/>
  <c r="B183" i="7"/>
  <c r="C129" i="1"/>
  <c r="C111" i="1"/>
  <c r="B111" i="1"/>
  <c r="C57" i="1"/>
  <c r="B57" i="1"/>
  <c r="C39" i="1"/>
  <c r="B39" i="1"/>
  <c r="C21" i="1"/>
  <c r="B21" i="1"/>
  <c r="E243" i="4"/>
  <c r="E243" i="8" s="1"/>
  <c r="A217" i="7"/>
  <c r="B217" i="7" s="1"/>
  <c r="C216" i="7"/>
  <c r="G216" i="7" s="1"/>
  <c r="AA216" i="7"/>
  <c r="C75" i="1"/>
  <c r="C213" i="1"/>
  <c r="F213" i="1" s="1"/>
  <c r="F213" i="7" s="1"/>
  <c r="C49" i="4"/>
  <c r="C3" i="1"/>
  <c r="E49" i="4"/>
  <c r="E49" i="8" s="1"/>
  <c r="D49" i="4"/>
  <c r="D49" i="8" s="1"/>
  <c r="A244" i="4"/>
  <c r="E244" i="4" s="1"/>
  <c r="E244" i="8" s="1"/>
  <c r="D243" i="4"/>
  <c r="D243" i="8" s="1"/>
  <c r="A219" i="3"/>
  <c r="B218" i="3"/>
  <c r="A219" i="9"/>
  <c r="B219" i="9" s="1"/>
  <c r="Y218" i="9"/>
  <c r="A201" i="9"/>
  <c r="B201" i="9" s="1"/>
  <c r="Y200" i="9"/>
  <c r="C218" i="9"/>
  <c r="C200" i="9"/>
  <c r="E218" i="9"/>
  <c r="C218" i="3"/>
  <c r="D218" i="9"/>
  <c r="A189" i="3"/>
  <c r="E188" i="9"/>
  <c r="D188" i="9"/>
  <c r="C188" i="3"/>
  <c r="D216" i="1"/>
  <c r="D216" i="7" s="1"/>
  <c r="E216" i="1"/>
  <c r="E216" i="7" s="1"/>
  <c r="C244" i="8"/>
  <c r="C244" i="4"/>
  <c r="A129" i="7"/>
  <c r="A111" i="7"/>
  <c r="A75" i="7"/>
  <c r="B75" i="7" s="1"/>
  <c r="A57" i="7"/>
  <c r="A39" i="7"/>
  <c r="A21" i="7"/>
  <c r="B21" i="7" s="1"/>
  <c r="A3" i="7"/>
  <c r="A3" i="9"/>
  <c r="A39" i="9"/>
  <c r="A51" i="9"/>
  <c r="B51" i="9" s="1"/>
  <c r="A63" i="9"/>
  <c r="B63" i="9" s="1"/>
  <c r="A114" i="9"/>
  <c r="B114" i="9" s="1"/>
  <c r="A78" i="9"/>
  <c r="B78" i="9" s="1"/>
  <c r="A173" i="3"/>
  <c r="A114" i="3"/>
  <c r="A78" i="3"/>
  <c r="A63" i="3"/>
  <c r="A51" i="3"/>
  <c r="A39" i="3"/>
  <c r="A3" i="3"/>
  <c r="A30" i="8"/>
  <c r="A18" i="8"/>
  <c r="A3" i="8"/>
  <c r="E219" i="3" l="1"/>
  <c r="D219" i="3"/>
  <c r="D219" i="9" s="1"/>
  <c r="A202" i="3"/>
  <c r="D201" i="3"/>
  <c r="D201" i="9" s="1"/>
  <c r="E201" i="3"/>
  <c r="E201" i="9" s="1"/>
  <c r="C201" i="3"/>
  <c r="B201" i="3"/>
  <c r="B189" i="3"/>
  <c r="D189" i="3"/>
  <c r="E189" i="3"/>
  <c r="B173" i="3"/>
  <c r="D173" i="3"/>
  <c r="E173" i="3"/>
  <c r="B114" i="3"/>
  <c r="E114" i="3"/>
  <c r="D114" i="3"/>
  <c r="A101" i="3"/>
  <c r="D100" i="3"/>
  <c r="E100" i="3"/>
  <c r="B100" i="3"/>
  <c r="B78" i="3"/>
  <c r="D78" i="3"/>
  <c r="E78" i="3"/>
  <c r="B63" i="3"/>
  <c r="E63" i="3"/>
  <c r="D63" i="3"/>
  <c r="B51" i="3"/>
  <c r="E51" i="3"/>
  <c r="D51" i="3"/>
  <c r="D39" i="3"/>
  <c r="E39" i="3"/>
  <c r="D3" i="3"/>
  <c r="E3" i="3"/>
  <c r="A260" i="7"/>
  <c r="B259" i="7"/>
  <c r="AA259" i="7" s="1"/>
  <c r="C259" i="7"/>
  <c r="G259" i="7" s="1"/>
  <c r="C241" i="7"/>
  <c r="G241" i="7" s="1"/>
  <c r="A260" i="1"/>
  <c r="B259" i="1"/>
  <c r="A242" i="1"/>
  <c r="B241" i="1"/>
  <c r="D259" i="1"/>
  <c r="D259" i="7" s="1"/>
  <c r="C259" i="1"/>
  <c r="F259" i="1" s="1"/>
  <c r="F259" i="7" s="1"/>
  <c r="E259" i="1"/>
  <c r="E259" i="7" s="1"/>
  <c r="D241" i="1"/>
  <c r="D241" i="7" s="1"/>
  <c r="C241" i="1"/>
  <c r="F241" i="1" s="1"/>
  <c r="F241" i="7" s="1"/>
  <c r="E241" i="1"/>
  <c r="E241" i="7" s="1"/>
  <c r="A218" i="1"/>
  <c r="B218" i="1" s="1"/>
  <c r="C129" i="7"/>
  <c r="B129" i="7"/>
  <c r="C111" i="7"/>
  <c r="B111" i="7"/>
  <c r="C75" i="7"/>
  <c r="AA75" i="7"/>
  <c r="C57" i="7"/>
  <c r="B57" i="7"/>
  <c r="C39" i="7"/>
  <c r="B39" i="7"/>
  <c r="C3" i="7"/>
  <c r="B3" i="7"/>
  <c r="A218" i="7"/>
  <c r="B218" i="7" s="1"/>
  <c r="C217" i="7"/>
  <c r="G217" i="7" s="1"/>
  <c r="AA217" i="7"/>
  <c r="C21" i="7"/>
  <c r="A245" i="4"/>
  <c r="E245" i="4" s="1"/>
  <c r="E245" i="8" s="1"/>
  <c r="D244" i="4"/>
  <c r="D244" i="8" s="1"/>
  <c r="B244" i="4"/>
  <c r="A220" i="3"/>
  <c r="B219" i="3"/>
  <c r="A220" i="9"/>
  <c r="B220" i="9" s="1"/>
  <c r="Y219" i="9"/>
  <c r="A202" i="9"/>
  <c r="B202" i="9" s="1"/>
  <c r="Y201" i="9"/>
  <c r="C219" i="9"/>
  <c r="C201" i="9"/>
  <c r="C219" i="3"/>
  <c r="E219" i="9"/>
  <c r="A190" i="3"/>
  <c r="D189" i="9"/>
  <c r="C189" i="3"/>
  <c r="E189" i="9"/>
  <c r="D217" i="1"/>
  <c r="D217" i="7" s="1"/>
  <c r="E217" i="1"/>
  <c r="E217" i="7" s="1"/>
  <c r="C245" i="8"/>
  <c r="A13" i="9"/>
  <c r="A25" i="9"/>
  <c r="A37" i="9"/>
  <c r="D172" i="9"/>
  <c r="A224" i="8"/>
  <c r="A222" i="8"/>
  <c r="A206" i="8"/>
  <c r="A204" i="8"/>
  <c r="A224" i="4"/>
  <c r="A206" i="4"/>
  <c r="A171" i="9"/>
  <c r="A174" i="9"/>
  <c r="A174" i="3"/>
  <c r="E220" i="3" l="1"/>
  <c r="D220" i="3"/>
  <c r="D220" i="9" s="1"/>
  <c r="A203" i="3"/>
  <c r="E202" i="3"/>
  <c r="E202" i="9" s="1"/>
  <c r="D202" i="3"/>
  <c r="D202" i="9" s="1"/>
  <c r="B202" i="3"/>
  <c r="C202" i="3"/>
  <c r="B190" i="3"/>
  <c r="E190" i="3"/>
  <c r="D190" i="3"/>
  <c r="D190" i="9" s="1"/>
  <c r="E174" i="3"/>
  <c r="E174" i="9" s="1"/>
  <c r="D174" i="3"/>
  <c r="D174" i="9" s="1"/>
  <c r="A102" i="3"/>
  <c r="E101" i="3"/>
  <c r="D101" i="3"/>
  <c r="B101" i="3"/>
  <c r="A261" i="7"/>
  <c r="B260" i="7"/>
  <c r="AA260" i="7" s="1"/>
  <c r="C260" i="7"/>
  <c r="G260" i="7" s="1"/>
  <c r="C242" i="7"/>
  <c r="G242" i="7" s="1"/>
  <c r="A261" i="1"/>
  <c r="B260" i="1"/>
  <c r="A243" i="1"/>
  <c r="B242" i="1"/>
  <c r="E260" i="1"/>
  <c r="E260" i="7" s="1"/>
  <c r="D260" i="1"/>
  <c r="D260" i="7" s="1"/>
  <c r="C260" i="1"/>
  <c r="F260" i="1" s="1"/>
  <c r="F260" i="7" s="1"/>
  <c r="E242" i="1"/>
  <c r="E242" i="7" s="1"/>
  <c r="D242" i="1"/>
  <c r="D242" i="7" s="1"/>
  <c r="C242" i="1"/>
  <c r="F242" i="1" s="1"/>
  <c r="F242" i="7" s="1"/>
  <c r="C245" i="4"/>
  <c r="A219" i="1"/>
  <c r="B219" i="1" s="1"/>
  <c r="A219" i="7"/>
  <c r="B219" i="7" s="1"/>
  <c r="C218" i="7"/>
  <c r="G218" i="7" s="1"/>
  <c r="AA218" i="7"/>
  <c r="A246" i="4"/>
  <c r="C246" i="4" s="1"/>
  <c r="D245" i="4"/>
  <c r="D245" i="8" s="1"/>
  <c r="B245" i="4"/>
  <c r="B224" i="4"/>
  <c r="D224" i="4"/>
  <c r="D224" i="8" s="1"/>
  <c r="B206" i="4"/>
  <c r="D206" i="4"/>
  <c r="D206" i="8" s="1"/>
  <c r="A221" i="3"/>
  <c r="B220" i="3"/>
  <c r="A175" i="3"/>
  <c r="B174" i="3"/>
  <c r="A175" i="9"/>
  <c r="C175" i="9" s="1"/>
  <c r="B174" i="9"/>
  <c r="Y174" i="9" s="1"/>
  <c r="A221" i="9"/>
  <c r="B221" i="9" s="1"/>
  <c r="Y220" i="9"/>
  <c r="A203" i="9"/>
  <c r="B203" i="9" s="1"/>
  <c r="Y202" i="9"/>
  <c r="C220" i="9"/>
  <c r="C202" i="9"/>
  <c r="E220" i="9"/>
  <c r="C220" i="3"/>
  <c r="A191" i="3"/>
  <c r="E190" i="9"/>
  <c r="C190" i="3"/>
  <c r="D218" i="1"/>
  <c r="D218" i="7" s="1"/>
  <c r="E218" i="1"/>
  <c r="E218" i="7" s="1"/>
  <c r="C246" i="8"/>
  <c r="A207" i="4"/>
  <c r="A225" i="4"/>
  <c r="E225" i="4" s="1"/>
  <c r="E225" i="8" s="1"/>
  <c r="B224" i="8"/>
  <c r="AA224" i="8" s="1"/>
  <c r="A225" i="8"/>
  <c r="C224" i="8"/>
  <c r="B206" i="8"/>
  <c r="AA206" i="8" s="1"/>
  <c r="A207" i="8"/>
  <c r="C206" i="8"/>
  <c r="E224" i="4"/>
  <c r="E224" i="8" s="1"/>
  <c r="E206" i="4"/>
  <c r="E206" i="8" s="1"/>
  <c r="C224" i="4"/>
  <c r="C206" i="4"/>
  <c r="C174" i="9"/>
  <c r="C173" i="9"/>
  <c r="Y173" i="9"/>
  <c r="C174" i="3"/>
  <c r="C173" i="3"/>
  <c r="D173" i="9"/>
  <c r="E173" i="9"/>
  <c r="A190" i="8"/>
  <c r="C190" i="8" s="1"/>
  <c r="A188" i="8"/>
  <c r="A190" i="4"/>
  <c r="D221" i="3" l="1"/>
  <c r="E221" i="3"/>
  <c r="E221" i="9" s="1"/>
  <c r="A204" i="3"/>
  <c r="D203" i="3"/>
  <c r="D203" i="9" s="1"/>
  <c r="E203" i="3"/>
  <c r="E203" i="9" s="1"/>
  <c r="C203" i="3"/>
  <c r="B203" i="3"/>
  <c r="B191" i="3"/>
  <c r="D191" i="3"/>
  <c r="E191" i="3"/>
  <c r="E191" i="9" s="1"/>
  <c r="D175" i="3"/>
  <c r="D175" i="9" s="1"/>
  <c r="E175" i="3"/>
  <c r="E175" i="9" s="1"/>
  <c r="A103" i="3"/>
  <c r="D102" i="3"/>
  <c r="E102" i="3"/>
  <c r="B102" i="3"/>
  <c r="A262" i="7"/>
  <c r="B262" i="7" s="1"/>
  <c r="AA262" i="7" s="1"/>
  <c r="B261" i="7"/>
  <c r="AA261" i="7" s="1"/>
  <c r="C261" i="7"/>
  <c r="G261" i="7" s="1"/>
  <c r="C243" i="7"/>
  <c r="G243" i="7" s="1"/>
  <c r="A262" i="1"/>
  <c r="B262" i="1" s="1"/>
  <c r="B261" i="1"/>
  <c r="A244" i="1"/>
  <c r="B244" i="1" s="1"/>
  <c r="B243" i="1"/>
  <c r="D261" i="1"/>
  <c r="D261" i="7" s="1"/>
  <c r="C261" i="1"/>
  <c r="F261" i="1" s="1"/>
  <c r="F261" i="7" s="1"/>
  <c r="E261" i="1"/>
  <c r="E261" i="7" s="1"/>
  <c r="D243" i="1"/>
  <c r="D243" i="7" s="1"/>
  <c r="C243" i="1"/>
  <c r="F243" i="1" s="1"/>
  <c r="F243" i="7" s="1"/>
  <c r="E243" i="1"/>
  <c r="E243" i="7" s="1"/>
  <c r="A220" i="1"/>
  <c r="B220" i="1" s="1"/>
  <c r="E246" i="4"/>
  <c r="E246" i="8" s="1"/>
  <c r="A220" i="7"/>
  <c r="B220" i="7" s="1"/>
  <c r="C219" i="7"/>
  <c r="G219" i="7" s="1"/>
  <c r="AA219" i="7"/>
  <c r="C175" i="3"/>
  <c r="A247" i="4"/>
  <c r="E247" i="4" s="1"/>
  <c r="E247" i="8" s="1"/>
  <c r="D246" i="4"/>
  <c r="D246" i="8" s="1"/>
  <c r="B246" i="4"/>
  <c r="A226" i="4"/>
  <c r="B226" i="4" s="1"/>
  <c r="D225" i="4"/>
  <c r="D225" i="8" s="1"/>
  <c r="A208" i="4"/>
  <c r="B208" i="4" s="1"/>
  <c r="D207" i="4"/>
  <c r="D207" i="8" s="1"/>
  <c r="A191" i="4"/>
  <c r="D191" i="4" s="1"/>
  <c r="D191" i="8" s="1"/>
  <c r="D190" i="4"/>
  <c r="D190" i="8" s="1"/>
  <c r="A222" i="3"/>
  <c r="B221" i="3"/>
  <c r="A176" i="3"/>
  <c r="B175" i="3"/>
  <c r="A176" i="9"/>
  <c r="B175" i="9"/>
  <c r="Y175" i="9" s="1"/>
  <c r="A222" i="9"/>
  <c r="B222" i="9" s="1"/>
  <c r="Y221" i="9"/>
  <c r="A204" i="9"/>
  <c r="B204" i="9" s="1"/>
  <c r="Y203" i="9"/>
  <c r="C221" i="9"/>
  <c r="C203" i="9"/>
  <c r="D221" i="9"/>
  <c r="C221" i="3"/>
  <c r="A192" i="3"/>
  <c r="D191" i="9"/>
  <c r="C191" i="3"/>
  <c r="D219" i="1"/>
  <c r="D219" i="7" s="1"/>
  <c r="E219" i="1"/>
  <c r="E219" i="7" s="1"/>
  <c r="C247" i="8"/>
  <c r="B207" i="4"/>
  <c r="C207" i="4"/>
  <c r="E207" i="4"/>
  <c r="E207" i="8" s="1"/>
  <c r="C225" i="4"/>
  <c r="B225" i="4"/>
  <c r="A226" i="8"/>
  <c r="B225" i="8"/>
  <c r="AA225" i="8" s="1"/>
  <c r="C225" i="8"/>
  <c r="A208" i="8"/>
  <c r="B207" i="8"/>
  <c r="AA207" i="8" s="1"/>
  <c r="C207" i="8"/>
  <c r="A191" i="8"/>
  <c r="B191" i="8" s="1"/>
  <c r="AA191" i="8" s="1"/>
  <c r="B190" i="8"/>
  <c r="AA190" i="8" s="1"/>
  <c r="B190" i="4"/>
  <c r="C190" i="4"/>
  <c r="E190" i="4"/>
  <c r="E190" i="8" s="1"/>
  <c r="A172" i="8"/>
  <c r="A172" i="4"/>
  <c r="A170" i="8"/>
  <c r="E222" i="3" l="1"/>
  <c r="D222" i="3"/>
  <c r="A205" i="3"/>
  <c r="E204" i="3"/>
  <c r="E204" i="9" s="1"/>
  <c r="D204" i="3"/>
  <c r="D204" i="9" s="1"/>
  <c r="B204" i="3"/>
  <c r="C204" i="3"/>
  <c r="B192" i="3"/>
  <c r="E192" i="3"/>
  <c r="D192" i="3"/>
  <c r="D192" i="9" s="1"/>
  <c r="E176" i="3"/>
  <c r="E176" i="9" s="1"/>
  <c r="D176" i="3"/>
  <c r="D176" i="9" s="1"/>
  <c r="A104" i="3"/>
  <c r="E103" i="3"/>
  <c r="D103" i="3"/>
  <c r="B103" i="3"/>
  <c r="C262" i="7"/>
  <c r="G262" i="7" s="1"/>
  <c r="C244" i="7"/>
  <c r="G244" i="7" s="1"/>
  <c r="E262" i="1"/>
  <c r="E262" i="7" s="1"/>
  <c r="D262" i="1"/>
  <c r="D262" i="7" s="1"/>
  <c r="C262" i="1"/>
  <c r="F262" i="1" s="1"/>
  <c r="F262" i="7" s="1"/>
  <c r="E244" i="1"/>
  <c r="E244" i="7" s="1"/>
  <c r="D244" i="1"/>
  <c r="D244" i="7" s="1"/>
  <c r="C244" i="1"/>
  <c r="F244" i="1" s="1"/>
  <c r="F244" i="7" s="1"/>
  <c r="E208" i="4"/>
  <c r="E208" i="8" s="1"/>
  <c r="A221" i="1"/>
  <c r="B221" i="1" s="1"/>
  <c r="C226" i="4"/>
  <c r="A221" i="7"/>
  <c r="B221" i="7" s="1"/>
  <c r="C220" i="7"/>
  <c r="G220" i="7" s="1"/>
  <c r="AA220" i="7"/>
  <c r="A192" i="4"/>
  <c r="D192" i="4" s="1"/>
  <c r="D192" i="8" s="1"/>
  <c r="E226" i="4"/>
  <c r="E226" i="8" s="1"/>
  <c r="C247" i="4"/>
  <c r="E191" i="4"/>
  <c r="E191" i="8" s="1"/>
  <c r="C208" i="4"/>
  <c r="A248" i="4"/>
  <c r="E248" i="4" s="1"/>
  <c r="E248" i="8" s="1"/>
  <c r="D247" i="4"/>
  <c r="D247" i="8" s="1"/>
  <c r="B247" i="4"/>
  <c r="A227" i="4"/>
  <c r="D226" i="4"/>
  <c r="D226" i="8" s="1"/>
  <c r="A209" i="4"/>
  <c r="D208" i="4"/>
  <c r="D208" i="8" s="1"/>
  <c r="A193" i="4"/>
  <c r="B193" i="4" s="1"/>
  <c r="B172" i="4"/>
  <c r="D172" i="4"/>
  <c r="D172" i="8" s="1"/>
  <c r="A223" i="3"/>
  <c r="B222" i="3"/>
  <c r="A177" i="3"/>
  <c r="B176" i="3"/>
  <c r="C176" i="3"/>
  <c r="A177" i="9"/>
  <c r="B176" i="9"/>
  <c r="Y176" i="9" s="1"/>
  <c r="C176" i="9"/>
  <c r="A223" i="9"/>
  <c r="B223" i="9" s="1"/>
  <c r="Y222" i="9"/>
  <c r="A205" i="9"/>
  <c r="B205" i="9" s="1"/>
  <c r="Y204" i="9"/>
  <c r="C222" i="9"/>
  <c r="C204" i="9"/>
  <c r="E222" i="9"/>
  <c r="C222" i="3"/>
  <c r="D222" i="9"/>
  <c r="E192" i="9"/>
  <c r="C192" i="3"/>
  <c r="D220" i="1"/>
  <c r="D220" i="7" s="1"/>
  <c r="E220" i="1"/>
  <c r="E220" i="7" s="1"/>
  <c r="C248" i="8"/>
  <c r="C226" i="8"/>
  <c r="A227" i="8"/>
  <c r="B226" i="8"/>
  <c r="AA226" i="8" s="1"/>
  <c r="C208" i="8"/>
  <c r="A209" i="8"/>
  <c r="B208" i="8"/>
  <c r="AA208" i="8" s="1"/>
  <c r="A192" i="8"/>
  <c r="B192" i="8" s="1"/>
  <c r="AA192" i="8" s="1"/>
  <c r="C191" i="8"/>
  <c r="C191" i="4"/>
  <c r="B191" i="4"/>
  <c r="A173" i="8"/>
  <c r="C173" i="8" s="1"/>
  <c r="B172" i="8"/>
  <c r="AA172" i="8" s="1"/>
  <c r="C172" i="8"/>
  <c r="A173" i="4"/>
  <c r="D173" i="4" s="1"/>
  <c r="C172" i="4"/>
  <c r="E172" i="4"/>
  <c r="E172" i="8" s="1"/>
  <c r="A181" i="7"/>
  <c r="E182" i="7"/>
  <c r="D182" i="7"/>
  <c r="E223" i="3" l="1"/>
  <c r="D223" i="3"/>
  <c r="A206" i="3"/>
  <c r="D205" i="3"/>
  <c r="D205" i="9" s="1"/>
  <c r="E205" i="3"/>
  <c r="E205" i="9" s="1"/>
  <c r="B205" i="3"/>
  <c r="C205" i="3"/>
  <c r="D177" i="3"/>
  <c r="D177" i="9" s="1"/>
  <c r="E177" i="3"/>
  <c r="A105" i="3"/>
  <c r="D104" i="3"/>
  <c r="E104" i="3"/>
  <c r="B104" i="3"/>
  <c r="C193" i="4"/>
  <c r="A222" i="1"/>
  <c r="B222" i="1" s="1"/>
  <c r="E193" i="4"/>
  <c r="E193" i="8" s="1"/>
  <c r="E192" i="4"/>
  <c r="E192" i="8" s="1"/>
  <c r="A222" i="7"/>
  <c r="B222" i="7" s="1"/>
  <c r="C221" i="7"/>
  <c r="G221" i="7" s="1"/>
  <c r="AA221" i="7"/>
  <c r="C192" i="4"/>
  <c r="B192" i="4"/>
  <c r="C248" i="4"/>
  <c r="A249" i="4"/>
  <c r="C249" i="4" s="1"/>
  <c r="D248" i="4"/>
  <c r="D248" i="8" s="1"/>
  <c r="B248" i="4"/>
  <c r="A228" i="4"/>
  <c r="D227" i="4"/>
  <c r="D227" i="8" s="1"/>
  <c r="E227" i="4"/>
  <c r="E227" i="8" s="1"/>
  <c r="C227" i="4"/>
  <c r="B227" i="4"/>
  <c r="A210" i="4"/>
  <c r="D209" i="4"/>
  <c r="D209" i="8" s="1"/>
  <c r="E209" i="4"/>
  <c r="E209" i="8" s="1"/>
  <c r="C209" i="4"/>
  <c r="B209" i="4"/>
  <c r="A194" i="4"/>
  <c r="D193" i="4"/>
  <c r="D193" i="8" s="1"/>
  <c r="A224" i="3"/>
  <c r="B223" i="3"/>
  <c r="A178" i="3"/>
  <c r="B177" i="3"/>
  <c r="E177" i="9"/>
  <c r="C177" i="3"/>
  <c r="A178" i="9"/>
  <c r="B177" i="9"/>
  <c r="Y177" i="9" s="1"/>
  <c r="C177" i="9"/>
  <c r="A224" i="9"/>
  <c r="B224" i="9" s="1"/>
  <c r="Y223" i="9"/>
  <c r="A206" i="9"/>
  <c r="B206" i="9" s="1"/>
  <c r="Y205" i="9"/>
  <c r="C223" i="9"/>
  <c r="C205" i="9"/>
  <c r="C223" i="3"/>
  <c r="D223" i="9"/>
  <c r="E223" i="9"/>
  <c r="D221" i="1"/>
  <c r="D221" i="7" s="1"/>
  <c r="E221" i="1"/>
  <c r="E221" i="7" s="1"/>
  <c r="C249" i="8"/>
  <c r="AA183" i="7"/>
  <c r="D183" i="1"/>
  <c r="D183" i="7" s="1"/>
  <c r="A228" i="8"/>
  <c r="B227" i="8"/>
  <c r="AA227" i="8" s="1"/>
  <c r="C227" i="8"/>
  <c r="A210" i="8"/>
  <c r="B209" i="8"/>
  <c r="AA209" i="8" s="1"/>
  <c r="C209" i="8"/>
  <c r="A193" i="8"/>
  <c r="C192" i="8"/>
  <c r="A174" i="8"/>
  <c r="B173" i="8"/>
  <c r="AA173" i="8" s="1"/>
  <c r="A174" i="4"/>
  <c r="B173" i="4"/>
  <c r="C173" i="4"/>
  <c r="D173" i="8"/>
  <c r="E173" i="4"/>
  <c r="E173" i="8" s="1"/>
  <c r="A184" i="7"/>
  <c r="G183" i="7"/>
  <c r="A184" i="1"/>
  <c r="B184" i="1" s="1"/>
  <c r="F183" i="1"/>
  <c r="F183" i="7" s="1"/>
  <c r="E183" i="1"/>
  <c r="E183" i="7" s="1"/>
  <c r="E224" i="3" l="1"/>
  <c r="D224" i="3"/>
  <c r="A207" i="3"/>
  <c r="E206" i="3"/>
  <c r="E206" i="9" s="1"/>
  <c r="D206" i="3"/>
  <c r="D206" i="9" s="1"/>
  <c r="C206" i="3"/>
  <c r="B206" i="3"/>
  <c r="E178" i="3"/>
  <c r="E178" i="9" s="1"/>
  <c r="D178" i="3"/>
  <c r="A106" i="3"/>
  <c r="E105" i="3"/>
  <c r="D105" i="3"/>
  <c r="B105" i="3"/>
  <c r="A223" i="1"/>
  <c r="B223" i="1" s="1"/>
  <c r="C184" i="7"/>
  <c r="G184" i="7" s="1"/>
  <c r="B184" i="7"/>
  <c r="AA184" i="7" s="1"/>
  <c r="E249" i="4"/>
  <c r="E249" i="8" s="1"/>
  <c r="A223" i="7"/>
  <c r="B223" i="7" s="1"/>
  <c r="C222" i="7"/>
  <c r="G222" i="7" s="1"/>
  <c r="AA222" i="7"/>
  <c r="C184" i="1"/>
  <c r="F184" i="1" s="1"/>
  <c r="F184" i="7" s="1"/>
  <c r="A250" i="4"/>
  <c r="C250" i="4" s="1"/>
  <c r="D249" i="4"/>
  <c r="D249" i="8" s="1"/>
  <c r="B249" i="4"/>
  <c r="A229" i="4"/>
  <c r="D228" i="4"/>
  <c r="D228" i="8" s="1"/>
  <c r="B228" i="4"/>
  <c r="C228" i="4"/>
  <c r="E228" i="4"/>
  <c r="E228" i="8" s="1"/>
  <c r="A211" i="4"/>
  <c r="D210" i="4"/>
  <c r="D210" i="8" s="1"/>
  <c r="E210" i="4"/>
  <c r="E210" i="8" s="1"/>
  <c r="B210" i="4"/>
  <c r="C210" i="4"/>
  <c r="A195" i="4"/>
  <c r="D194" i="4"/>
  <c r="D194" i="8" s="1"/>
  <c r="C194" i="4"/>
  <c r="E194" i="4"/>
  <c r="E194" i="8" s="1"/>
  <c r="B194" i="4"/>
  <c r="E174" i="4"/>
  <c r="E174" i="8" s="1"/>
  <c r="D174" i="4"/>
  <c r="D174" i="8" s="1"/>
  <c r="A225" i="3"/>
  <c r="B224" i="3"/>
  <c r="A179" i="3"/>
  <c r="B178" i="3"/>
  <c r="D178" i="9"/>
  <c r="C178" i="3"/>
  <c r="A179" i="9"/>
  <c r="B178" i="9"/>
  <c r="Y178" i="9" s="1"/>
  <c r="C178" i="9"/>
  <c r="C157" i="9"/>
  <c r="Y156" i="9"/>
  <c r="A225" i="9"/>
  <c r="B225" i="9" s="1"/>
  <c r="Y224" i="9"/>
  <c r="A207" i="9"/>
  <c r="B207" i="9" s="1"/>
  <c r="Y206" i="9"/>
  <c r="C224" i="9"/>
  <c r="C206" i="9"/>
  <c r="D224" i="9"/>
  <c r="E224" i="9"/>
  <c r="C224" i="3"/>
  <c r="D222" i="1"/>
  <c r="D222" i="7" s="1"/>
  <c r="E222" i="1"/>
  <c r="E222" i="7" s="1"/>
  <c r="C250" i="8"/>
  <c r="C228" i="8"/>
  <c r="A229" i="8"/>
  <c r="B228" i="8"/>
  <c r="AA228" i="8" s="1"/>
  <c r="C210" i="8"/>
  <c r="A211" i="8"/>
  <c r="B210" i="8"/>
  <c r="AA210" i="8" s="1"/>
  <c r="A194" i="8"/>
  <c r="C193" i="8"/>
  <c r="B193" i="8"/>
  <c r="AA193" i="8" s="1"/>
  <c r="A175" i="8"/>
  <c r="B174" i="8"/>
  <c r="AA174" i="8" s="1"/>
  <c r="C174" i="8"/>
  <c r="C174" i="4"/>
  <c r="A175" i="4"/>
  <c r="D175" i="4" s="1"/>
  <c r="B174" i="4"/>
  <c r="A185" i="7"/>
  <c r="A185" i="1"/>
  <c r="B185" i="1" s="1"/>
  <c r="D184" i="1"/>
  <c r="D184" i="7" s="1"/>
  <c r="E184" i="1"/>
  <c r="E184" i="7" s="1"/>
  <c r="C156" i="9"/>
  <c r="C155" i="9"/>
  <c r="Y155" i="9"/>
  <c r="D225" i="3" l="1"/>
  <c r="E225" i="3"/>
  <c r="A208" i="3"/>
  <c r="D207" i="3"/>
  <c r="D207" i="9" s="1"/>
  <c r="E207" i="3"/>
  <c r="E207" i="9" s="1"/>
  <c r="B207" i="3"/>
  <c r="C207" i="3"/>
  <c r="D179" i="3"/>
  <c r="D179" i="9" s="1"/>
  <c r="E179" i="3"/>
  <c r="A107" i="3"/>
  <c r="D106" i="3"/>
  <c r="E106" i="3"/>
  <c r="B106" i="3"/>
  <c r="A224" i="1"/>
  <c r="B224" i="1" s="1"/>
  <c r="C185" i="7"/>
  <c r="G185" i="7" s="1"/>
  <c r="B185" i="7"/>
  <c r="AA185" i="7" s="1"/>
  <c r="E250" i="4"/>
  <c r="E250" i="8" s="1"/>
  <c r="A224" i="7"/>
  <c r="B224" i="7" s="1"/>
  <c r="C223" i="7"/>
  <c r="G223" i="7" s="1"/>
  <c r="AA223" i="7"/>
  <c r="C185" i="1"/>
  <c r="F185" i="1" s="1"/>
  <c r="F185" i="7" s="1"/>
  <c r="A251" i="4"/>
  <c r="E251" i="4" s="1"/>
  <c r="E251" i="8" s="1"/>
  <c r="D250" i="4"/>
  <c r="D250" i="8" s="1"/>
  <c r="B250" i="4"/>
  <c r="A230" i="4"/>
  <c r="D229" i="4"/>
  <c r="D229" i="8" s="1"/>
  <c r="C229" i="4"/>
  <c r="B229" i="4"/>
  <c r="E229" i="4"/>
  <c r="E229" i="8" s="1"/>
  <c r="A212" i="4"/>
  <c r="D211" i="4"/>
  <c r="D211" i="8" s="1"/>
  <c r="C211" i="4"/>
  <c r="B211" i="4"/>
  <c r="E211" i="4"/>
  <c r="E211" i="8" s="1"/>
  <c r="A196" i="4"/>
  <c r="D195" i="4"/>
  <c r="D195" i="8" s="1"/>
  <c r="C195" i="4"/>
  <c r="E195" i="4"/>
  <c r="E195" i="8" s="1"/>
  <c r="B195" i="4"/>
  <c r="A226" i="3"/>
  <c r="B225" i="3"/>
  <c r="A180" i="3"/>
  <c r="B179" i="3"/>
  <c r="E179" i="9"/>
  <c r="C179" i="3"/>
  <c r="A180" i="9"/>
  <c r="B179" i="9"/>
  <c r="Y179" i="9" s="1"/>
  <c r="C179" i="9"/>
  <c r="Y157" i="9"/>
  <c r="A226" i="9"/>
  <c r="B226" i="9" s="1"/>
  <c r="Y225" i="9"/>
  <c r="A208" i="9"/>
  <c r="B208" i="9" s="1"/>
  <c r="Y207" i="9"/>
  <c r="C225" i="9"/>
  <c r="C207" i="9"/>
  <c r="D225" i="9"/>
  <c r="E225" i="9"/>
  <c r="C225" i="3"/>
  <c r="D223" i="1"/>
  <c r="D223" i="7" s="1"/>
  <c r="E223" i="1"/>
  <c r="E223" i="7" s="1"/>
  <c r="C251" i="8"/>
  <c r="A230" i="8"/>
  <c r="B229" i="8"/>
  <c r="AA229" i="8" s="1"/>
  <c r="C229" i="8"/>
  <c r="A212" i="8"/>
  <c r="B211" i="8"/>
  <c r="AA211" i="8" s="1"/>
  <c r="C211" i="8"/>
  <c r="A195" i="8"/>
  <c r="C194" i="8"/>
  <c r="B194" i="8"/>
  <c r="AA194" i="8" s="1"/>
  <c r="A176" i="8"/>
  <c r="B175" i="8"/>
  <c r="AA175" i="8" s="1"/>
  <c r="C175" i="8"/>
  <c r="A176" i="4"/>
  <c r="D176" i="4" s="1"/>
  <c r="B175" i="4"/>
  <c r="C175" i="4"/>
  <c r="E175" i="4"/>
  <c r="E175" i="8" s="1"/>
  <c r="D175" i="8"/>
  <c r="A186" i="7"/>
  <c r="A186" i="1"/>
  <c r="B186" i="1" s="1"/>
  <c r="D185" i="1"/>
  <c r="D185" i="7" s="1"/>
  <c r="E185" i="1"/>
  <c r="E185" i="7" s="1"/>
  <c r="C155" i="3"/>
  <c r="D155" i="9"/>
  <c r="E155" i="9"/>
  <c r="A51" i="11"/>
  <c r="A3" i="11"/>
  <c r="C3" i="11" s="1"/>
  <c r="A52" i="6"/>
  <c r="A53" i="6" s="1"/>
  <c r="A54" i="6" s="1"/>
  <c r="A55" i="6" s="1"/>
  <c r="C55" i="6" s="1"/>
  <c r="F55" i="6" s="1"/>
  <c r="A40" i="9"/>
  <c r="A41" i="9" s="1"/>
  <c r="A42" i="9" s="1"/>
  <c r="A43" i="9" s="1"/>
  <c r="A44" i="9" s="1"/>
  <c r="A45" i="9" s="1"/>
  <c r="B45" i="9" s="1"/>
  <c r="Y45" i="9" s="1"/>
  <c r="A95" i="7"/>
  <c r="B95" i="7" s="1"/>
  <c r="AA95" i="7" s="1"/>
  <c r="A95" i="1"/>
  <c r="A154" i="8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C167" i="8" s="1"/>
  <c r="A152" i="8"/>
  <c r="A154" i="4"/>
  <c r="D154" i="4" s="1"/>
  <c r="A115" i="9"/>
  <c r="A1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B14" i="6" s="1"/>
  <c r="AA14" i="6" s="1"/>
  <c r="A27" i="9"/>
  <c r="A28" i="9" s="1"/>
  <c r="A29" i="9" s="1"/>
  <c r="A30" i="9" s="1"/>
  <c r="A31" i="9" s="1"/>
  <c r="A32" i="9" s="1"/>
  <c r="A33" i="9" s="1"/>
  <c r="A34" i="9" s="1"/>
  <c r="B34" i="9" s="1"/>
  <c r="Y34" i="9" s="1"/>
  <c r="A27" i="3"/>
  <c r="A15" i="9"/>
  <c r="A16" i="9" s="1"/>
  <c r="A17" i="9" s="1"/>
  <c r="A18" i="9" s="1"/>
  <c r="A19" i="9" s="1"/>
  <c r="A20" i="9" s="1"/>
  <c r="A21" i="9" s="1"/>
  <c r="A22" i="9" s="1"/>
  <c r="C22" i="9" s="1"/>
  <c r="A15" i="3"/>
  <c r="A142" i="9"/>
  <c r="A140" i="9"/>
  <c r="A132" i="9"/>
  <c r="A130" i="9"/>
  <c r="A142" i="3"/>
  <c r="A132" i="3"/>
  <c r="B39" i="3"/>
  <c r="A115" i="3"/>
  <c r="A40" i="1"/>
  <c r="B3" i="9"/>
  <c r="Y3" i="9" s="1"/>
  <c r="B3" i="3"/>
  <c r="A112" i="9"/>
  <c r="A140" i="4"/>
  <c r="A108" i="4"/>
  <c r="A90" i="4"/>
  <c r="A72" i="4"/>
  <c r="D74" i="7"/>
  <c r="A165" i="7"/>
  <c r="A165" i="1"/>
  <c r="A163" i="7"/>
  <c r="A145" i="7"/>
  <c r="E164" i="7"/>
  <c r="D164" i="7"/>
  <c r="A76" i="7"/>
  <c r="B76" i="7" s="1"/>
  <c r="A73" i="7"/>
  <c r="A1" i="9"/>
  <c r="A76" i="9"/>
  <c r="A61" i="9"/>
  <c r="A49" i="9"/>
  <c r="A64" i="9"/>
  <c r="A52" i="9"/>
  <c r="A64" i="3"/>
  <c r="A52" i="3"/>
  <c r="A138" i="8"/>
  <c r="A124" i="8"/>
  <c r="A106" i="8"/>
  <c r="A88" i="8"/>
  <c r="A70" i="8"/>
  <c r="A52" i="8"/>
  <c r="A28" i="8"/>
  <c r="A16" i="8"/>
  <c r="A1" i="8"/>
  <c r="A31" i="8"/>
  <c r="A32" i="8" s="1"/>
  <c r="A33" i="8" s="1"/>
  <c r="A34" i="8" s="1"/>
  <c r="A35" i="8" s="1"/>
  <c r="A36" i="8" s="1"/>
  <c r="B36" i="8" s="1"/>
  <c r="AA36" i="8" s="1"/>
  <c r="A19" i="8"/>
  <c r="A20" i="8" s="1"/>
  <c r="A21" i="8" s="1"/>
  <c r="A22" i="8" s="1"/>
  <c r="A23" i="8" s="1"/>
  <c r="A24" i="8" s="1"/>
  <c r="B24" i="8" s="1"/>
  <c r="AA24" i="8" s="1"/>
  <c r="A72" i="8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B84" i="8" s="1"/>
  <c r="AA84" i="8" s="1"/>
  <c r="A90" i="8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B102" i="8" s="1"/>
  <c r="AA102" i="8" s="1"/>
  <c r="A108" i="8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B120" i="8" s="1"/>
  <c r="AA120" i="8" s="1"/>
  <c r="A140" i="8"/>
  <c r="A141" i="8" s="1"/>
  <c r="A142" i="8" s="1"/>
  <c r="A143" i="8" s="1"/>
  <c r="A144" i="8" s="1"/>
  <c r="A145" i="8" s="1"/>
  <c r="A146" i="8" s="1"/>
  <c r="A147" i="8" s="1"/>
  <c r="A148" i="8" s="1"/>
  <c r="B148" i="8" s="1"/>
  <c r="AA148" i="8" s="1"/>
  <c r="E146" i="7"/>
  <c r="D146" i="7"/>
  <c r="A127" i="7"/>
  <c r="A109" i="7"/>
  <c r="E94" i="7"/>
  <c r="D94" i="7"/>
  <c r="A93" i="7"/>
  <c r="A55" i="7"/>
  <c r="A37" i="7"/>
  <c r="A40" i="7"/>
  <c r="B40" i="7" s="1"/>
  <c r="A19" i="7"/>
  <c r="A1" i="7"/>
  <c r="D2" i="7"/>
  <c r="Y97" i="9"/>
  <c r="A79" i="9"/>
  <c r="A126" i="8"/>
  <c r="B126" i="8" s="1"/>
  <c r="AA126" i="8" s="1"/>
  <c r="A54" i="8"/>
  <c r="B54" i="8" s="1"/>
  <c r="AA54" i="8" s="1"/>
  <c r="C3" i="8"/>
  <c r="A147" i="7" a="1"/>
  <c r="A147" i="7" s="1"/>
  <c r="B147" i="7" s="1"/>
  <c r="AA147" i="7" s="1"/>
  <c r="G57" i="7"/>
  <c r="G21" i="7"/>
  <c r="A147" i="1" a="1"/>
  <c r="A147" i="1" s="1"/>
  <c r="D1" i="5"/>
  <c r="A79" i="3"/>
  <c r="A54" i="4"/>
  <c r="A126" i="4"/>
  <c r="D3" i="4"/>
  <c r="A22" i="1"/>
  <c r="E3" i="1"/>
  <c r="E3" i="7" s="1"/>
  <c r="E226" i="3" l="1"/>
  <c r="D226" i="3"/>
  <c r="A209" i="3"/>
  <c r="E208" i="3"/>
  <c r="E208" i="9" s="1"/>
  <c r="D208" i="3"/>
  <c r="D208" i="9" s="1"/>
  <c r="B208" i="3"/>
  <c r="C208" i="3"/>
  <c r="E180" i="3"/>
  <c r="E180" i="9" s="1"/>
  <c r="D180" i="3"/>
  <c r="E142" i="3"/>
  <c r="D142" i="3"/>
  <c r="D132" i="3"/>
  <c r="D132" i="9" s="1"/>
  <c r="E132" i="3"/>
  <c r="E115" i="3"/>
  <c r="D115" i="3"/>
  <c r="A108" i="3"/>
  <c r="C108" i="3" s="1"/>
  <c r="E107" i="3"/>
  <c r="D107" i="3"/>
  <c r="B107" i="3"/>
  <c r="E79" i="3"/>
  <c r="E79" i="9" s="1"/>
  <c r="D79" i="3"/>
  <c r="E64" i="3"/>
  <c r="D64" i="3"/>
  <c r="E52" i="3"/>
  <c r="E52" i="9" s="1"/>
  <c r="D52" i="3"/>
  <c r="A28" i="3"/>
  <c r="E27" i="3"/>
  <c r="D27" i="3"/>
  <c r="D27" i="9" s="1"/>
  <c r="B15" i="3"/>
  <c r="E15" i="3"/>
  <c r="D15" i="3"/>
  <c r="A225" i="1"/>
  <c r="B225" i="1" s="1"/>
  <c r="C186" i="7"/>
  <c r="G186" i="7" s="1"/>
  <c r="B186" i="7"/>
  <c r="AA186" i="7" s="1"/>
  <c r="C165" i="7"/>
  <c r="G165" i="7" s="1"/>
  <c r="B165" i="7"/>
  <c r="AA165" i="7" s="1"/>
  <c r="C165" i="1"/>
  <c r="F165" i="1" s="1"/>
  <c r="F165" i="7" s="1"/>
  <c r="B165" i="1"/>
  <c r="A96" i="1"/>
  <c r="C40" i="1"/>
  <c r="B40" i="1"/>
  <c r="C22" i="1"/>
  <c r="B22" i="1"/>
  <c r="A41" i="7"/>
  <c r="B41" i="7" s="1"/>
  <c r="AA41" i="7" s="1"/>
  <c r="C40" i="7"/>
  <c r="G40" i="7" s="1"/>
  <c r="C76" i="7"/>
  <c r="G76" i="7" s="1"/>
  <c r="A225" i="7"/>
  <c r="B225" i="7" s="1"/>
  <c r="AA225" i="7" s="1"/>
  <c r="C224" i="7"/>
  <c r="G224" i="7" s="1"/>
  <c r="AA224" i="7"/>
  <c r="A23" i="1"/>
  <c r="D23" i="1" s="1"/>
  <c r="D23" i="7" s="1"/>
  <c r="C186" i="1"/>
  <c r="F186" i="1" s="1"/>
  <c r="F186" i="7" s="1"/>
  <c r="C251" i="4"/>
  <c r="A52" i="11"/>
  <c r="C52" i="11" s="1"/>
  <c r="E51" i="11"/>
  <c r="E51" i="6" s="1"/>
  <c r="A252" i="4"/>
  <c r="E252" i="4" s="1"/>
  <c r="E252" i="8" s="1"/>
  <c r="D251" i="4"/>
  <c r="D251" i="8" s="1"/>
  <c r="B251" i="4"/>
  <c r="A231" i="4"/>
  <c r="D230" i="4"/>
  <c r="D230" i="8" s="1"/>
  <c r="C230" i="4"/>
  <c r="E230" i="4"/>
  <c r="E230" i="8" s="1"/>
  <c r="B230" i="4"/>
  <c r="A213" i="4"/>
  <c r="D212" i="4"/>
  <c r="D212" i="8" s="1"/>
  <c r="E212" i="4"/>
  <c r="E212" i="8" s="1"/>
  <c r="B212" i="4"/>
  <c r="C212" i="4"/>
  <c r="A197" i="4"/>
  <c r="D196" i="4"/>
  <c r="D196" i="8" s="1"/>
  <c r="E196" i="4"/>
  <c r="E196" i="8" s="1"/>
  <c r="C196" i="4"/>
  <c r="B196" i="4"/>
  <c r="A155" i="4"/>
  <c r="D155" i="4" s="1"/>
  <c r="A141" i="4"/>
  <c r="B141" i="4" s="1"/>
  <c r="D140" i="4"/>
  <c r="D140" i="8" s="1"/>
  <c r="D126" i="4"/>
  <c r="D126" i="8" s="1"/>
  <c r="A31" i="4"/>
  <c r="E31" i="4" s="1"/>
  <c r="D30" i="4"/>
  <c r="A91" i="4"/>
  <c r="E91" i="4" s="1"/>
  <c r="E91" i="8" s="1"/>
  <c r="D90" i="4"/>
  <c r="D90" i="8" s="1"/>
  <c r="C54" i="4"/>
  <c r="D54" i="4"/>
  <c r="D54" i="8" s="1"/>
  <c r="A73" i="4"/>
  <c r="B73" i="4" s="1"/>
  <c r="D72" i="4"/>
  <c r="D72" i="8" s="1"/>
  <c r="A109" i="4"/>
  <c r="E109" i="4" s="1"/>
  <c r="E109" i="8" s="1"/>
  <c r="D108" i="4"/>
  <c r="D108" i="8" s="1"/>
  <c r="A19" i="4"/>
  <c r="E19" i="4" s="1"/>
  <c r="E19" i="8" s="1"/>
  <c r="D18" i="4"/>
  <c r="D18" i="8" s="1"/>
  <c r="A227" i="3"/>
  <c r="B226" i="3"/>
  <c r="C180" i="3"/>
  <c r="B180" i="3"/>
  <c r="D180" i="9"/>
  <c r="A143" i="3"/>
  <c r="B142" i="3"/>
  <c r="A133" i="3"/>
  <c r="B132" i="3"/>
  <c r="A116" i="3"/>
  <c r="B115" i="3"/>
  <c r="A80" i="3"/>
  <c r="B79" i="3"/>
  <c r="A65" i="3"/>
  <c r="B64" i="3"/>
  <c r="A53" i="3"/>
  <c r="B52" i="3"/>
  <c r="B180" i="9"/>
  <c r="Y180" i="9" s="1"/>
  <c r="C180" i="9"/>
  <c r="Y158" i="9"/>
  <c r="C158" i="9"/>
  <c r="A143" i="9"/>
  <c r="C143" i="9" s="1"/>
  <c r="B142" i="9"/>
  <c r="Y142" i="9" s="1"/>
  <c r="A133" i="9"/>
  <c r="C133" i="9" s="1"/>
  <c r="B132" i="9"/>
  <c r="Y132" i="9" s="1"/>
  <c r="A116" i="9"/>
  <c r="B115" i="9"/>
  <c r="Y115" i="9" s="1"/>
  <c r="B79" i="9"/>
  <c r="Y79" i="9" s="1"/>
  <c r="A65" i="9"/>
  <c r="B64" i="9"/>
  <c r="Y64" i="9" s="1"/>
  <c r="A53" i="9"/>
  <c r="B52" i="9"/>
  <c r="Y52" i="9" s="1"/>
  <c r="A227" i="9"/>
  <c r="B227" i="9" s="1"/>
  <c r="Y226" i="9"/>
  <c r="A209" i="9"/>
  <c r="B209" i="9" s="1"/>
  <c r="Y208" i="9"/>
  <c r="C226" i="9"/>
  <c r="C208" i="9"/>
  <c r="E226" i="9"/>
  <c r="C226" i="3"/>
  <c r="D226" i="9"/>
  <c r="A77" i="7"/>
  <c r="B77" i="7" s="1"/>
  <c r="AA76" i="7"/>
  <c r="D224" i="1"/>
  <c r="D224" i="7" s="1"/>
  <c r="E224" i="1"/>
  <c r="E224" i="7" s="1"/>
  <c r="C252" i="8"/>
  <c r="B95" i="1"/>
  <c r="G3" i="7"/>
  <c r="C230" i="8"/>
  <c r="A231" i="8"/>
  <c r="B230" i="8"/>
  <c r="AA230" i="8" s="1"/>
  <c r="C212" i="8"/>
  <c r="A213" i="8"/>
  <c r="B212" i="8"/>
  <c r="AA212" i="8" s="1"/>
  <c r="A196" i="8"/>
  <c r="C195" i="8"/>
  <c r="B195" i="8"/>
  <c r="AA195" i="8" s="1"/>
  <c r="A177" i="8"/>
  <c r="B176" i="8"/>
  <c r="AA176" i="8" s="1"/>
  <c r="C176" i="8"/>
  <c r="A177" i="4"/>
  <c r="D177" i="4" s="1"/>
  <c r="B176" i="4"/>
  <c r="E176" i="4"/>
  <c r="E176" i="8" s="1"/>
  <c r="D176" i="8"/>
  <c r="C176" i="4"/>
  <c r="A187" i="7"/>
  <c r="A187" i="1"/>
  <c r="B187" i="1" s="1"/>
  <c r="D186" i="1"/>
  <c r="D186" i="7" s="1"/>
  <c r="E186" i="1"/>
  <c r="E186" i="7" s="1"/>
  <c r="D156" i="9"/>
  <c r="E156" i="9"/>
  <c r="C156" i="3"/>
  <c r="D51" i="11"/>
  <c r="C51" i="11"/>
  <c r="B51" i="11"/>
  <c r="B3" i="11"/>
  <c r="A4" i="11"/>
  <c r="B53" i="6"/>
  <c r="AA53" i="6" s="1"/>
  <c r="B55" i="6"/>
  <c r="AA55" i="6" s="1"/>
  <c r="B52" i="6"/>
  <c r="AA52" i="6" s="1"/>
  <c r="B54" i="6"/>
  <c r="AA54" i="6" s="1"/>
  <c r="B51" i="6"/>
  <c r="AA51" i="6" s="1"/>
  <c r="C51" i="6"/>
  <c r="F51" i="6" s="1"/>
  <c r="C53" i="6"/>
  <c r="F53" i="6" s="1"/>
  <c r="C52" i="6"/>
  <c r="F52" i="6" s="1"/>
  <c r="C54" i="6"/>
  <c r="F54" i="6" s="1"/>
  <c r="C95" i="1"/>
  <c r="F95" i="1" s="1"/>
  <c r="F95" i="7" s="1"/>
  <c r="E129" i="1"/>
  <c r="E129" i="7" s="1"/>
  <c r="D129" i="1"/>
  <c r="D129" i="7" s="1"/>
  <c r="E111" i="1"/>
  <c r="E111" i="7" s="1"/>
  <c r="D111" i="1"/>
  <c r="D111" i="7" s="1"/>
  <c r="E57" i="1"/>
  <c r="E57" i="7" s="1"/>
  <c r="D57" i="1"/>
  <c r="D57" i="7" s="1"/>
  <c r="E39" i="1"/>
  <c r="E39" i="7" s="1"/>
  <c r="D40" i="1"/>
  <c r="D40" i="7" s="1"/>
  <c r="D39" i="1"/>
  <c r="D39" i="7" s="1"/>
  <c r="E40" i="1"/>
  <c r="E40" i="7" s="1"/>
  <c r="E21" i="1"/>
  <c r="E21" i="7" s="1"/>
  <c r="D22" i="1"/>
  <c r="D22" i="7" s="1"/>
  <c r="D21" i="1"/>
  <c r="D21" i="7" s="1"/>
  <c r="E22" i="1"/>
  <c r="E22" i="7" s="1"/>
  <c r="C3" i="6"/>
  <c r="C4" i="6"/>
  <c r="C5" i="6"/>
  <c r="C6" i="6"/>
  <c r="C7" i="6"/>
  <c r="C8" i="6"/>
  <c r="C9" i="6"/>
  <c r="C10" i="6"/>
  <c r="C11" i="6"/>
  <c r="C12" i="6"/>
  <c r="C13" i="6"/>
  <c r="C14" i="6"/>
  <c r="B3" i="6"/>
  <c r="AA3" i="6" s="1"/>
  <c r="B4" i="6"/>
  <c r="AA4" i="6" s="1"/>
  <c r="B5" i="6"/>
  <c r="AA5" i="6" s="1"/>
  <c r="B6" i="6"/>
  <c r="AA6" i="6" s="1"/>
  <c r="B7" i="6"/>
  <c r="AA7" i="6" s="1"/>
  <c r="B8" i="6"/>
  <c r="AA8" i="6" s="1"/>
  <c r="B9" i="6"/>
  <c r="AA9" i="6" s="1"/>
  <c r="B10" i="6"/>
  <c r="AA10" i="6" s="1"/>
  <c r="B11" i="6"/>
  <c r="AA11" i="6" s="1"/>
  <c r="B12" i="6"/>
  <c r="AA12" i="6" s="1"/>
  <c r="B13" i="6"/>
  <c r="AA13" i="6" s="1"/>
  <c r="Y63" i="9"/>
  <c r="A40" i="3"/>
  <c r="B155" i="8"/>
  <c r="AA155" i="8" s="1"/>
  <c r="B157" i="8"/>
  <c r="AA157" i="8" s="1"/>
  <c r="B159" i="8"/>
  <c r="AA159" i="8" s="1"/>
  <c r="B161" i="8"/>
  <c r="AA161" i="8" s="1"/>
  <c r="B163" i="8"/>
  <c r="AA163" i="8" s="1"/>
  <c r="B165" i="8"/>
  <c r="AA165" i="8" s="1"/>
  <c r="B167" i="8"/>
  <c r="AA167" i="8" s="1"/>
  <c r="B156" i="8"/>
  <c r="AA156" i="8" s="1"/>
  <c r="B158" i="8"/>
  <c r="AA158" i="8" s="1"/>
  <c r="B160" i="8"/>
  <c r="AA160" i="8" s="1"/>
  <c r="B162" i="8"/>
  <c r="AA162" i="8" s="1"/>
  <c r="B164" i="8"/>
  <c r="AA164" i="8" s="1"/>
  <c r="B166" i="8"/>
  <c r="AA166" i="8" s="1"/>
  <c r="C155" i="8"/>
  <c r="C157" i="8"/>
  <c r="C159" i="8"/>
  <c r="C161" i="8"/>
  <c r="C163" i="8"/>
  <c r="C165" i="8"/>
  <c r="C156" i="8"/>
  <c r="C158" i="8"/>
  <c r="C160" i="8"/>
  <c r="C162" i="8"/>
  <c r="C164" i="8"/>
  <c r="C166" i="8"/>
  <c r="C154" i="8"/>
  <c r="B154" i="8"/>
  <c r="AA154" i="8" s="1"/>
  <c r="E154" i="4"/>
  <c r="E154" i="8" s="1"/>
  <c r="D154" i="8"/>
  <c r="C154" i="4"/>
  <c r="B154" i="4"/>
  <c r="E140" i="4"/>
  <c r="E140" i="8" s="1"/>
  <c r="E126" i="4"/>
  <c r="E126" i="8" s="1"/>
  <c r="E108" i="4"/>
  <c r="E108" i="8" s="1"/>
  <c r="E90" i="4"/>
  <c r="E90" i="8" s="1"/>
  <c r="E72" i="4"/>
  <c r="E72" i="8" s="1"/>
  <c r="E54" i="4"/>
  <c r="E54" i="8" s="1"/>
  <c r="E30" i="4"/>
  <c r="E18" i="4"/>
  <c r="E18" i="8" s="1"/>
  <c r="D3" i="8"/>
  <c r="E3" i="4"/>
  <c r="E3" i="8" s="1"/>
  <c r="C3" i="9"/>
  <c r="A4" i="9"/>
  <c r="B4" i="9" s="1"/>
  <c r="Y4" i="9" s="1"/>
  <c r="C95" i="7"/>
  <c r="G95" i="7" s="1"/>
  <c r="C3" i="3"/>
  <c r="Y114" i="9"/>
  <c r="Y96" i="9"/>
  <c r="Y78" i="9"/>
  <c r="Y51" i="9"/>
  <c r="B40" i="9"/>
  <c r="Y40" i="9" s="1"/>
  <c r="B42" i="9"/>
  <c r="Y42" i="9" s="1"/>
  <c r="B44" i="9"/>
  <c r="Y44" i="9" s="1"/>
  <c r="B41" i="9"/>
  <c r="Y41" i="9" s="1"/>
  <c r="B43" i="9"/>
  <c r="Y43" i="9" s="1"/>
  <c r="B39" i="9"/>
  <c r="Y39" i="9" s="1"/>
  <c r="C45" i="9"/>
  <c r="A46" i="9"/>
  <c r="B28" i="9"/>
  <c r="Y28" i="9" s="1"/>
  <c r="B30" i="9"/>
  <c r="Y30" i="9" s="1"/>
  <c r="B32" i="9"/>
  <c r="Y32" i="9" s="1"/>
  <c r="B29" i="9"/>
  <c r="Y29" i="9" s="1"/>
  <c r="B31" i="9"/>
  <c r="Y31" i="9" s="1"/>
  <c r="B33" i="9"/>
  <c r="Y33" i="9" s="1"/>
  <c r="B27" i="9"/>
  <c r="Y27" i="9" s="1"/>
  <c r="C28" i="9"/>
  <c r="C30" i="9"/>
  <c r="C32" i="9"/>
  <c r="C34" i="9"/>
  <c r="C29" i="9"/>
  <c r="C31" i="9"/>
  <c r="C33" i="9"/>
  <c r="C27" i="9"/>
  <c r="B28" i="3"/>
  <c r="B27" i="3"/>
  <c r="C27" i="3"/>
  <c r="C16" i="9"/>
  <c r="C20" i="9"/>
  <c r="B16" i="9"/>
  <c r="Y16" i="9" s="1"/>
  <c r="B18" i="9"/>
  <c r="Y18" i="9" s="1"/>
  <c r="B20" i="9"/>
  <c r="Y20" i="9" s="1"/>
  <c r="B22" i="9"/>
  <c r="Y22" i="9" s="1"/>
  <c r="C18" i="9"/>
  <c r="B17" i="9"/>
  <c r="Y17" i="9" s="1"/>
  <c r="B19" i="9"/>
  <c r="Y19" i="9" s="1"/>
  <c r="B21" i="9"/>
  <c r="Y21" i="9" s="1"/>
  <c r="A16" i="3"/>
  <c r="C17" i="9"/>
  <c r="C19" i="9"/>
  <c r="C21" i="9"/>
  <c r="C15" i="9"/>
  <c r="B15" i="9"/>
  <c r="Y15" i="9" s="1"/>
  <c r="C15" i="3"/>
  <c r="C142" i="9"/>
  <c r="C132" i="9"/>
  <c r="E142" i="9"/>
  <c r="C142" i="3"/>
  <c r="D142" i="9"/>
  <c r="E132" i="9"/>
  <c r="C132" i="3"/>
  <c r="B141" i="8"/>
  <c r="AA141" i="8" s="1"/>
  <c r="B143" i="8"/>
  <c r="AA143" i="8" s="1"/>
  <c r="B145" i="8"/>
  <c r="AA145" i="8" s="1"/>
  <c r="B147" i="8"/>
  <c r="AA147" i="8" s="1"/>
  <c r="B142" i="8"/>
  <c r="AA142" i="8" s="1"/>
  <c r="B144" i="8"/>
  <c r="AA144" i="8" s="1"/>
  <c r="B146" i="8"/>
  <c r="AA146" i="8" s="1"/>
  <c r="B140" i="8"/>
  <c r="AA140" i="8" s="1"/>
  <c r="B140" i="4"/>
  <c r="C148" i="8"/>
  <c r="A149" i="8"/>
  <c r="B126" i="4"/>
  <c r="B109" i="8"/>
  <c r="AA109" i="8" s="1"/>
  <c r="B111" i="8"/>
  <c r="AA111" i="8" s="1"/>
  <c r="B113" i="8"/>
  <c r="AA113" i="8" s="1"/>
  <c r="B115" i="8"/>
  <c r="AA115" i="8" s="1"/>
  <c r="B117" i="8"/>
  <c r="AA117" i="8" s="1"/>
  <c r="B119" i="8"/>
  <c r="AA119" i="8" s="1"/>
  <c r="B110" i="8"/>
  <c r="AA110" i="8" s="1"/>
  <c r="B112" i="8"/>
  <c r="AA112" i="8" s="1"/>
  <c r="B114" i="8"/>
  <c r="AA114" i="8" s="1"/>
  <c r="B116" i="8"/>
  <c r="AA116" i="8" s="1"/>
  <c r="B118" i="8"/>
  <c r="AA118" i="8" s="1"/>
  <c r="B108" i="8"/>
  <c r="AA108" i="8" s="1"/>
  <c r="C120" i="8"/>
  <c r="A121" i="8"/>
  <c r="B108" i="4"/>
  <c r="B91" i="8"/>
  <c r="AA91" i="8" s="1"/>
  <c r="B93" i="8"/>
  <c r="AA93" i="8" s="1"/>
  <c r="B95" i="8"/>
  <c r="AA95" i="8" s="1"/>
  <c r="B97" i="8"/>
  <c r="AA97" i="8" s="1"/>
  <c r="B99" i="8"/>
  <c r="AA99" i="8" s="1"/>
  <c r="B101" i="8"/>
  <c r="AA101" i="8" s="1"/>
  <c r="B92" i="8"/>
  <c r="AA92" i="8" s="1"/>
  <c r="B94" i="8"/>
  <c r="AA94" i="8" s="1"/>
  <c r="B96" i="8"/>
  <c r="AA96" i="8" s="1"/>
  <c r="B98" i="8"/>
  <c r="AA98" i="8" s="1"/>
  <c r="B100" i="8"/>
  <c r="AA100" i="8" s="1"/>
  <c r="B90" i="8"/>
  <c r="AA90" i="8" s="1"/>
  <c r="B90" i="4"/>
  <c r="C102" i="8"/>
  <c r="A103" i="8"/>
  <c r="B73" i="8"/>
  <c r="AA73" i="8" s="1"/>
  <c r="B75" i="8"/>
  <c r="AA75" i="8" s="1"/>
  <c r="B77" i="8"/>
  <c r="AA77" i="8" s="1"/>
  <c r="B79" i="8"/>
  <c r="AA79" i="8" s="1"/>
  <c r="B81" i="8"/>
  <c r="AA81" i="8" s="1"/>
  <c r="B83" i="8"/>
  <c r="AA83" i="8" s="1"/>
  <c r="B74" i="8"/>
  <c r="AA74" i="8" s="1"/>
  <c r="B76" i="8"/>
  <c r="AA76" i="8" s="1"/>
  <c r="B78" i="8"/>
  <c r="AA78" i="8" s="1"/>
  <c r="B80" i="8"/>
  <c r="AA80" i="8" s="1"/>
  <c r="B82" i="8"/>
  <c r="AA82" i="8" s="1"/>
  <c r="B72" i="8"/>
  <c r="AA72" i="8" s="1"/>
  <c r="B72" i="4"/>
  <c r="C84" i="8"/>
  <c r="A85" i="8"/>
  <c r="B54" i="4"/>
  <c r="B31" i="8"/>
  <c r="AA31" i="8" s="1"/>
  <c r="B33" i="8"/>
  <c r="AA33" i="8" s="1"/>
  <c r="B35" i="8"/>
  <c r="AA35" i="8" s="1"/>
  <c r="B32" i="8"/>
  <c r="AA32" i="8" s="1"/>
  <c r="B34" i="8"/>
  <c r="AA34" i="8" s="1"/>
  <c r="C36" i="8"/>
  <c r="A37" i="8"/>
  <c r="B30" i="8"/>
  <c r="AA30" i="8" s="1"/>
  <c r="B30" i="4"/>
  <c r="B19" i="8"/>
  <c r="AA19" i="8" s="1"/>
  <c r="B21" i="8"/>
  <c r="AA21" i="8" s="1"/>
  <c r="B23" i="8"/>
  <c r="AA23" i="8" s="1"/>
  <c r="B20" i="8"/>
  <c r="AA20" i="8" s="1"/>
  <c r="B22" i="8"/>
  <c r="AA22" i="8" s="1"/>
  <c r="B18" i="8"/>
  <c r="AA18" i="8" s="1"/>
  <c r="C24" i="8"/>
  <c r="A25" i="8"/>
  <c r="B18" i="4"/>
  <c r="B3" i="8"/>
  <c r="AA3" i="8" s="1"/>
  <c r="B3" i="4"/>
  <c r="A166" i="7"/>
  <c r="B166" i="7" s="1"/>
  <c r="A148" i="1" a="1"/>
  <c r="A148" i="1" s="1"/>
  <c r="B147" i="1"/>
  <c r="A130" i="7"/>
  <c r="B130" i="7" s="1"/>
  <c r="AA129" i="7"/>
  <c r="G111" i="7"/>
  <c r="AA111" i="7"/>
  <c r="A112" i="1"/>
  <c r="B112" i="1" s="1"/>
  <c r="AA57" i="7"/>
  <c r="AA40" i="7"/>
  <c r="AA39" i="7"/>
  <c r="A41" i="1"/>
  <c r="AA21" i="7"/>
  <c r="AA3" i="7"/>
  <c r="C96" i="3"/>
  <c r="C78" i="3"/>
  <c r="D114" i="9"/>
  <c r="D115" i="9"/>
  <c r="E114" i="9"/>
  <c r="E115" i="9"/>
  <c r="C115" i="9"/>
  <c r="C114" i="9"/>
  <c r="C115" i="3"/>
  <c r="C114" i="3"/>
  <c r="A166" i="1"/>
  <c r="E165" i="1"/>
  <c r="E165" i="7" s="1"/>
  <c r="D165" i="1"/>
  <c r="D165" i="7" s="1"/>
  <c r="G75" i="7"/>
  <c r="F75" i="1"/>
  <c r="F75" i="7" s="1"/>
  <c r="D75" i="1"/>
  <c r="D75" i="7" s="1"/>
  <c r="E75" i="1"/>
  <c r="E75" i="7" s="1"/>
  <c r="A76" i="1"/>
  <c r="B76" i="1" s="1"/>
  <c r="C30" i="8"/>
  <c r="C18" i="8"/>
  <c r="C30" i="4"/>
  <c r="C18" i="4"/>
  <c r="C3" i="4"/>
  <c r="A4" i="3"/>
  <c r="D3" i="9"/>
  <c r="E3" i="9"/>
  <c r="C96" i="9"/>
  <c r="C64" i="9"/>
  <c r="C63" i="9"/>
  <c r="C52" i="9"/>
  <c r="C51" i="9"/>
  <c r="E64" i="9"/>
  <c r="D64" i="9"/>
  <c r="C64" i="3"/>
  <c r="C63" i="3"/>
  <c r="D63" i="9"/>
  <c r="E63" i="9"/>
  <c r="D52" i="9"/>
  <c r="C52" i="3"/>
  <c r="C51" i="3"/>
  <c r="D51" i="9"/>
  <c r="E51" i="9"/>
  <c r="E27" i="9"/>
  <c r="D15" i="9"/>
  <c r="E15" i="9"/>
  <c r="C141" i="8"/>
  <c r="C140" i="8"/>
  <c r="C109" i="8"/>
  <c r="C108" i="8"/>
  <c r="C91" i="8"/>
  <c r="C90" i="8"/>
  <c r="C73" i="8"/>
  <c r="C72" i="8"/>
  <c r="C31" i="8"/>
  <c r="C19" i="8"/>
  <c r="C140" i="4"/>
  <c r="C108" i="4"/>
  <c r="C90" i="4"/>
  <c r="C72" i="4"/>
  <c r="A130" i="1"/>
  <c r="B130" i="1" s="1"/>
  <c r="F39" i="1"/>
  <c r="F39" i="7" s="1"/>
  <c r="G129" i="7"/>
  <c r="G39" i="7"/>
  <c r="F21" i="1"/>
  <c r="F21" i="7" s="1"/>
  <c r="F3" i="1"/>
  <c r="F3" i="7" s="1"/>
  <c r="E147" i="1"/>
  <c r="E147" i="7" s="1"/>
  <c r="D147" i="1"/>
  <c r="D147" i="7" s="1"/>
  <c r="C78" i="9"/>
  <c r="C40" i="9"/>
  <c r="A80" i="9"/>
  <c r="C79" i="9"/>
  <c r="Y98" i="9"/>
  <c r="C97" i="9"/>
  <c r="C39" i="9"/>
  <c r="A4" i="8"/>
  <c r="B4" i="8" s="1"/>
  <c r="AA4" i="8" s="1"/>
  <c r="C54" i="8"/>
  <c r="A55" i="8"/>
  <c r="B55" i="8" s="1"/>
  <c r="AA55" i="8" s="1"/>
  <c r="C126" i="8"/>
  <c r="A127" i="8"/>
  <c r="B127" i="8" s="1"/>
  <c r="AA127" i="8" s="1"/>
  <c r="A4" i="7"/>
  <c r="A58" i="7"/>
  <c r="B58" i="7" s="1"/>
  <c r="A96" i="7"/>
  <c r="B96" i="7" s="1"/>
  <c r="AA96" i="7" s="1"/>
  <c r="A148" i="7" a="1"/>
  <c r="A148" i="7" s="1"/>
  <c r="B148" i="7" s="1"/>
  <c r="AA148" i="7" s="1"/>
  <c r="C147" i="7"/>
  <c r="G147" i="7" s="1"/>
  <c r="A22" i="7"/>
  <c r="A112" i="7"/>
  <c r="B112" i="7" s="1"/>
  <c r="C147" i="1"/>
  <c r="F147" i="1" s="1"/>
  <c r="F147" i="7" s="1"/>
  <c r="E97" i="9"/>
  <c r="D97" i="9"/>
  <c r="C97" i="3"/>
  <c r="D96" i="9"/>
  <c r="E96" i="9"/>
  <c r="D79" i="9"/>
  <c r="D78" i="9"/>
  <c r="E78" i="9"/>
  <c r="C79" i="3"/>
  <c r="D39" i="9"/>
  <c r="E39" i="9"/>
  <c r="C39" i="3"/>
  <c r="A55" i="4"/>
  <c r="D55" i="4" s="1"/>
  <c r="C126" i="4"/>
  <c r="A4" i="4"/>
  <c r="A127" i="4"/>
  <c r="D127" i="4" s="1"/>
  <c r="D95" i="1"/>
  <c r="D95" i="7" s="1"/>
  <c r="E95" i="1"/>
  <c r="E95" i="7" s="1"/>
  <c r="A58" i="1"/>
  <c r="A4" i="1"/>
  <c r="B4" i="1" s="1"/>
  <c r="D3" i="1"/>
  <c r="D3" i="7" s="1"/>
  <c r="E227" i="3" l="1"/>
  <c r="D227" i="3"/>
  <c r="A210" i="3"/>
  <c r="D209" i="3"/>
  <c r="D209" i="9" s="1"/>
  <c r="E209" i="3"/>
  <c r="E209" i="9" s="1"/>
  <c r="C209" i="3"/>
  <c r="B209" i="3"/>
  <c r="D143" i="3"/>
  <c r="E143" i="3"/>
  <c r="E143" i="9" s="1"/>
  <c r="E133" i="3"/>
  <c r="D133" i="3"/>
  <c r="D133" i="9" s="1"/>
  <c r="D116" i="3"/>
  <c r="D116" i="9" s="1"/>
  <c r="E116" i="3"/>
  <c r="A109" i="3"/>
  <c r="D108" i="3"/>
  <c r="D108" i="9" s="1"/>
  <c r="E108" i="3"/>
  <c r="E108" i="9" s="1"/>
  <c r="B108" i="3"/>
  <c r="D80" i="3"/>
  <c r="D80" i="9" s="1"/>
  <c r="E80" i="3"/>
  <c r="E80" i="9" s="1"/>
  <c r="E65" i="3"/>
  <c r="D65" i="3"/>
  <c r="E53" i="3"/>
  <c r="D53" i="3"/>
  <c r="D53" i="9" s="1"/>
  <c r="A41" i="3"/>
  <c r="A42" i="3" s="1"/>
  <c r="E40" i="3"/>
  <c r="D40" i="3"/>
  <c r="A29" i="3"/>
  <c r="E28" i="3"/>
  <c r="E28" i="9" s="1"/>
  <c r="D28" i="3"/>
  <c r="D28" i="9" s="1"/>
  <c r="D16" i="3"/>
  <c r="E16" i="3"/>
  <c r="E16" i="9" s="1"/>
  <c r="D4" i="3"/>
  <c r="E4" i="3"/>
  <c r="C116" i="3"/>
  <c r="E116" i="9"/>
  <c r="B109" i="4"/>
  <c r="A24" i="1"/>
  <c r="B24" i="1" s="1"/>
  <c r="C155" i="4"/>
  <c r="B31" i="4"/>
  <c r="D143" i="9"/>
  <c r="B19" i="4"/>
  <c r="E73" i="4"/>
  <c r="E73" i="8" s="1"/>
  <c r="C252" i="4"/>
  <c r="A226" i="1"/>
  <c r="B226" i="1" s="1"/>
  <c r="C187" i="7"/>
  <c r="G187" i="7" s="1"/>
  <c r="B187" i="7"/>
  <c r="AA187" i="7" s="1"/>
  <c r="B166" i="1"/>
  <c r="C130" i="1"/>
  <c r="E23" i="1"/>
  <c r="E23" i="7" s="1"/>
  <c r="C80" i="3"/>
  <c r="B91" i="4"/>
  <c r="C133" i="3"/>
  <c r="E133" i="9"/>
  <c r="C112" i="1"/>
  <c r="C77" i="7"/>
  <c r="G77" i="7" s="1"/>
  <c r="AA77" i="7"/>
  <c r="C58" i="1"/>
  <c r="B58" i="1"/>
  <c r="C41" i="1"/>
  <c r="B41" i="1"/>
  <c r="C22" i="7"/>
  <c r="B22" i="7"/>
  <c r="AA22" i="7" s="1"/>
  <c r="C143" i="3"/>
  <c r="B52" i="11"/>
  <c r="D52" i="11"/>
  <c r="D52" i="6" s="1"/>
  <c r="A53" i="11"/>
  <c r="E53" i="11" s="1"/>
  <c r="E53" i="6" s="1"/>
  <c r="C23" i="1"/>
  <c r="B23" i="1"/>
  <c r="C4" i="7"/>
  <c r="G4" i="7" s="1"/>
  <c r="B4" i="7"/>
  <c r="AA4" i="7" s="1"/>
  <c r="A42" i="7"/>
  <c r="B42" i="7" s="1"/>
  <c r="C41" i="7"/>
  <c r="G41" i="7" s="1"/>
  <c r="AA58" i="7"/>
  <c r="C58" i="7"/>
  <c r="G58" i="7" s="1"/>
  <c r="AA112" i="7"/>
  <c r="C112" i="7"/>
  <c r="G112" i="7" s="1"/>
  <c r="C130" i="7"/>
  <c r="G130" i="7" s="1"/>
  <c r="C166" i="7"/>
  <c r="G166" i="7" s="1"/>
  <c r="A226" i="7"/>
  <c r="B226" i="7" s="1"/>
  <c r="AA226" i="7" s="1"/>
  <c r="C225" i="7"/>
  <c r="G225" i="7" s="1"/>
  <c r="C76" i="1"/>
  <c r="F76" i="1" s="1"/>
  <c r="F76" i="7" s="1"/>
  <c r="C187" i="1"/>
  <c r="F187" i="1" s="1"/>
  <c r="F187" i="7" s="1"/>
  <c r="C166" i="1"/>
  <c r="F166" i="1" s="1"/>
  <c r="F166" i="7" s="1"/>
  <c r="C214" i="1"/>
  <c r="F214" i="1" s="1"/>
  <c r="F214" i="7" s="1"/>
  <c r="F40" i="1"/>
  <c r="F40" i="7" s="1"/>
  <c r="C4" i="1"/>
  <c r="F4" i="1" s="1"/>
  <c r="F4" i="7" s="1"/>
  <c r="F22" i="1"/>
  <c r="F22" i="7" s="1"/>
  <c r="E31" i="8"/>
  <c r="E30" i="8"/>
  <c r="D30" i="8"/>
  <c r="D51" i="6"/>
  <c r="E52" i="11"/>
  <c r="E52" i="6" s="1"/>
  <c r="A253" i="4"/>
  <c r="C253" i="4" s="1"/>
  <c r="D252" i="4"/>
  <c r="D252" i="8" s="1"/>
  <c r="B252" i="4"/>
  <c r="A232" i="4"/>
  <c r="D231" i="4"/>
  <c r="D231" i="8" s="1"/>
  <c r="C231" i="4"/>
  <c r="B231" i="4"/>
  <c r="E231" i="4"/>
  <c r="E231" i="8" s="1"/>
  <c r="A214" i="4"/>
  <c r="D213" i="4"/>
  <c r="D213" i="8" s="1"/>
  <c r="B213" i="4"/>
  <c r="E213" i="4"/>
  <c r="E213" i="8" s="1"/>
  <c r="C213" i="4"/>
  <c r="A198" i="4"/>
  <c r="D197" i="4"/>
  <c r="D197" i="8" s="1"/>
  <c r="E197" i="4"/>
  <c r="E197" i="8" s="1"/>
  <c r="C197" i="4"/>
  <c r="B197" i="4"/>
  <c r="E141" i="4"/>
  <c r="E141" i="8" s="1"/>
  <c r="E155" i="4"/>
  <c r="E155" i="8" s="1"/>
  <c r="B155" i="4"/>
  <c r="A156" i="4"/>
  <c r="D156" i="4" s="1"/>
  <c r="D155" i="8"/>
  <c r="A142" i="4"/>
  <c r="D141" i="4"/>
  <c r="D141" i="8" s="1"/>
  <c r="A110" i="4"/>
  <c r="D109" i="4"/>
  <c r="D109" i="8" s="1"/>
  <c r="A74" i="4"/>
  <c r="D73" i="4"/>
  <c r="D73" i="8" s="1"/>
  <c r="A92" i="4"/>
  <c r="D91" i="4"/>
  <c r="D91" i="8" s="1"/>
  <c r="A32" i="4"/>
  <c r="D31" i="4"/>
  <c r="A20" i="4"/>
  <c r="D19" i="4"/>
  <c r="D19" i="8" s="1"/>
  <c r="D4" i="4"/>
  <c r="D4" i="8" s="1"/>
  <c r="A228" i="3"/>
  <c r="B227" i="3"/>
  <c r="A144" i="3"/>
  <c r="B143" i="3"/>
  <c r="A134" i="3"/>
  <c r="B133" i="3"/>
  <c r="A117" i="3"/>
  <c r="B116" i="3"/>
  <c r="A81" i="3"/>
  <c r="B80" i="3"/>
  <c r="A66" i="3"/>
  <c r="B65" i="3"/>
  <c r="A54" i="3"/>
  <c r="B53" i="3"/>
  <c r="Y159" i="9"/>
  <c r="C159" i="9"/>
  <c r="A144" i="9"/>
  <c r="B143" i="9"/>
  <c r="Y143" i="9" s="1"/>
  <c r="A134" i="9"/>
  <c r="B133" i="9"/>
  <c r="Y133" i="9" s="1"/>
  <c r="A117" i="9"/>
  <c r="B116" i="9"/>
  <c r="Y116" i="9" s="1"/>
  <c r="B80" i="9"/>
  <c r="Y80" i="9" s="1"/>
  <c r="A66" i="9"/>
  <c r="B65" i="9"/>
  <c r="Y65" i="9" s="1"/>
  <c r="A54" i="9"/>
  <c r="B53" i="9"/>
  <c r="Y53" i="9" s="1"/>
  <c r="A228" i="9"/>
  <c r="Y227" i="9"/>
  <c r="A210" i="9"/>
  <c r="Y209" i="9"/>
  <c r="C227" i="9"/>
  <c r="C209" i="9"/>
  <c r="C227" i="3"/>
  <c r="D227" i="9"/>
  <c r="E227" i="9"/>
  <c r="A78" i="7"/>
  <c r="B78" i="7" s="1"/>
  <c r="O52" i="12"/>
  <c r="M52" i="12"/>
  <c r="N51" i="12"/>
  <c r="O50" i="12"/>
  <c r="M50" i="12"/>
  <c r="N49" i="12"/>
  <c r="O48" i="12"/>
  <c r="M48" i="12"/>
  <c r="N47" i="12"/>
  <c r="O46" i="12"/>
  <c r="M46" i="12"/>
  <c r="N45" i="12"/>
  <c r="O44" i="12"/>
  <c r="M44" i="12"/>
  <c r="N43" i="12"/>
  <c r="O42" i="12"/>
  <c r="M42" i="12"/>
  <c r="N41" i="12"/>
  <c r="O40" i="12"/>
  <c r="M40" i="12"/>
  <c r="N39" i="12"/>
  <c r="O38" i="12"/>
  <c r="M38" i="12"/>
  <c r="N37" i="12"/>
  <c r="O36" i="12"/>
  <c r="M36" i="12"/>
  <c r="N35" i="12"/>
  <c r="O34" i="12"/>
  <c r="M34" i="12"/>
  <c r="N33" i="12"/>
  <c r="O32" i="12"/>
  <c r="M32" i="12"/>
  <c r="N31" i="12"/>
  <c r="O30" i="12"/>
  <c r="M30" i="12"/>
  <c r="N29" i="12"/>
  <c r="O28" i="12"/>
  <c r="M28" i="12"/>
  <c r="N27" i="12"/>
  <c r="O26" i="12"/>
  <c r="M26" i="12"/>
  <c r="N25" i="12"/>
  <c r="O24" i="12"/>
  <c r="M24" i="12"/>
  <c r="N23" i="12"/>
  <c r="O22" i="12"/>
  <c r="M22" i="12"/>
  <c r="N21" i="12"/>
  <c r="O20" i="12"/>
  <c r="M20" i="12"/>
  <c r="N19" i="12"/>
  <c r="O18" i="12"/>
  <c r="M18" i="12"/>
  <c r="N17" i="12"/>
  <c r="O16" i="12"/>
  <c r="M16" i="12"/>
  <c r="N15" i="12"/>
  <c r="O14" i="12"/>
  <c r="M14" i="12"/>
  <c r="N13" i="12"/>
  <c r="O12" i="12"/>
  <c r="M12" i="12"/>
  <c r="N11" i="12"/>
  <c r="O10" i="12"/>
  <c r="M10" i="12"/>
  <c r="N9" i="12"/>
  <c r="O8" i="12"/>
  <c r="M8" i="12"/>
  <c r="N7" i="12"/>
  <c r="O6" i="12"/>
  <c r="M6" i="12"/>
  <c r="N5" i="12"/>
  <c r="O4" i="12"/>
  <c r="M4" i="12"/>
  <c r="N3" i="12"/>
  <c r="N52" i="12"/>
  <c r="O51" i="12"/>
  <c r="M51" i="12"/>
  <c r="N50" i="12"/>
  <c r="O49" i="12"/>
  <c r="M49" i="12"/>
  <c r="N48" i="12"/>
  <c r="O47" i="12"/>
  <c r="M47" i="12"/>
  <c r="N46" i="12"/>
  <c r="O45" i="12"/>
  <c r="M45" i="12"/>
  <c r="N44" i="12"/>
  <c r="O43" i="12"/>
  <c r="M43" i="12"/>
  <c r="N42" i="12"/>
  <c r="O41" i="12"/>
  <c r="M41" i="12"/>
  <c r="N40" i="12"/>
  <c r="O39" i="12"/>
  <c r="M39" i="12"/>
  <c r="N38" i="12"/>
  <c r="O37" i="12"/>
  <c r="M37" i="12"/>
  <c r="N36" i="12"/>
  <c r="O35" i="12"/>
  <c r="M35" i="12"/>
  <c r="N34" i="12"/>
  <c r="O33" i="12"/>
  <c r="M33" i="12"/>
  <c r="N32" i="12"/>
  <c r="O31" i="12"/>
  <c r="M31" i="12"/>
  <c r="N30" i="12"/>
  <c r="O29" i="12"/>
  <c r="M29" i="12"/>
  <c r="N28" i="12"/>
  <c r="O27" i="12"/>
  <c r="M27" i="12"/>
  <c r="N26" i="12"/>
  <c r="O25" i="12"/>
  <c r="M25" i="12"/>
  <c r="N24" i="12"/>
  <c r="O23" i="12"/>
  <c r="M23" i="12"/>
  <c r="N22" i="12"/>
  <c r="O21" i="12"/>
  <c r="M21" i="12"/>
  <c r="N20" i="12"/>
  <c r="O19" i="12"/>
  <c r="M19" i="12"/>
  <c r="N18" i="12"/>
  <c r="O17" i="12"/>
  <c r="M17" i="12"/>
  <c r="N16" i="12"/>
  <c r="O15" i="12"/>
  <c r="M15" i="12"/>
  <c r="N14" i="12"/>
  <c r="O13" i="12"/>
  <c r="M13" i="12"/>
  <c r="N12" i="12"/>
  <c r="O11" i="12"/>
  <c r="M11" i="12"/>
  <c r="N10" i="12"/>
  <c r="O9" i="12"/>
  <c r="M9" i="12"/>
  <c r="N8" i="12"/>
  <c r="O7" i="12"/>
  <c r="M7" i="12"/>
  <c r="N6" i="12"/>
  <c r="O5" i="12"/>
  <c r="M5" i="12"/>
  <c r="N4" i="12"/>
  <c r="O3" i="12"/>
  <c r="M3" i="12"/>
  <c r="D225" i="1"/>
  <c r="D225" i="7" s="1"/>
  <c r="E225" i="1"/>
  <c r="E225" i="7" s="1"/>
  <c r="C253" i="8"/>
  <c r="A232" i="8"/>
  <c r="B231" i="8"/>
  <c r="AA231" i="8" s="1"/>
  <c r="C231" i="8"/>
  <c r="A214" i="8"/>
  <c r="B213" i="8"/>
  <c r="AA213" i="8" s="1"/>
  <c r="C213" i="8"/>
  <c r="A197" i="8"/>
  <c r="C196" i="8"/>
  <c r="B196" i="8"/>
  <c r="AA196" i="8" s="1"/>
  <c r="A178" i="8"/>
  <c r="B177" i="8"/>
  <c r="AA177" i="8" s="1"/>
  <c r="C177" i="8"/>
  <c r="A178" i="4"/>
  <c r="D178" i="4" s="1"/>
  <c r="B177" i="4"/>
  <c r="C177" i="4"/>
  <c r="D177" i="8"/>
  <c r="E177" i="4"/>
  <c r="E177" i="8" s="1"/>
  <c r="A188" i="7"/>
  <c r="A188" i="1"/>
  <c r="B188" i="1" s="1"/>
  <c r="D187" i="1"/>
  <c r="D187" i="7" s="1"/>
  <c r="E187" i="1"/>
  <c r="E187" i="7" s="1"/>
  <c r="A77" i="1"/>
  <c r="B77" i="1" s="1"/>
  <c r="E157" i="9"/>
  <c r="C157" i="3"/>
  <c r="D157" i="9"/>
  <c r="A5" i="11"/>
  <c r="B4" i="11"/>
  <c r="C4" i="11"/>
  <c r="C41" i="3"/>
  <c r="C40" i="3"/>
  <c r="E40" i="9"/>
  <c r="F129" i="1"/>
  <c r="F129" i="7" s="1"/>
  <c r="E130" i="1"/>
  <c r="E130" i="7" s="1"/>
  <c r="D130" i="1"/>
  <c r="D130" i="7" s="1"/>
  <c r="F111" i="1"/>
  <c r="F111" i="7" s="1"/>
  <c r="E112" i="1"/>
  <c r="E112" i="7" s="1"/>
  <c r="D112" i="1"/>
  <c r="D112" i="7" s="1"/>
  <c r="E58" i="1"/>
  <c r="E58" i="7" s="1"/>
  <c r="D58" i="1"/>
  <c r="D58" i="7" s="1"/>
  <c r="F57" i="1"/>
  <c r="F57" i="7" s="1"/>
  <c r="D41" i="1"/>
  <c r="D41" i="7" s="1"/>
  <c r="E41" i="1"/>
  <c r="E41" i="7" s="1"/>
  <c r="D40" i="9"/>
  <c r="B40" i="3"/>
  <c r="D127" i="8"/>
  <c r="E127" i="4"/>
  <c r="E127" i="8" s="1"/>
  <c r="D55" i="8"/>
  <c r="E55" i="4"/>
  <c r="E55" i="8" s="1"/>
  <c r="B4" i="4"/>
  <c r="E4" i="4"/>
  <c r="E4" i="8" s="1"/>
  <c r="B55" i="4"/>
  <c r="B127" i="4"/>
  <c r="A5" i="9"/>
  <c r="C4" i="9"/>
  <c r="D96" i="1"/>
  <c r="D96" i="7" s="1"/>
  <c r="E96" i="1"/>
  <c r="E96" i="7" s="1"/>
  <c r="C96" i="1"/>
  <c r="F96" i="1" s="1"/>
  <c r="F96" i="7" s="1"/>
  <c r="D148" i="1"/>
  <c r="D148" i="7" s="1"/>
  <c r="D16" i="9"/>
  <c r="C109" i="3"/>
  <c r="C46" i="9"/>
  <c r="B46" i="9"/>
  <c r="Y46" i="9" s="1"/>
  <c r="A17" i="3"/>
  <c r="C28" i="3"/>
  <c r="B16" i="3"/>
  <c r="C16" i="3"/>
  <c r="C4" i="3"/>
  <c r="B4" i="3"/>
  <c r="E148" i="1"/>
  <c r="E148" i="7" s="1"/>
  <c r="C149" i="8"/>
  <c r="B149" i="8"/>
  <c r="AA149" i="8" s="1"/>
  <c r="C121" i="8"/>
  <c r="B121" i="8"/>
  <c r="AA121" i="8" s="1"/>
  <c r="C103" i="8"/>
  <c r="B103" i="8"/>
  <c r="AA103" i="8" s="1"/>
  <c r="C85" i="8"/>
  <c r="B85" i="8"/>
  <c r="AA85" i="8" s="1"/>
  <c r="C37" i="8"/>
  <c r="B37" i="8"/>
  <c r="AA37" i="8" s="1"/>
  <c r="C25" i="8"/>
  <c r="B25" i="8"/>
  <c r="AA25" i="8" s="1"/>
  <c r="A167" i="7"/>
  <c r="AA166" i="7"/>
  <c r="A167" i="1"/>
  <c r="A149" i="1" a="1"/>
  <c r="A149" i="1" s="1"/>
  <c r="B148" i="1"/>
  <c r="A131" i="7"/>
  <c r="B131" i="7" s="1"/>
  <c r="AA130" i="7"/>
  <c r="A131" i="1"/>
  <c r="B131" i="1" s="1"/>
  <c r="A113" i="1"/>
  <c r="B113" i="1" s="1"/>
  <c r="A97" i="1"/>
  <c r="B96" i="1"/>
  <c r="A59" i="1"/>
  <c r="A42" i="1"/>
  <c r="A5" i="1"/>
  <c r="B5" i="1" s="1"/>
  <c r="A5" i="7"/>
  <c r="C116" i="9"/>
  <c r="D166" i="1"/>
  <c r="D166" i="7" s="1"/>
  <c r="E166" i="1"/>
  <c r="E166" i="7" s="1"/>
  <c r="E76" i="1"/>
  <c r="E76" i="7" s="1"/>
  <c r="D76" i="1"/>
  <c r="D76" i="7" s="1"/>
  <c r="A5" i="3"/>
  <c r="C65" i="9"/>
  <c r="C53" i="9"/>
  <c r="E65" i="9"/>
  <c r="D65" i="9"/>
  <c r="C65" i="3"/>
  <c r="E53" i="9"/>
  <c r="C53" i="3"/>
  <c r="C142" i="8"/>
  <c r="C110" i="8"/>
  <c r="C92" i="8"/>
  <c r="C74" i="8"/>
  <c r="C32" i="8"/>
  <c r="C20" i="8"/>
  <c r="C141" i="4"/>
  <c r="C109" i="4"/>
  <c r="C91" i="4"/>
  <c r="C73" i="4"/>
  <c r="C31" i="4"/>
  <c r="C19" i="4"/>
  <c r="Y99" i="9"/>
  <c r="C98" i="9"/>
  <c r="A81" i="9"/>
  <c r="C80" i="9"/>
  <c r="C41" i="9"/>
  <c r="A128" i="8"/>
  <c r="B128" i="8" s="1"/>
  <c r="AA128" i="8" s="1"/>
  <c r="C127" i="8"/>
  <c r="A56" i="8"/>
  <c r="B56" i="8" s="1"/>
  <c r="AA56" i="8" s="1"/>
  <c r="C55" i="8"/>
  <c r="A5" i="8"/>
  <c r="B5" i="8" s="1"/>
  <c r="AA5" i="8" s="1"/>
  <c r="C4" i="8"/>
  <c r="G22" i="7"/>
  <c r="A23" i="7"/>
  <c r="A113" i="7"/>
  <c r="B113" i="7" s="1"/>
  <c r="A149" i="7" a="1"/>
  <c r="A149" i="7" s="1"/>
  <c r="B149" i="7" s="1"/>
  <c r="AA149" i="7" s="1"/>
  <c r="C148" i="7"/>
  <c r="G148" i="7" s="1"/>
  <c r="A97" i="7"/>
  <c r="B97" i="7" s="1"/>
  <c r="AA97" i="7" s="1"/>
  <c r="C96" i="7"/>
  <c r="G96" i="7" s="1"/>
  <c r="A59" i="7"/>
  <c r="B59" i="7" s="1"/>
  <c r="C148" i="1"/>
  <c r="E98" i="9"/>
  <c r="D98" i="9"/>
  <c r="C98" i="3"/>
  <c r="A56" i="4"/>
  <c r="D56" i="4" s="1"/>
  <c r="C55" i="4"/>
  <c r="C127" i="4"/>
  <c r="C4" i="4"/>
  <c r="A128" i="4"/>
  <c r="D128" i="4" s="1"/>
  <c r="A5" i="4"/>
  <c r="E4" i="1"/>
  <c r="E4" i="7" s="1"/>
  <c r="D4" i="1"/>
  <c r="D4" i="7" s="1"/>
  <c r="C24" i="1" l="1"/>
  <c r="B228" i="3"/>
  <c r="E228" i="3"/>
  <c r="E228" i="9" s="1"/>
  <c r="D228" i="3"/>
  <c r="E210" i="3"/>
  <c r="E210" i="9" s="1"/>
  <c r="D210" i="3"/>
  <c r="D210" i="9" s="1"/>
  <c r="B210" i="3"/>
  <c r="C210" i="3"/>
  <c r="E144" i="3"/>
  <c r="D144" i="3"/>
  <c r="E134" i="3"/>
  <c r="E134" i="9" s="1"/>
  <c r="D134" i="3"/>
  <c r="E117" i="3"/>
  <c r="E117" i="9" s="1"/>
  <c r="D117" i="3"/>
  <c r="B109" i="3"/>
  <c r="E109" i="3"/>
  <c r="E109" i="9" s="1"/>
  <c r="D109" i="3"/>
  <c r="D109" i="9" s="1"/>
  <c r="E81" i="3"/>
  <c r="D81" i="3"/>
  <c r="D81" i="9" s="1"/>
  <c r="E66" i="3"/>
  <c r="D66" i="3"/>
  <c r="D66" i="9" s="1"/>
  <c r="E54" i="3"/>
  <c r="D54" i="3"/>
  <c r="D54" i="9" s="1"/>
  <c r="E42" i="3"/>
  <c r="D42" i="3"/>
  <c r="D42" i="9" s="1"/>
  <c r="B41" i="3"/>
  <c r="D41" i="3"/>
  <c r="D41" i="9" s="1"/>
  <c r="E41" i="3"/>
  <c r="E41" i="9" s="1"/>
  <c r="A30" i="3"/>
  <c r="E29" i="3"/>
  <c r="E29" i="9" s="1"/>
  <c r="D29" i="3"/>
  <c r="D29" i="9" s="1"/>
  <c r="B29" i="3"/>
  <c r="B17" i="3"/>
  <c r="E17" i="3"/>
  <c r="D17" i="3"/>
  <c r="D17" i="9" s="1"/>
  <c r="D5" i="3"/>
  <c r="E5" i="3"/>
  <c r="E5" i="9" s="1"/>
  <c r="B5" i="3"/>
  <c r="A25" i="1"/>
  <c r="C25" i="1" s="1"/>
  <c r="D24" i="1"/>
  <c r="D24" i="7" s="1"/>
  <c r="E24" i="1"/>
  <c r="E24" i="7" s="1"/>
  <c r="B53" i="11"/>
  <c r="C188" i="7"/>
  <c r="G188" i="7" s="1"/>
  <c r="B188" i="7"/>
  <c r="AA188" i="7" s="1"/>
  <c r="B167" i="1"/>
  <c r="C167" i="7"/>
  <c r="G167" i="7" s="1"/>
  <c r="B167" i="7"/>
  <c r="AA167" i="7" s="1"/>
  <c r="C131" i="1"/>
  <c r="A54" i="11"/>
  <c r="E54" i="11" s="1"/>
  <c r="E54" i="6" s="1"/>
  <c r="D53" i="11"/>
  <c r="D53" i="6" s="1"/>
  <c r="E253" i="4"/>
  <c r="E253" i="8" s="1"/>
  <c r="C53" i="11"/>
  <c r="C113" i="1"/>
  <c r="C59" i="1"/>
  <c r="B59" i="1"/>
  <c r="C42" i="1"/>
  <c r="B42" i="1"/>
  <c r="C23" i="7"/>
  <c r="G23" i="7" s="1"/>
  <c r="B23" i="7"/>
  <c r="AA23" i="7" s="1"/>
  <c r="C5" i="7"/>
  <c r="G5" i="7" s="1"/>
  <c r="B5" i="7"/>
  <c r="AA5" i="7" s="1"/>
  <c r="A43" i="7"/>
  <c r="B43" i="7" s="1"/>
  <c r="C42" i="7"/>
  <c r="G42" i="7" s="1"/>
  <c r="AA42" i="7"/>
  <c r="AA59" i="7"/>
  <c r="C59" i="7"/>
  <c r="G59" i="7" s="1"/>
  <c r="C78" i="7"/>
  <c r="G78" i="7" s="1"/>
  <c r="AA113" i="7"/>
  <c r="C113" i="7"/>
  <c r="G113" i="7" s="1"/>
  <c r="C131" i="7"/>
  <c r="G131" i="7" s="1"/>
  <c r="C226" i="7"/>
  <c r="G226" i="7" s="1"/>
  <c r="C215" i="1"/>
  <c r="F215" i="1" s="1"/>
  <c r="F215" i="7" s="1"/>
  <c r="C77" i="1"/>
  <c r="F77" i="1" s="1"/>
  <c r="F77" i="7" s="1"/>
  <c r="C188" i="1"/>
  <c r="F188" i="1" s="1"/>
  <c r="F188" i="7" s="1"/>
  <c r="C167" i="1"/>
  <c r="F167" i="1" s="1"/>
  <c r="F167" i="7" s="1"/>
  <c r="F41" i="1"/>
  <c r="F41" i="7" s="1"/>
  <c r="F23" i="1"/>
  <c r="F23" i="7" s="1"/>
  <c r="C5" i="1"/>
  <c r="F5" i="1" s="1"/>
  <c r="F5" i="7" s="1"/>
  <c r="D31" i="8"/>
  <c r="A43" i="3"/>
  <c r="A79" i="7"/>
  <c r="A254" i="4"/>
  <c r="C254" i="4" s="1"/>
  <c r="D253" i="4"/>
  <c r="D253" i="8" s="1"/>
  <c r="B253" i="4"/>
  <c r="A233" i="4"/>
  <c r="D232" i="4"/>
  <c r="D232" i="8" s="1"/>
  <c r="C232" i="4"/>
  <c r="B232" i="4"/>
  <c r="E232" i="4"/>
  <c r="E232" i="8" s="1"/>
  <c r="A215" i="4"/>
  <c r="D214" i="4"/>
  <c r="D214" i="8" s="1"/>
  <c r="C214" i="4"/>
  <c r="E214" i="4"/>
  <c r="E214" i="8" s="1"/>
  <c r="B214" i="4"/>
  <c r="A199" i="4"/>
  <c r="D198" i="4"/>
  <c r="D198" i="8" s="1"/>
  <c r="C198" i="4"/>
  <c r="E198" i="4"/>
  <c r="E198" i="8" s="1"/>
  <c r="B198" i="4"/>
  <c r="A157" i="4"/>
  <c r="D157" i="4" s="1"/>
  <c r="D156" i="8"/>
  <c r="E156" i="4"/>
  <c r="E156" i="8" s="1"/>
  <c r="C156" i="4"/>
  <c r="B156" i="4"/>
  <c r="A143" i="4"/>
  <c r="D142" i="4"/>
  <c r="D142" i="8" s="1"/>
  <c r="B142" i="4"/>
  <c r="E142" i="4"/>
  <c r="E142" i="8" s="1"/>
  <c r="A33" i="4"/>
  <c r="D32" i="4"/>
  <c r="E32" i="4"/>
  <c r="B32" i="4"/>
  <c r="A93" i="4"/>
  <c r="D92" i="4"/>
  <c r="D92" i="8" s="1"/>
  <c r="B92" i="4"/>
  <c r="E92" i="4"/>
  <c r="E92" i="8" s="1"/>
  <c r="A75" i="4"/>
  <c r="D74" i="4"/>
  <c r="D74" i="8" s="1"/>
  <c r="B74" i="4"/>
  <c r="E74" i="4"/>
  <c r="E74" i="8" s="1"/>
  <c r="A111" i="4"/>
  <c r="D110" i="4"/>
  <c r="D110" i="8" s="1"/>
  <c r="B110" i="4"/>
  <c r="E110" i="4"/>
  <c r="E110" i="8" s="1"/>
  <c r="A21" i="4"/>
  <c r="D20" i="4"/>
  <c r="D20" i="8" s="1"/>
  <c r="B20" i="4"/>
  <c r="E20" i="4"/>
  <c r="E20" i="8" s="1"/>
  <c r="D5" i="4"/>
  <c r="D5" i="8" s="1"/>
  <c r="A145" i="3"/>
  <c r="B144" i="3"/>
  <c r="C144" i="3"/>
  <c r="E144" i="9"/>
  <c r="D144" i="9"/>
  <c r="A135" i="3"/>
  <c r="B134" i="3"/>
  <c r="D134" i="9"/>
  <c r="C134" i="3"/>
  <c r="A118" i="3"/>
  <c r="B117" i="3"/>
  <c r="D117" i="9"/>
  <c r="C117" i="3"/>
  <c r="A82" i="3"/>
  <c r="B81" i="3"/>
  <c r="E81" i="9"/>
  <c r="C81" i="3"/>
  <c r="A67" i="3"/>
  <c r="B66" i="3"/>
  <c r="A55" i="3"/>
  <c r="B54" i="3"/>
  <c r="B228" i="9"/>
  <c r="Y228" i="9" s="1"/>
  <c r="B210" i="9"/>
  <c r="Y210" i="9" s="1"/>
  <c r="Y160" i="9"/>
  <c r="C160" i="9"/>
  <c r="A145" i="9"/>
  <c r="B144" i="9"/>
  <c r="Y144" i="9" s="1"/>
  <c r="C144" i="9"/>
  <c r="A135" i="9"/>
  <c r="B134" i="9"/>
  <c r="Y134" i="9" s="1"/>
  <c r="C134" i="9"/>
  <c r="A118" i="9"/>
  <c r="B117" i="9"/>
  <c r="Y117" i="9" s="1"/>
  <c r="B81" i="9"/>
  <c r="Y81" i="9" s="1"/>
  <c r="A67" i="9"/>
  <c r="B66" i="9"/>
  <c r="Y66" i="9" s="1"/>
  <c r="A55" i="9"/>
  <c r="B54" i="9"/>
  <c r="Y54" i="9" s="1"/>
  <c r="AA78" i="7"/>
  <c r="B42" i="3"/>
  <c r="C42" i="3"/>
  <c r="E42" i="9"/>
  <c r="C228" i="9"/>
  <c r="C210" i="9"/>
  <c r="D228" i="9"/>
  <c r="C228" i="3"/>
  <c r="D226" i="1"/>
  <c r="D226" i="7" s="1"/>
  <c r="E226" i="1"/>
  <c r="E226" i="7" s="1"/>
  <c r="C254" i="8"/>
  <c r="C232" i="8"/>
  <c r="A233" i="8"/>
  <c r="B232" i="8"/>
  <c r="AA232" i="8" s="1"/>
  <c r="C214" i="8"/>
  <c r="A215" i="8"/>
  <c r="B214" i="8"/>
  <c r="AA214" i="8" s="1"/>
  <c r="A198" i="8"/>
  <c r="C197" i="8"/>
  <c r="B197" i="8"/>
  <c r="AA197" i="8" s="1"/>
  <c r="A179" i="8"/>
  <c r="B178" i="8"/>
  <c r="AA178" i="8" s="1"/>
  <c r="C178" i="8"/>
  <c r="A179" i="4"/>
  <c r="D179" i="4" s="1"/>
  <c r="B178" i="4"/>
  <c r="D178" i="8"/>
  <c r="E178" i="4"/>
  <c r="E178" i="8" s="1"/>
  <c r="C178" i="4"/>
  <c r="A189" i="7"/>
  <c r="A189" i="1"/>
  <c r="B189" i="1" s="1"/>
  <c r="D188" i="1"/>
  <c r="D188" i="7" s="1"/>
  <c r="E188" i="1"/>
  <c r="E188" i="7" s="1"/>
  <c r="D158" i="9"/>
  <c r="E158" i="9"/>
  <c r="C158" i="3"/>
  <c r="C5" i="11"/>
  <c r="A6" i="11"/>
  <c r="B5" i="11"/>
  <c r="F130" i="1"/>
  <c r="F130" i="7" s="1"/>
  <c r="D131" i="1"/>
  <c r="D131" i="7" s="1"/>
  <c r="E131" i="1"/>
  <c r="E131" i="7" s="1"/>
  <c r="D113" i="1"/>
  <c r="D113" i="7" s="1"/>
  <c r="E113" i="1"/>
  <c r="E113" i="7" s="1"/>
  <c r="F112" i="1"/>
  <c r="F112" i="7" s="1"/>
  <c r="D59" i="1"/>
  <c r="D59" i="7" s="1"/>
  <c r="E59" i="1"/>
  <c r="E59" i="7" s="1"/>
  <c r="F58" i="1"/>
  <c r="F58" i="7" s="1"/>
  <c r="E42" i="1"/>
  <c r="E42" i="7" s="1"/>
  <c r="D42" i="1"/>
  <c r="D42" i="7" s="1"/>
  <c r="C17" i="3"/>
  <c r="E17" i="9"/>
  <c r="D128" i="8"/>
  <c r="E128" i="4"/>
  <c r="E128" i="8" s="1"/>
  <c r="D56" i="8"/>
  <c r="E56" i="4"/>
  <c r="E56" i="8" s="1"/>
  <c r="B5" i="4"/>
  <c r="E5" i="4"/>
  <c r="E5" i="8" s="1"/>
  <c r="B128" i="4"/>
  <c r="B56" i="4"/>
  <c r="E5" i="1"/>
  <c r="E5" i="7" s="1"/>
  <c r="A6" i="9"/>
  <c r="C5" i="9"/>
  <c r="B5" i="9"/>
  <c r="Y5" i="9" s="1"/>
  <c r="A18" i="3"/>
  <c r="C29" i="3"/>
  <c r="E167" i="1"/>
  <c r="E167" i="7" s="1"/>
  <c r="D167" i="1"/>
  <c r="D167" i="7" s="1"/>
  <c r="A168" i="7"/>
  <c r="A168" i="1"/>
  <c r="A150" i="1" a="1"/>
  <c r="A150" i="1" s="1"/>
  <c r="C150" i="1" s="1"/>
  <c r="B149" i="1"/>
  <c r="D149" i="1"/>
  <c r="D149" i="7" s="1"/>
  <c r="E149" i="1"/>
  <c r="E149" i="7" s="1"/>
  <c r="A132" i="7"/>
  <c r="B132" i="7" s="1"/>
  <c r="AA131" i="7"/>
  <c r="A132" i="1"/>
  <c r="B132" i="1" s="1"/>
  <c r="A114" i="1"/>
  <c r="B114" i="1" s="1"/>
  <c r="A6" i="1"/>
  <c r="B6" i="1" s="1"/>
  <c r="D5" i="1"/>
  <c r="D5" i="7" s="1"/>
  <c r="A98" i="1"/>
  <c r="B97" i="1"/>
  <c r="D97" i="1"/>
  <c r="D97" i="7" s="1"/>
  <c r="C97" i="1"/>
  <c r="F97" i="1" s="1"/>
  <c r="F97" i="7" s="1"/>
  <c r="E97" i="1"/>
  <c r="E97" i="7" s="1"/>
  <c r="A60" i="1"/>
  <c r="A43" i="1"/>
  <c r="A6" i="7"/>
  <c r="C5" i="3"/>
  <c r="C117" i="9"/>
  <c r="A78" i="1"/>
  <c r="B78" i="1" s="1"/>
  <c r="E77" i="1"/>
  <c r="E77" i="7" s="1"/>
  <c r="D77" i="1"/>
  <c r="D77" i="7" s="1"/>
  <c r="A6" i="3"/>
  <c r="D5" i="9"/>
  <c r="C66" i="9"/>
  <c r="C54" i="9"/>
  <c r="E66" i="9"/>
  <c r="C66" i="3"/>
  <c r="E54" i="9"/>
  <c r="C54" i="3"/>
  <c r="C143" i="8"/>
  <c r="C111" i="8"/>
  <c r="C93" i="8"/>
  <c r="C75" i="8"/>
  <c r="C33" i="8"/>
  <c r="C21" i="8"/>
  <c r="C142" i="4"/>
  <c r="C110" i="4"/>
  <c r="C92" i="4"/>
  <c r="C74" i="4"/>
  <c r="C32" i="4"/>
  <c r="C20" i="4"/>
  <c r="F148" i="1"/>
  <c r="F148" i="7" s="1"/>
  <c r="C42" i="9"/>
  <c r="A82" i="9"/>
  <c r="C81" i="9"/>
  <c r="Y100" i="9"/>
  <c r="C99" i="9"/>
  <c r="A6" i="8"/>
  <c r="B6" i="8" s="1"/>
  <c r="AA6" i="8" s="1"/>
  <c r="C5" i="8"/>
  <c r="A129" i="8"/>
  <c r="B129" i="8" s="1"/>
  <c r="AA129" i="8" s="1"/>
  <c r="C128" i="8"/>
  <c r="A57" i="8"/>
  <c r="B57" i="8" s="1"/>
  <c r="AA57" i="8" s="1"/>
  <c r="C56" i="8"/>
  <c r="A60" i="7"/>
  <c r="B60" i="7" s="1"/>
  <c r="A98" i="7"/>
  <c r="B98" i="7" s="1"/>
  <c r="AA98" i="7" s="1"/>
  <c r="C97" i="7"/>
  <c r="G97" i="7" s="1"/>
  <c r="A150" i="7" a="1"/>
  <c r="A150" i="7" s="1"/>
  <c r="B150" i="7" s="1"/>
  <c r="AA150" i="7" s="1"/>
  <c r="C149" i="7"/>
  <c r="G149" i="7" s="1"/>
  <c r="A114" i="7"/>
  <c r="B114" i="7" s="1"/>
  <c r="A24" i="7"/>
  <c r="C149" i="1"/>
  <c r="E99" i="9"/>
  <c r="D99" i="9"/>
  <c r="C99" i="3"/>
  <c r="A57" i="4"/>
  <c r="D57" i="4" s="1"/>
  <c r="C56" i="4"/>
  <c r="C128" i="4"/>
  <c r="C5" i="4"/>
  <c r="A6" i="4"/>
  <c r="A129" i="4"/>
  <c r="D129" i="4" s="1"/>
  <c r="A26" i="1" l="1"/>
  <c r="D145" i="3"/>
  <c r="E145" i="3"/>
  <c r="E135" i="3"/>
  <c r="E135" i="9" s="1"/>
  <c r="D135" i="3"/>
  <c r="D135" i="9" s="1"/>
  <c r="D118" i="3"/>
  <c r="E118" i="3"/>
  <c r="D82" i="3"/>
  <c r="E82" i="3"/>
  <c r="E82" i="9" s="1"/>
  <c r="E67" i="3"/>
  <c r="D67" i="3"/>
  <c r="E55" i="3"/>
  <c r="E55" i="9" s="1"/>
  <c r="D55" i="3"/>
  <c r="A44" i="3"/>
  <c r="D43" i="3"/>
  <c r="E43" i="3"/>
  <c r="E43" i="9" s="1"/>
  <c r="A31" i="3"/>
  <c r="E30" i="3"/>
  <c r="E30" i="9" s="1"/>
  <c r="D30" i="3"/>
  <c r="D30" i="9" s="1"/>
  <c r="B30" i="3"/>
  <c r="D18" i="3"/>
  <c r="D18" i="9" s="1"/>
  <c r="E18" i="3"/>
  <c r="D6" i="3"/>
  <c r="E6" i="3"/>
  <c r="E6" i="9" s="1"/>
  <c r="B6" i="3"/>
  <c r="E25" i="1"/>
  <c r="E25" i="7" s="1"/>
  <c r="D25" i="1"/>
  <c r="D25" i="7" s="1"/>
  <c r="B25" i="1"/>
  <c r="B79" i="7"/>
  <c r="AA79" i="7" s="1"/>
  <c r="B43" i="3"/>
  <c r="B54" i="11"/>
  <c r="A55" i="11"/>
  <c r="E55" i="11" s="1"/>
  <c r="E55" i="6" s="1"/>
  <c r="C54" i="11"/>
  <c r="D54" i="11"/>
  <c r="D54" i="6" s="1"/>
  <c r="C189" i="7"/>
  <c r="G189" i="7" s="1"/>
  <c r="B189" i="7"/>
  <c r="AA189" i="7" s="1"/>
  <c r="B168" i="1"/>
  <c r="C168" i="7"/>
  <c r="G168" i="7" s="1"/>
  <c r="B168" i="7"/>
  <c r="AA168" i="7" s="1"/>
  <c r="C132" i="1"/>
  <c r="C114" i="1"/>
  <c r="C60" i="1"/>
  <c r="B60" i="1"/>
  <c r="C43" i="1"/>
  <c r="B43" i="1"/>
  <c r="C24" i="7"/>
  <c r="G24" i="7" s="1"/>
  <c r="B24" i="7"/>
  <c r="AA24" i="7" s="1"/>
  <c r="C26" i="1"/>
  <c r="B26" i="1"/>
  <c r="C6" i="7"/>
  <c r="G6" i="7" s="1"/>
  <c r="B6" i="7"/>
  <c r="AA6" i="7" s="1"/>
  <c r="A44" i="7"/>
  <c r="B44" i="7" s="1"/>
  <c r="C43" i="7"/>
  <c r="G43" i="7" s="1"/>
  <c r="AA43" i="7"/>
  <c r="AA60" i="7"/>
  <c r="C60" i="7"/>
  <c r="G60" i="7" s="1"/>
  <c r="C79" i="7"/>
  <c r="G79" i="7" s="1"/>
  <c r="AA114" i="7"/>
  <c r="C114" i="7"/>
  <c r="G114" i="7" s="1"/>
  <c r="C132" i="7"/>
  <c r="G132" i="7" s="1"/>
  <c r="C216" i="1"/>
  <c r="F216" i="1" s="1"/>
  <c r="F216" i="7" s="1"/>
  <c r="C78" i="1"/>
  <c r="F78" i="1" s="1"/>
  <c r="F78" i="7" s="1"/>
  <c r="C189" i="1"/>
  <c r="F189" i="1" s="1"/>
  <c r="F189" i="7" s="1"/>
  <c r="C168" i="1"/>
  <c r="F168" i="1" s="1"/>
  <c r="F168" i="7" s="1"/>
  <c r="F42" i="1"/>
  <c r="F42" i="7" s="1"/>
  <c r="F24" i="1"/>
  <c r="F24" i="7" s="1"/>
  <c r="A7" i="1"/>
  <c r="B7" i="1" s="1"/>
  <c r="C6" i="1"/>
  <c r="F6" i="1" s="1"/>
  <c r="F6" i="7" s="1"/>
  <c r="D32" i="8"/>
  <c r="E32" i="8"/>
  <c r="D43" i="9"/>
  <c r="C43" i="3"/>
  <c r="E254" i="4"/>
  <c r="E254" i="8" s="1"/>
  <c r="A80" i="7"/>
  <c r="A255" i="4"/>
  <c r="C255" i="4" s="1"/>
  <c r="D254" i="4"/>
  <c r="D254" i="8" s="1"/>
  <c r="B254" i="4"/>
  <c r="A234" i="4"/>
  <c r="D233" i="4"/>
  <c r="D233" i="8" s="1"/>
  <c r="C233" i="4"/>
  <c r="B233" i="4"/>
  <c r="E233" i="4"/>
  <c r="E233" i="8" s="1"/>
  <c r="A216" i="4"/>
  <c r="D215" i="4"/>
  <c r="D215" i="8" s="1"/>
  <c r="B215" i="4"/>
  <c r="C215" i="4"/>
  <c r="E215" i="4"/>
  <c r="E215" i="8" s="1"/>
  <c r="A200" i="4"/>
  <c r="D199" i="4"/>
  <c r="D199" i="8" s="1"/>
  <c r="E199" i="4"/>
  <c r="E199" i="8" s="1"/>
  <c r="B199" i="4"/>
  <c r="C199" i="4"/>
  <c r="A158" i="4"/>
  <c r="D158" i="4" s="1"/>
  <c r="D157" i="8"/>
  <c r="B157" i="4"/>
  <c r="E157" i="4"/>
  <c r="E157" i="8" s="1"/>
  <c r="C157" i="4"/>
  <c r="A144" i="4"/>
  <c r="D143" i="4"/>
  <c r="D143" i="8" s="1"/>
  <c r="E143" i="4"/>
  <c r="E143" i="8" s="1"/>
  <c r="B143" i="4"/>
  <c r="A112" i="4"/>
  <c r="D111" i="4"/>
  <c r="D111" i="8" s="1"/>
  <c r="E111" i="4"/>
  <c r="E111" i="8" s="1"/>
  <c r="B111" i="4"/>
  <c r="A76" i="4"/>
  <c r="D75" i="4"/>
  <c r="D75" i="8" s="1"/>
  <c r="E75" i="4"/>
  <c r="E75" i="8" s="1"/>
  <c r="B75" i="4"/>
  <c r="A94" i="4"/>
  <c r="D93" i="4"/>
  <c r="D93" i="8" s="1"/>
  <c r="E93" i="4"/>
  <c r="E93" i="8" s="1"/>
  <c r="B93" i="4"/>
  <c r="A34" i="4"/>
  <c r="D33" i="4"/>
  <c r="E33" i="4"/>
  <c r="B33" i="4"/>
  <c r="A22" i="4"/>
  <c r="D21" i="4"/>
  <c r="D21" i="8" s="1"/>
  <c r="E21" i="4"/>
  <c r="E21" i="8" s="1"/>
  <c r="B21" i="4"/>
  <c r="D6" i="4"/>
  <c r="D6" i="8" s="1"/>
  <c r="A146" i="3"/>
  <c r="B145" i="3"/>
  <c r="C145" i="3"/>
  <c r="E145" i="9"/>
  <c r="D145" i="9"/>
  <c r="C135" i="3"/>
  <c r="B135" i="3"/>
  <c r="A136" i="3"/>
  <c r="A119" i="3"/>
  <c r="B118" i="3"/>
  <c r="D118" i="9"/>
  <c r="C118" i="3"/>
  <c r="E118" i="9"/>
  <c r="A83" i="3"/>
  <c r="B82" i="3"/>
  <c r="C82" i="3"/>
  <c r="D82" i="9"/>
  <c r="A68" i="3"/>
  <c r="B67" i="3"/>
  <c r="A56" i="3"/>
  <c r="B55" i="3"/>
  <c r="Y161" i="9"/>
  <c r="C161" i="9"/>
  <c r="A146" i="9"/>
  <c r="B145" i="9"/>
  <c r="Y145" i="9" s="1"/>
  <c r="C145" i="9"/>
  <c r="A136" i="9"/>
  <c r="B135" i="9"/>
  <c r="Y135" i="9" s="1"/>
  <c r="C135" i="9"/>
  <c r="A119" i="9"/>
  <c r="B118" i="9"/>
  <c r="Y118" i="9" s="1"/>
  <c r="B82" i="9"/>
  <c r="Y82" i="9" s="1"/>
  <c r="A68" i="9"/>
  <c r="C68" i="9" s="1"/>
  <c r="B67" i="9"/>
  <c r="Y67" i="9" s="1"/>
  <c r="A56" i="9"/>
  <c r="C56" i="9" s="1"/>
  <c r="B55" i="9"/>
  <c r="Y55" i="9" s="1"/>
  <c r="C255" i="8"/>
  <c r="A234" i="8"/>
  <c r="B233" i="8"/>
  <c r="AA233" i="8" s="1"/>
  <c r="C233" i="8"/>
  <c r="A216" i="8"/>
  <c r="B215" i="8"/>
  <c r="AA215" i="8" s="1"/>
  <c r="C215" i="8"/>
  <c r="A199" i="8"/>
  <c r="C198" i="8"/>
  <c r="B198" i="8"/>
  <c r="AA198" i="8" s="1"/>
  <c r="A180" i="8"/>
  <c r="B179" i="8"/>
  <c r="AA179" i="8" s="1"/>
  <c r="C179" i="8"/>
  <c r="B179" i="4"/>
  <c r="A180" i="4"/>
  <c r="D180" i="4" s="1"/>
  <c r="C179" i="4"/>
  <c r="E179" i="4"/>
  <c r="E179" i="8" s="1"/>
  <c r="D179" i="8"/>
  <c r="A190" i="7"/>
  <c r="A190" i="1"/>
  <c r="B190" i="1" s="1"/>
  <c r="D189" i="1"/>
  <c r="D189" i="7" s="1"/>
  <c r="E189" i="1"/>
  <c r="E189" i="7" s="1"/>
  <c r="E159" i="9"/>
  <c r="C159" i="3"/>
  <c r="D159" i="9"/>
  <c r="A7" i="11"/>
  <c r="B6" i="11"/>
  <c r="C6" i="11"/>
  <c r="F131" i="1"/>
  <c r="F131" i="7" s="1"/>
  <c r="E132" i="1"/>
  <c r="E132" i="7" s="1"/>
  <c r="D132" i="1"/>
  <c r="D132" i="7" s="1"/>
  <c r="E114" i="1"/>
  <c r="E114" i="7" s="1"/>
  <c r="D114" i="1"/>
  <c r="D114" i="7" s="1"/>
  <c r="F113" i="1"/>
  <c r="F113" i="7" s="1"/>
  <c r="E60" i="1"/>
  <c r="E60" i="7" s="1"/>
  <c r="D60" i="1"/>
  <c r="D60" i="7" s="1"/>
  <c r="F59" i="1"/>
  <c r="F59" i="7" s="1"/>
  <c r="D43" i="1"/>
  <c r="D43" i="7" s="1"/>
  <c r="E43" i="1"/>
  <c r="E43" i="7" s="1"/>
  <c r="E26" i="1"/>
  <c r="E26" i="7" s="1"/>
  <c r="D26" i="1"/>
  <c r="D26" i="7" s="1"/>
  <c r="D129" i="8"/>
  <c r="E129" i="4"/>
  <c r="E129" i="8" s="1"/>
  <c r="D57" i="8"/>
  <c r="E57" i="4"/>
  <c r="E57" i="8" s="1"/>
  <c r="B129" i="4"/>
  <c r="B6" i="4"/>
  <c r="E6" i="4"/>
  <c r="E6" i="8" s="1"/>
  <c r="B57" i="4"/>
  <c r="A7" i="9"/>
  <c r="C6" i="9"/>
  <c r="B6" i="9"/>
  <c r="Y6" i="9" s="1"/>
  <c r="E18" i="9"/>
  <c r="A45" i="3"/>
  <c r="B44" i="3"/>
  <c r="C44" i="3"/>
  <c r="A19" i="3"/>
  <c r="C30" i="3"/>
  <c r="C18" i="3"/>
  <c r="B18" i="3"/>
  <c r="E6" i="1"/>
  <c r="E6" i="7" s="1"/>
  <c r="D6" i="1"/>
  <c r="D6" i="7" s="1"/>
  <c r="A169" i="7"/>
  <c r="A169" i="1"/>
  <c r="D168" i="1"/>
  <c r="D168" i="7" s="1"/>
  <c r="E168" i="1"/>
  <c r="E168" i="7" s="1"/>
  <c r="A151" i="1" a="1"/>
  <c r="A151" i="1" s="1"/>
  <c r="C151" i="1" s="1"/>
  <c r="B150" i="1"/>
  <c r="E150" i="1"/>
  <c r="E150" i="7" s="1"/>
  <c r="D150" i="1"/>
  <c r="D150" i="7" s="1"/>
  <c r="A133" i="7"/>
  <c r="B133" i="7" s="1"/>
  <c r="AA132" i="7"/>
  <c r="A133" i="1"/>
  <c r="B133" i="1" s="1"/>
  <c r="A115" i="1"/>
  <c r="B115" i="1" s="1"/>
  <c r="A99" i="1"/>
  <c r="B98" i="1"/>
  <c r="C98" i="1"/>
  <c r="F98" i="1" s="1"/>
  <c r="F98" i="7" s="1"/>
  <c r="E98" i="1"/>
  <c r="E98" i="7" s="1"/>
  <c r="D98" i="1"/>
  <c r="D98" i="7" s="1"/>
  <c r="A61" i="1"/>
  <c r="A44" i="1"/>
  <c r="A7" i="7"/>
  <c r="C6" i="3"/>
  <c r="C118" i="9"/>
  <c r="A79" i="1"/>
  <c r="B79" i="1" s="1"/>
  <c r="E78" i="1"/>
  <c r="E78" i="7" s="1"/>
  <c r="D78" i="1"/>
  <c r="D78" i="7" s="1"/>
  <c r="D6" i="9"/>
  <c r="A7" i="3"/>
  <c r="D4" i="9"/>
  <c r="E4" i="9"/>
  <c r="C67" i="9"/>
  <c r="C55" i="9"/>
  <c r="E67" i="9"/>
  <c r="D67" i="9"/>
  <c r="C67" i="3"/>
  <c r="D55" i="9"/>
  <c r="C55" i="3"/>
  <c r="C144" i="8"/>
  <c r="C112" i="8"/>
  <c r="C94" i="8"/>
  <c r="C76" i="8"/>
  <c r="C35" i="8"/>
  <c r="C34" i="8"/>
  <c r="C23" i="8"/>
  <c r="C22" i="8"/>
  <c r="C143" i="4"/>
  <c r="C111" i="4"/>
  <c r="C93" i="4"/>
  <c r="C75" i="4"/>
  <c r="C33" i="4"/>
  <c r="C21" i="4"/>
  <c r="F150" i="1"/>
  <c r="F150" i="7" s="1"/>
  <c r="F149" i="1"/>
  <c r="F149" i="7" s="1"/>
  <c r="Y101" i="9"/>
  <c r="C100" i="9"/>
  <c r="A83" i="9"/>
  <c r="C82" i="9"/>
  <c r="C43" i="9"/>
  <c r="A130" i="8"/>
  <c r="B130" i="8" s="1"/>
  <c r="AA130" i="8" s="1"/>
  <c r="C129" i="8"/>
  <c r="A58" i="8"/>
  <c r="B58" i="8" s="1"/>
  <c r="AA58" i="8" s="1"/>
  <c r="C57" i="8"/>
  <c r="A7" i="8"/>
  <c r="B7" i="8" s="1"/>
  <c r="AA7" i="8" s="1"/>
  <c r="C6" i="8"/>
  <c r="A25" i="7"/>
  <c r="A115" i="7"/>
  <c r="B115" i="7" s="1"/>
  <c r="A151" i="7" a="1"/>
  <c r="A151" i="7" s="1"/>
  <c r="B151" i="7" s="1"/>
  <c r="AA151" i="7" s="1"/>
  <c r="C150" i="7"/>
  <c r="G150" i="7" s="1"/>
  <c r="C98" i="7"/>
  <c r="G98" i="7" s="1"/>
  <c r="A99" i="7"/>
  <c r="B99" i="7" s="1"/>
  <c r="AA99" i="7" s="1"/>
  <c r="A61" i="7"/>
  <c r="B61" i="7" s="1"/>
  <c r="E100" i="9"/>
  <c r="D100" i="9"/>
  <c r="C100" i="3"/>
  <c r="A58" i="4"/>
  <c r="D58" i="4" s="1"/>
  <c r="C57" i="4"/>
  <c r="C129" i="4"/>
  <c r="C6" i="4"/>
  <c r="A7" i="4"/>
  <c r="A130" i="4"/>
  <c r="D130" i="4" s="1"/>
  <c r="A27" i="1"/>
  <c r="E146" i="3" l="1"/>
  <c r="D146" i="3"/>
  <c r="E136" i="3"/>
  <c r="E136" i="9" s="1"/>
  <c r="D136" i="3"/>
  <c r="D136" i="9" s="1"/>
  <c r="D119" i="3"/>
  <c r="E119" i="3"/>
  <c r="E83" i="3"/>
  <c r="E83" i="9" s="1"/>
  <c r="D83" i="3"/>
  <c r="D83" i="9" s="1"/>
  <c r="E68" i="3"/>
  <c r="D68" i="3"/>
  <c r="E56" i="3"/>
  <c r="E56" i="9" s="1"/>
  <c r="D56" i="3"/>
  <c r="D56" i="9" s="1"/>
  <c r="D45" i="3"/>
  <c r="E45" i="3"/>
  <c r="E44" i="3"/>
  <c r="E44" i="9" s="1"/>
  <c r="D44" i="3"/>
  <c r="D44" i="9" s="1"/>
  <c r="A32" i="3"/>
  <c r="E31" i="3"/>
  <c r="E31" i="9" s="1"/>
  <c r="D31" i="3"/>
  <c r="D31" i="9" s="1"/>
  <c r="B31" i="3"/>
  <c r="E19" i="3"/>
  <c r="D19" i="3"/>
  <c r="D7" i="3"/>
  <c r="D7" i="9" s="1"/>
  <c r="E7" i="3"/>
  <c r="E7" i="9" s="1"/>
  <c r="B80" i="7"/>
  <c r="AA80" i="7" s="1"/>
  <c r="D7" i="1"/>
  <c r="D7" i="7" s="1"/>
  <c r="C55" i="11"/>
  <c r="D55" i="11"/>
  <c r="D55" i="6" s="1"/>
  <c r="B55" i="11"/>
  <c r="E7" i="1"/>
  <c r="E7" i="7" s="1"/>
  <c r="C190" i="7"/>
  <c r="G190" i="7" s="1"/>
  <c r="B190" i="7"/>
  <c r="AA190" i="7" s="1"/>
  <c r="B169" i="1"/>
  <c r="C169" i="7"/>
  <c r="G169" i="7" s="1"/>
  <c r="B169" i="7"/>
  <c r="AA169" i="7" s="1"/>
  <c r="C133" i="1"/>
  <c r="C115" i="1"/>
  <c r="C61" i="1"/>
  <c r="B61" i="1"/>
  <c r="C44" i="1"/>
  <c r="B44" i="1"/>
  <c r="C25" i="7"/>
  <c r="G25" i="7" s="1"/>
  <c r="B25" i="7"/>
  <c r="AA25" i="7" s="1"/>
  <c r="C27" i="1"/>
  <c r="B27" i="1"/>
  <c r="C7" i="7"/>
  <c r="G7" i="7" s="1"/>
  <c r="B7" i="7"/>
  <c r="AA7" i="7" s="1"/>
  <c r="A45" i="7"/>
  <c r="B45" i="7" s="1"/>
  <c r="C44" i="7"/>
  <c r="G44" i="7" s="1"/>
  <c r="AA44" i="7"/>
  <c r="AA61" i="7"/>
  <c r="C61" i="7"/>
  <c r="G61" i="7" s="1"/>
  <c r="C80" i="7"/>
  <c r="G80" i="7" s="1"/>
  <c r="AA115" i="7"/>
  <c r="C115" i="7"/>
  <c r="G115" i="7" s="1"/>
  <c r="C133" i="7"/>
  <c r="G133" i="7" s="1"/>
  <c r="C217" i="1"/>
  <c r="F217" i="1" s="1"/>
  <c r="F217" i="7" s="1"/>
  <c r="C79" i="1"/>
  <c r="F79" i="1" s="1"/>
  <c r="F79" i="7" s="1"/>
  <c r="C190" i="1"/>
  <c r="F190" i="1" s="1"/>
  <c r="F190" i="7" s="1"/>
  <c r="C169" i="1"/>
  <c r="F169" i="1" s="1"/>
  <c r="F169" i="7" s="1"/>
  <c r="F43" i="1"/>
  <c r="F43" i="7" s="1"/>
  <c r="F25" i="1"/>
  <c r="F25" i="7" s="1"/>
  <c r="A8" i="1"/>
  <c r="B8" i="1" s="1"/>
  <c r="C7" i="1"/>
  <c r="F7" i="1" s="1"/>
  <c r="F7" i="7" s="1"/>
  <c r="D33" i="8"/>
  <c r="E33" i="8"/>
  <c r="E255" i="4"/>
  <c r="E255" i="8" s="1"/>
  <c r="A81" i="7"/>
  <c r="B255" i="4"/>
  <c r="D255" i="4"/>
  <c r="D255" i="8" s="1"/>
  <c r="A235" i="4"/>
  <c r="D234" i="4"/>
  <c r="D234" i="8" s="1"/>
  <c r="C234" i="4"/>
  <c r="E234" i="4"/>
  <c r="E234" i="8" s="1"/>
  <c r="B234" i="4"/>
  <c r="A217" i="4"/>
  <c r="D216" i="4"/>
  <c r="D216" i="8" s="1"/>
  <c r="B216" i="4"/>
  <c r="C216" i="4"/>
  <c r="E216" i="4"/>
  <c r="E216" i="8" s="1"/>
  <c r="A201" i="4"/>
  <c r="D200" i="4"/>
  <c r="D200" i="8" s="1"/>
  <c r="B200" i="4"/>
  <c r="E200" i="4"/>
  <c r="E200" i="8" s="1"/>
  <c r="C200" i="4"/>
  <c r="A159" i="4"/>
  <c r="D159" i="4" s="1"/>
  <c r="D158" i="8"/>
  <c r="E158" i="4"/>
  <c r="E158" i="8" s="1"/>
  <c r="B158" i="4"/>
  <c r="C158" i="4"/>
  <c r="A145" i="4"/>
  <c r="D144" i="4"/>
  <c r="D144" i="8" s="1"/>
  <c r="E144" i="4"/>
  <c r="E144" i="8" s="1"/>
  <c r="B144" i="4"/>
  <c r="A35" i="4"/>
  <c r="D34" i="4"/>
  <c r="B34" i="4"/>
  <c r="E34" i="4"/>
  <c r="A95" i="4"/>
  <c r="D94" i="4"/>
  <c r="D94" i="8" s="1"/>
  <c r="E94" i="4"/>
  <c r="E94" i="8" s="1"/>
  <c r="B94" i="4"/>
  <c r="A77" i="4"/>
  <c r="D76" i="4"/>
  <c r="D76" i="8" s="1"/>
  <c r="E76" i="4"/>
  <c r="E76" i="8" s="1"/>
  <c r="B76" i="4"/>
  <c r="A113" i="4"/>
  <c r="D112" i="4"/>
  <c r="D112" i="8" s="1"/>
  <c r="E112" i="4"/>
  <c r="E112" i="8" s="1"/>
  <c r="B112" i="4"/>
  <c r="A23" i="4"/>
  <c r="D22" i="4"/>
  <c r="D22" i="8" s="1"/>
  <c r="E22" i="4"/>
  <c r="E22" i="8" s="1"/>
  <c r="B22" i="4"/>
  <c r="D7" i="4"/>
  <c r="D7" i="8" s="1"/>
  <c r="A147" i="3"/>
  <c r="B146" i="3"/>
  <c r="C146" i="3"/>
  <c r="D146" i="9"/>
  <c r="E146" i="9"/>
  <c r="B136" i="3"/>
  <c r="A137" i="3"/>
  <c r="C136" i="3"/>
  <c r="A120" i="3"/>
  <c r="B119" i="3"/>
  <c r="D119" i="9"/>
  <c r="C119" i="3"/>
  <c r="E119" i="9"/>
  <c r="A84" i="3"/>
  <c r="B83" i="3"/>
  <c r="C83" i="3"/>
  <c r="A69" i="3"/>
  <c r="B68" i="3"/>
  <c r="B56" i="3"/>
  <c r="A57" i="3"/>
  <c r="Y162" i="9"/>
  <c r="C162" i="9"/>
  <c r="A147" i="9"/>
  <c r="B146" i="9"/>
  <c r="Y146" i="9" s="1"/>
  <c r="C146" i="9"/>
  <c r="B136" i="9"/>
  <c r="Y136" i="9" s="1"/>
  <c r="C136" i="9"/>
  <c r="A137" i="9"/>
  <c r="A120" i="9"/>
  <c r="B119" i="9"/>
  <c r="Y119" i="9" s="1"/>
  <c r="B83" i="9"/>
  <c r="Y83" i="9" s="1"/>
  <c r="A69" i="9"/>
  <c r="B68" i="9"/>
  <c r="Y68" i="9" s="1"/>
  <c r="A57" i="9"/>
  <c r="B56" i="9"/>
  <c r="Y56" i="9" s="1"/>
  <c r="C234" i="8"/>
  <c r="A235" i="8"/>
  <c r="B234" i="8"/>
  <c r="AA234" i="8" s="1"/>
  <c r="C216" i="8"/>
  <c r="A217" i="8"/>
  <c r="B216" i="8"/>
  <c r="AA216" i="8" s="1"/>
  <c r="A200" i="8"/>
  <c r="C199" i="8"/>
  <c r="B199" i="8"/>
  <c r="AA199" i="8" s="1"/>
  <c r="A181" i="8"/>
  <c r="B180" i="8"/>
  <c r="AA180" i="8" s="1"/>
  <c r="C180" i="8"/>
  <c r="A181" i="4"/>
  <c r="D181" i="4" s="1"/>
  <c r="B180" i="4"/>
  <c r="E180" i="4"/>
  <c r="E180" i="8" s="1"/>
  <c r="D180" i="8"/>
  <c r="C180" i="4"/>
  <c r="A191" i="7"/>
  <c r="A191" i="1"/>
  <c r="B191" i="1" s="1"/>
  <c r="D190" i="1"/>
  <c r="D190" i="7" s="1"/>
  <c r="E190" i="1"/>
  <c r="E190" i="7" s="1"/>
  <c r="D160" i="9"/>
  <c r="E160" i="9"/>
  <c r="C160" i="3"/>
  <c r="C7" i="11"/>
  <c r="A8" i="11"/>
  <c r="B7" i="11"/>
  <c r="F132" i="1"/>
  <c r="F132" i="7" s="1"/>
  <c r="D133" i="1"/>
  <c r="D133" i="7" s="1"/>
  <c r="E133" i="1"/>
  <c r="E133" i="7" s="1"/>
  <c r="F114" i="1"/>
  <c r="F114" i="7" s="1"/>
  <c r="D115" i="1"/>
  <c r="D115" i="7" s="1"/>
  <c r="E115" i="1"/>
  <c r="E115" i="7" s="1"/>
  <c r="F60" i="1"/>
  <c r="F60" i="7" s="1"/>
  <c r="D61" i="1"/>
  <c r="D61" i="7" s="1"/>
  <c r="E61" i="1"/>
  <c r="E61" i="7" s="1"/>
  <c r="E44" i="1"/>
  <c r="E44" i="7" s="1"/>
  <c r="D44" i="1"/>
  <c r="D44" i="7" s="1"/>
  <c r="D27" i="1"/>
  <c r="D27" i="7" s="1"/>
  <c r="E27" i="1"/>
  <c r="E27" i="7" s="1"/>
  <c r="E19" i="9"/>
  <c r="D130" i="8"/>
  <c r="E130" i="4"/>
  <c r="E130" i="8" s="1"/>
  <c r="D58" i="8"/>
  <c r="E58" i="4"/>
  <c r="E58" i="8" s="1"/>
  <c r="B7" i="4"/>
  <c r="E7" i="4"/>
  <c r="E7" i="8" s="1"/>
  <c r="B58" i="4"/>
  <c r="B130" i="4"/>
  <c r="A8" i="9"/>
  <c r="C7" i="9"/>
  <c r="B7" i="9"/>
  <c r="Y7" i="9" s="1"/>
  <c r="B45" i="3"/>
  <c r="D45" i="9"/>
  <c r="A46" i="3"/>
  <c r="C45" i="3"/>
  <c r="E45" i="9"/>
  <c r="D19" i="9"/>
  <c r="A20" i="3"/>
  <c r="C31" i="3"/>
  <c r="B19" i="3"/>
  <c r="C19" i="3"/>
  <c r="B7" i="3"/>
  <c r="A170" i="7"/>
  <c r="A170" i="1"/>
  <c r="E169" i="1"/>
  <c r="E169" i="7" s="1"/>
  <c r="D169" i="1"/>
  <c r="D169" i="7" s="1"/>
  <c r="A152" i="1" a="1"/>
  <c r="A152" i="1" s="1"/>
  <c r="C152" i="1" s="1"/>
  <c r="B151" i="1"/>
  <c r="D151" i="1"/>
  <c r="D151" i="7" s="1"/>
  <c r="E151" i="1"/>
  <c r="E151" i="7" s="1"/>
  <c r="A134" i="7"/>
  <c r="B134" i="7" s="1"/>
  <c r="AA133" i="7"/>
  <c r="A134" i="1"/>
  <c r="B134" i="1" s="1"/>
  <c r="A116" i="1"/>
  <c r="B116" i="1" s="1"/>
  <c r="A100" i="1"/>
  <c r="B99" i="1"/>
  <c r="D99" i="1"/>
  <c r="D99" i="7" s="1"/>
  <c r="C99" i="1"/>
  <c r="F99" i="1" s="1"/>
  <c r="F99" i="7" s="1"/>
  <c r="E99" i="1"/>
  <c r="E99" i="7" s="1"/>
  <c r="A62" i="1"/>
  <c r="A45" i="1"/>
  <c r="A8" i="7"/>
  <c r="C7" i="3"/>
  <c r="C119" i="9"/>
  <c r="A80" i="1"/>
  <c r="B80" i="1" s="1"/>
  <c r="E79" i="1"/>
  <c r="E79" i="7" s="1"/>
  <c r="D79" i="1"/>
  <c r="D79" i="7" s="1"/>
  <c r="A8" i="3"/>
  <c r="E68" i="9"/>
  <c r="D68" i="9"/>
  <c r="C68" i="3"/>
  <c r="C56" i="3"/>
  <c r="C145" i="8"/>
  <c r="C113" i="8"/>
  <c r="C95" i="8"/>
  <c r="C77" i="8"/>
  <c r="C144" i="4"/>
  <c r="C112" i="4"/>
  <c r="C94" i="4"/>
  <c r="C76" i="4"/>
  <c r="C34" i="4"/>
  <c r="C22" i="4"/>
  <c r="F151" i="1"/>
  <c r="F151" i="7" s="1"/>
  <c r="C44" i="9"/>
  <c r="A84" i="9"/>
  <c r="C83" i="9"/>
  <c r="Y102" i="9"/>
  <c r="C101" i="9"/>
  <c r="A8" i="8"/>
  <c r="C7" i="8"/>
  <c r="A131" i="8"/>
  <c r="B131" i="8" s="1"/>
  <c r="AA131" i="8" s="1"/>
  <c r="C130" i="8"/>
  <c r="A59" i="8"/>
  <c r="B59" i="8" s="1"/>
  <c r="AA59" i="8" s="1"/>
  <c r="C58" i="8"/>
  <c r="A62" i="7"/>
  <c r="B62" i="7" s="1"/>
  <c r="A100" i="7"/>
  <c r="B100" i="7" s="1"/>
  <c r="AA100" i="7" s="1"/>
  <c r="C99" i="7"/>
  <c r="G99" i="7" s="1"/>
  <c r="A152" i="7" a="1"/>
  <c r="A152" i="7" s="1"/>
  <c r="B152" i="7" s="1"/>
  <c r="AA152" i="7" s="1"/>
  <c r="C151" i="7"/>
  <c r="G151" i="7" s="1"/>
  <c r="A116" i="7"/>
  <c r="B116" i="7" s="1"/>
  <c r="A26" i="7"/>
  <c r="E101" i="9"/>
  <c r="D101" i="9"/>
  <c r="C101" i="3"/>
  <c r="A59" i="4"/>
  <c r="D59" i="4" s="1"/>
  <c r="C58" i="4"/>
  <c r="C130" i="4"/>
  <c r="C7" i="4"/>
  <c r="A8" i="4"/>
  <c r="A131" i="4"/>
  <c r="D131" i="4" s="1"/>
  <c r="A28" i="1"/>
  <c r="D147" i="3" l="1"/>
  <c r="E147" i="3"/>
  <c r="E137" i="3"/>
  <c r="D137" i="3"/>
  <c r="D137" i="9" s="1"/>
  <c r="E120" i="3"/>
  <c r="D120" i="3"/>
  <c r="D84" i="3"/>
  <c r="D84" i="9" s="1"/>
  <c r="E84" i="3"/>
  <c r="E84" i="9" s="1"/>
  <c r="E69" i="3"/>
  <c r="D69" i="3"/>
  <c r="E57" i="3"/>
  <c r="E57" i="9" s="1"/>
  <c r="D57" i="3"/>
  <c r="D57" i="9" s="1"/>
  <c r="E46" i="3"/>
  <c r="D46" i="3"/>
  <c r="A33" i="3"/>
  <c r="E32" i="3"/>
  <c r="E32" i="9" s="1"/>
  <c r="D32" i="3"/>
  <c r="D32" i="9" s="1"/>
  <c r="B32" i="3"/>
  <c r="D20" i="3"/>
  <c r="D20" i="9" s="1"/>
  <c r="E20" i="3"/>
  <c r="E20" i="9" s="1"/>
  <c r="D8" i="3"/>
  <c r="E8" i="3"/>
  <c r="B8" i="3"/>
  <c r="B81" i="7"/>
  <c r="AA81" i="7" s="1"/>
  <c r="A82" i="7"/>
  <c r="B82" i="7" s="1"/>
  <c r="C191" i="7"/>
  <c r="G191" i="7" s="1"/>
  <c r="B191" i="7"/>
  <c r="AA191" i="7" s="1"/>
  <c r="B170" i="1"/>
  <c r="C170" i="7"/>
  <c r="B170" i="7"/>
  <c r="AA170" i="7" s="1"/>
  <c r="C134" i="1"/>
  <c r="C116" i="1"/>
  <c r="C62" i="1"/>
  <c r="B62" i="1"/>
  <c r="C45" i="1"/>
  <c r="B45" i="1"/>
  <c r="C26" i="7"/>
  <c r="G26" i="7" s="1"/>
  <c r="B26" i="7"/>
  <c r="AA26" i="7" s="1"/>
  <c r="C28" i="1"/>
  <c r="B28" i="1"/>
  <c r="C8" i="7"/>
  <c r="G8" i="7" s="1"/>
  <c r="B8" i="7"/>
  <c r="AA8" i="7" s="1"/>
  <c r="A46" i="7"/>
  <c r="B46" i="7" s="1"/>
  <c r="C45" i="7"/>
  <c r="G45" i="7" s="1"/>
  <c r="AA45" i="7"/>
  <c r="AA62" i="7"/>
  <c r="C62" i="7"/>
  <c r="G62" i="7" s="1"/>
  <c r="C81" i="7"/>
  <c r="G81" i="7" s="1"/>
  <c r="AA116" i="7"/>
  <c r="C116" i="7"/>
  <c r="G116" i="7" s="1"/>
  <c r="C134" i="7"/>
  <c r="G134" i="7" s="1"/>
  <c r="C218" i="1"/>
  <c r="F218" i="1" s="1"/>
  <c r="F218" i="7" s="1"/>
  <c r="C80" i="1"/>
  <c r="F80" i="1" s="1"/>
  <c r="F80" i="7" s="1"/>
  <c r="C191" i="1"/>
  <c r="F191" i="1" s="1"/>
  <c r="F191" i="7" s="1"/>
  <c r="C170" i="1"/>
  <c r="F170" i="1" s="1"/>
  <c r="F170" i="7" s="1"/>
  <c r="F44" i="1"/>
  <c r="F44" i="7" s="1"/>
  <c r="F26" i="1"/>
  <c r="F26" i="7" s="1"/>
  <c r="E8" i="1"/>
  <c r="E8" i="7" s="1"/>
  <c r="C8" i="1"/>
  <c r="F8" i="1" s="1"/>
  <c r="F8" i="7" s="1"/>
  <c r="D8" i="1"/>
  <c r="D8" i="7" s="1"/>
  <c r="A9" i="1"/>
  <c r="B9" i="1" s="1"/>
  <c r="E34" i="8"/>
  <c r="D34" i="8"/>
  <c r="A236" i="4"/>
  <c r="D235" i="4"/>
  <c r="D235" i="8" s="1"/>
  <c r="E235" i="4"/>
  <c r="E235" i="8" s="1"/>
  <c r="C235" i="4"/>
  <c r="B235" i="4"/>
  <c r="A218" i="4"/>
  <c r="D217" i="4"/>
  <c r="D217" i="8" s="1"/>
  <c r="C217" i="4"/>
  <c r="E217" i="4"/>
  <c r="E217" i="8" s="1"/>
  <c r="B217" i="4"/>
  <c r="D201" i="4"/>
  <c r="D201" i="8" s="1"/>
  <c r="B201" i="4"/>
  <c r="C201" i="4"/>
  <c r="E201" i="4"/>
  <c r="E201" i="8" s="1"/>
  <c r="A160" i="4"/>
  <c r="D160" i="4" s="1"/>
  <c r="D159" i="8"/>
  <c r="C159" i="4"/>
  <c r="E159" i="4"/>
  <c r="E159" i="8" s="1"/>
  <c r="B159" i="4"/>
  <c r="A146" i="4"/>
  <c r="D145" i="4"/>
  <c r="D145" i="8" s="1"/>
  <c r="E145" i="4"/>
  <c r="E145" i="8" s="1"/>
  <c r="B145" i="4"/>
  <c r="A114" i="4"/>
  <c r="D113" i="4"/>
  <c r="D113" i="8" s="1"/>
  <c r="E113" i="4"/>
  <c r="E113" i="8" s="1"/>
  <c r="B113" i="4"/>
  <c r="A78" i="4"/>
  <c r="D77" i="4"/>
  <c r="D77" i="8" s="1"/>
  <c r="E77" i="4"/>
  <c r="E77" i="8" s="1"/>
  <c r="B77" i="4"/>
  <c r="A96" i="4"/>
  <c r="D95" i="4"/>
  <c r="D95" i="8" s="1"/>
  <c r="E95" i="4"/>
  <c r="E95" i="8" s="1"/>
  <c r="B95" i="4"/>
  <c r="A36" i="4"/>
  <c r="D35" i="4"/>
  <c r="E35" i="4"/>
  <c r="B35" i="4"/>
  <c r="B23" i="4"/>
  <c r="D23" i="4"/>
  <c r="D23" i="8" s="1"/>
  <c r="E23" i="4"/>
  <c r="E23" i="8" s="1"/>
  <c r="A24" i="4"/>
  <c r="D8" i="4"/>
  <c r="D8" i="8" s="1"/>
  <c r="C147" i="3"/>
  <c r="B147" i="3"/>
  <c r="E147" i="9"/>
  <c r="D147" i="9"/>
  <c r="A148" i="3"/>
  <c r="B137" i="3"/>
  <c r="C137" i="3"/>
  <c r="E137" i="9"/>
  <c r="A121" i="3"/>
  <c r="B120" i="3"/>
  <c r="D120" i="9"/>
  <c r="E120" i="9"/>
  <c r="C120" i="3"/>
  <c r="A85" i="3"/>
  <c r="B84" i="3"/>
  <c r="C84" i="3"/>
  <c r="B69" i="3"/>
  <c r="C69" i="3"/>
  <c r="E69" i="9"/>
  <c r="D69" i="9"/>
  <c r="A70" i="3"/>
  <c r="B57" i="3"/>
  <c r="C57" i="3"/>
  <c r="A58" i="3"/>
  <c r="Y163" i="9"/>
  <c r="C163" i="9"/>
  <c r="C147" i="9"/>
  <c r="B147" i="9"/>
  <c r="Y147" i="9" s="1"/>
  <c r="A148" i="9"/>
  <c r="B137" i="9"/>
  <c r="Y137" i="9" s="1"/>
  <c r="C137" i="9"/>
  <c r="A121" i="9"/>
  <c r="B120" i="9"/>
  <c r="Y120" i="9" s="1"/>
  <c r="B84" i="9"/>
  <c r="Y84" i="9" s="1"/>
  <c r="B69" i="9"/>
  <c r="Y69" i="9" s="1"/>
  <c r="A70" i="9"/>
  <c r="C69" i="9"/>
  <c r="B57" i="9"/>
  <c r="Y57" i="9" s="1"/>
  <c r="A58" i="9"/>
  <c r="C57" i="9"/>
  <c r="A236" i="8"/>
  <c r="B235" i="8"/>
  <c r="AA235" i="8" s="1"/>
  <c r="C235" i="8"/>
  <c r="A218" i="8"/>
  <c r="B217" i="8"/>
  <c r="AA217" i="8" s="1"/>
  <c r="C217" i="8"/>
  <c r="A201" i="8"/>
  <c r="C200" i="8"/>
  <c r="B200" i="8"/>
  <c r="AA200" i="8" s="1"/>
  <c r="A182" i="8"/>
  <c r="B181" i="8"/>
  <c r="AA181" i="8" s="1"/>
  <c r="C181" i="8"/>
  <c r="A182" i="4"/>
  <c r="D182" i="4" s="1"/>
  <c r="B181" i="4"/>
  <c r="C181" i="4"/>
  <c r="D181" i="8"/>
  <c r="E181" i="4"/>
  <c r="E181" i="8" s="1"/>
  <c r="A192" i="7"/>
  <c r="A192" i="1"/>
  <c r="B192" i="1" s="1"/>
  <c r="D191" i="1"/>
  <c r="D191" i="7" s="1"/>
  <c r="E191" i="1"/>
  <c r="E191" i="7" s="1"/>
  <c r="E161" i="9"/>
  <c r="C161" i="3"/>
  <c r="D161" i="9"/>
  <c r="A9" i="11"/>
  <c r="B8" i="11"/>
  <c r="C8" i="11"/>
  <c r="F133" i="1"/>
  <c r="F133" i="7" s="1"/>
  <c r="E134" i="1"/>
  <c r="E134" i="7" s="1"/>
  <c r="D134" i="1"/>
  <c r="D134" i="7" s="1"/>
  <c r="F115" i="1"/>
  <c r="F115" i="7" s="1"/>
  <c r="E116" i="1"/>
  <c r="E116" i="7" s="1"/>
  <c r="D116" i="1"/>
  <c r="D116" i="7" s="1"/>
  <c r="F61" i="1"/>
  <c r="F61" i="7" s="1"/>
  <c r="E62" i="1"/>
  <c r="E62" i="7" s="1"/>
  <c r="D62" i="1"/>
  <c r="D62" i="7" s="1"/>
  <c r="D45" i="1"/>
  <c r="D45" i="7" s="1"/>
  <c r="E45" i="1"/>
  <c r="E45" i="7" s="1"/>
  <c r="E28" i="1"/>
  <c r="E28" i="7" s="1"/>
  <c r="D28" i="1"/>
  <c r="D28" i="7" s="1"/>
  <c r="D131" i="8"/>
  <c r="E131" i="4"/>
  <c r="E131" i="8" s="1"/>
  <c r="D59" i="8"/>
  <c r="E59" i="4"/>
  <c r="E59" i="8" s="1"/>
  <c r="B8" i="4"/>
  <c r="E8" i="4"/>
  <c r="E8" i="8" s="1"/>
  <c r="B131" i="4"/>
  <c r="B59" i="4"/>
  <c r="C8" i="9"/>
  <c r="A9" i="9"/>
  <c r="B8" i="9"/>
  <c r="Y8" i="9" s="1"/>
  <c r="B46" i="3"/>
  <c r="C46" i="3"/>
  <c r="E46" i="9"/>
  <c r="D46" i="9"/>
  <c r="B20" i="3"/>
  <c r="C32" i="3"/>
  <c r="C20" i="3"/>
  <c r="A21" i="3"/>
  <c r="C8" i="3"/>
  <c r="A9" i="3"/>
  <c r="A9" i="8"/>
  <c r="B9" i="8" s="1"/>
  <c r="AA9" i="8" s="1"/>
  <c r="B8" i="8"/>
  <c r="AA8" i="8" s="1"/>
  <c r="A9" i="4"/>
  <c r="A171" i="7"/>
  <c r="G170" i="7"/>
  <c r="A171" i="1"/>
  <c r="D170" i="1"/>
  <c r="D170" i="7" s="1"/>
  <c r="E170" i="1"/>
  <c r="E170" i="7" s="1"/>
  <c r="A153" i="1" a="1"/>
  <c r="A153" i="1" s="1"/>
  <c r="C153" i="1" s="1"/>
  <c r="B152" i="1"/>
  <c r="E152" i="1"/>
  <c r="E152" i="7" s="1"/>
  <c r="D152" i="1"/>
  <c r="D152" i="7" s="1"/>
  <c r="A135" i="7"/>
  <c r="B135" i="7" s="1"/>
  <c r="AA134" i="7"/>
  <c r="A135" i="1"/>
  <c r="B135" i="1" s="1"/>
  <c r="A117" i="1"/>
  <c r="B117" i="1" s="1"/>
  <c r="A101" i="1"/>
  <c r="B100" i="1"/>
  <c r="C100" i="1"/>
  <c r="F100" i="1" s="1"/>
  <c r="F100" i="7" s="1"/>
  <c r="E100" i="1"/>
  <c r="E100" i="7" s="1"/>
  <c r="D100" i="1"/>
  <c r="D100" i="7" s="1"/>
  <c r="A63" i="1"/>
  <c r="A46" i="1"/>
  <c r="A9" i="7"/>
  <c r="E8" i="9"/>
  <c r="C120" i="9"/>
  <c r="A81" i="1"/>
  <c r="B81" i="1" s="1"/>
  <c r="E80" i="1"/>
  <c r="E80" i="7" s="1"/>
  <c r="D80" i="1"/>
  <c r="D80" i="7" s="1"/>
  <c r="D8" i="9"/>
  <c r="C147" i="8"/>
  <c r="C146" i="8"/>
  <c r="C114" i="8"/>
  <c r="C96" i="8"/>
  <c r="C78" i="8"/>
  <c r="C145" i="4"/>
  <c r="C113" i="4"/>
  <c r="C95" i="4"/>
  <c r="C77" i="4"/>
  <c r="C35" i="4"/>
  <c r="C23" i="4"/>
  <c r="F152" i="1"/>
  <c r="F152" i="7" s="1"/>
  <c r="Y103" i="9"/>
  <c r="C102" i="9"/>
  <c r="A85" i="9"/>
  <c r="C84" i="9"/>
  <c r="A132" i="8"/>
  <c r="B132" i="8" s="1"/>
  <c r="AA132" i="8" s="1"/>
  <c r="C131" i="8"/>
  <c r="A60" i="8"/>
  <c r="B60" i="8" s="1"/>
  <c r="AA60" i="8" s="1"/>
  <c r="C59" i="8"/>
  <c r="C8" i="8"/>
  <c r="A117" i="7"/>
  <c r="B117" i="7" s="1"/>
  <c r="A153" i="7" a="1"/>
  <c r="A153" i="7" s="1"/>
  <c r="B153" i="7" s="1"/>
  <c r="AA153" i="7" s="1"/>
  <c r="C152" i="7"/>
  <c r="G152" i="7" s="1"/>
  <c r="A101" i="7"/>
  <c r="B101" i="7" s="1"/>
  <c r="AA101" i="7" s="1"/>
  <c r="C100" i="7"/>
  <c r="G100" i="7" s="1"/>
  <c r="A63" i="7"/>
  <c r="B63" i="7" s="1"/>
  <c r="A27" i="7"/>
  <c r="E102" i="9"/>
  <c r="D102" i="9"/>
  <c r="C102" i="3"/>
  <c r="A60" i="4"/>
  <c r="D60" i="4" s="1"/>
  <c r="C59" i="4"/>
  <c r="C131" i="4"/>
  <c r="C8" i="4"/>
  <c r="A132" i="4"/>
  <c r="D132" i="4" s="1"/>
  <c r="A29" i="1"/>
  <c r="E148" i="3" l="1"/>
  <c r="D148" i="3"/>
  <c r="E121" i="3"/>
  <c r="E121" i="9" s="1"/>
  <c r="D121" i="3"/>
  <c r="D121" i="9" s="1"/>
  <c r="E85" i="3"/>
  <c r="D85" i="3"/>
  <c r="E70" i="3"/>
  <c r="D70" i="3"/>
  <c r="D70" i="9" s="1"/>
  <c r="E58" i="3"/>
  <c r="D58" i="3"/>
  <c r="A34" i="3"/>
  <c r="E33" i="3"/>
  <c r="E33" i="9" s="1"/>
  <c r="D33" i="3"/>
  <c r="D33" i="9" s="1"/>
  <c r="B33" i="3"/>
  <c r="E21" i="3"/>
  <c r="E21" i="9" s="1"/>
  <c r="D21" i="3"/>
  <c r="D21" i="9" s="1"/>
  <c r="D9" i="3"/>
  <c r="E9" i="3"/>
  <c r="B9" i="3"/>
  <c r="C82" i="7"/>
  <c r="G82" i="7" s="1"/>
  <c r="A83" i="7"/>
  <c r="B83" i="7" s="1"/>
  <c r="AA83" i="7" s="1"/>
  <c r="AA82" i="7"/>
  <c r="C192" i="7"/>
  <c r="G192" i="7" s="1"/>
  <c r="B192" i="7"/>
  <c r="AA192" i="7" s="1"/>
  <c r="B171" i="1"/>
  <c r="C171" i="7"/>
  <c r="G171" i="7" s="1"/>
  <c r="B171" i="7"/>
  <c r="AA171" i="7" s="1"/>
  <c r="C135" i="1"/>
  <c r="C117" i="1"/>
  <c r="C63" i="1"/>
  <c r="B63" i="1"/>
  <c r="C46" i="1"/>
  <c r="B46" i="1"/>
  <c r="C27" i="7"/>
  <c r="G27" i="7" s="1"/>
  <c r="B27" i="7"/>
  <c r="AA27" i="7" s="1"/>
  <c r="C29" i="1"/>
  <c r="B29" i="1"/>
  <c r="C9" i="7"/>
  <c r="G9" i="7" s="1"/>
  <c r="B9" i="7"/>
  <c r="AA9" i="7" s="1"/>
  <c r="A47" i="7"/>
  <c r="B47" i="7" s="1"/>
  <c r="C46" i="7"/>
  <c r="G46" i="7" s="1"/>
  <c r="AA46" i="7"/>
  <c r="AA63" i="7"/>
  <c r="C63" i="7"/>
  <c r="G63" i="7" s="1"/>
  <c r="AA117" i="7"/>
  <c r="C117" i="7"/>
  <c r="G117" i="7" s="1"/>
  <c r="C135" i="7"/>
  <c r="G135" i="7" s="1"/>
  <c r="C219" i="1"/>
  <c r="F219" i="1" s="1"/>
  <c r="F219" i="7" s="1"/>
  <c r="C81" i="1"/>
  <c r="F81" i="1" s="1"/>
  <c r="F81" i="7" s="1"/>
  <c r="C192" i="1"/>
  <c r="F192" i="1" s="1"/>
  <c r="F192" i="7" s="1"/>
  <c r="C171" i="1"/>
  <c r="F171" i="1" s="1"/>
  <c r="F171" i="7" s="1"/>
  <c r="F45" i="1"/>
  <c r="F45" i="7" s="1"/>
  <c r="F27" i="1"/>
  <c r="F27" i="7" s="1"/>
  <c r="C9" i="1"/>
  <c r="F9" i="1" s="1"/>
  <c r="F9" i="7" s="1"/>
  <c r="D9" i="1"/>
  <c r="D9" i="7" s="1"/>
  <c r="A10" i="1"/>
  <c r="B10" i="1" s="1"/>
  <c r="E9" i="1"/>
  <c r="E9" i="7" s="1"/>
  <c r="E35" i="8"/>
  <c r="D35" i="8"/>
  <c r="A237" i="4"/>
  <c r="D236" i="4"/>
  <c r="D236" i="8" s="1"/>
  <c r="C236" i="4"/>
  <c r="B236" i="4"/>
  <c r="E236" i="4"/>
  <c r="E236" i="8" s="1"/>
  <c r="A219" i="4"/>
  <c r="D218" i="4"/>
  <c r="D218" i="8" s="1"/>
  <c r="C218" i="4"/>
  <c r="E218" i="4"/>
  <c r="E218" i="8" s="1"/>
  <c r="B218" i="4"/>
  <c r="A161" i="4"/>
  <c r="D161" i="4" s="1"/>
  <c r="D160" i="8"/>
  <c r="E160" i="4"/>
  <c r="E160" i="8" s="1"/>
  <c r="C160" i="4"/>
  <c r="B160" i="4"/>
  <c r="A147" i="4"/>
  <c r="D146" i="4"/>
  <c r="D146" i="8" s="1"/>
  <c r="B146" i="4"/>
  <c r="E146" i="4"/>
  <c r="E146" i="8" s="1"/>
  <c r="B36" i="4"/>
  <c r="D36" i="4"/>
  <c r="A37" i="4"/>
  <c r="E36" i="4"/>
  <c r="C36" i="4"/>
  <c r="A97" i="4"/>
  <c r="D96" i="4"/>
  <c r="D96" i="8" s="1"/>
  <c r="B96" i="4"/>
  <c r="E96" i="4"/>
  <c r="E96" i="8" s="1"/>
  <c r="A79" i="4"/>
  <c r="D78" i="4"/>
  <c r="D78" i="8" s="1"/>
  <c r="B78" i="4"/>
  <c r="E78" i="4"/>
  <c r="E78" i="8" s="1"/>
  <c r="A115" i="4"/>
  <c r="D114" i="4"/>
  <c r="D114" i="8" s="1"/>
  <c r="B114" i="4"/>
  <c r="E114" i="4"/>
  <c r="E114" i="8" s="1"/>
  <c r="D24" i="4"/>
  <c r="D24" i="8" s="1"/>
  <c r="C24" i="4"/>
  <c r="E24" i="4"/>
  <c r="E24" i="8" s="1"/>
  <c r="A25" i="4"/>
  <c r="B24" i="4"/>
  <c r="D9" i="4"/>
  <c r="D9" i="8" s="1"/>
  <c r="B148" i="3"/>
  <c r="D148" i="9"/>
  <c r="A149" i="3"/>
  <c r="C148" i="3"/>
  <c r="E148" i="9"/>
  <c r="A122" i="3"/>
  <c r="B121" i="3"/>
  <c r="C121" i="3"/>
  <c r="A86" i="3"/>
  <c r="B85" i="3"/>
  <c r="E85" i="9"/>
  <c r="C85" i="3"/>
  <c r="D85" i="9"/>
  <c r="B70" i="3"/>
  <c r="A71" i="3"/>
  <c r="C70" i="3"/>
  <c r="E70" i="9"/>
  <c r="B58" i="3"/>
  <c r="D58" i="9"/>
  <c r="C58" i="3"/>
  <c r="E58" i="9"/>
  <c r="Y164" i="9"/>
  <c r="C164" i="9"/>
  <c r="B148" i="9"/>
  <c r="Y148" i="9" s="1"/>
  <c r="C148" i="9"/>
  <c r="A149" i="9"/>
  <c r="A122" i="9"/>
  <c r="B121" i="9"/>
  <c r="Y121" i="9" s="1"/>
  <c r="B85" i="9"/>
  <c r="Y85" i="9" s="1"/>
  <c r="B70" i="9"/>
  <c r="Y70" i="9" s="1"/>
  <c r="A71" i="9"/>
  <c r="C70" i="9"/>
  <c r="B58" i="9"/>
  <c r="Y58" i="9" s="1"/>
  <c r="C58" i="9"/>
  <c r="C236" i="8"/>
  <c r="A237" i="8"/>
  <c r="B236" i="8"/>
  <c r="AA236" i="8" s="1"/>
  <c r="C218" i="8"/>
  <c r="A219" i="8"/>
  <c r="B218" i="8"/>
  <c r="AA218" i="8" s="1"/>
  <c r="C201" i="8"/>
  <c r="B201" i="8"/>
  <c r="AA201" i="8" s="1"/>
  <c r="A183" i="8"/>
  <c r="B182" i="8"/>
  <c r="AA182" i="8" s="1"/>
  <c r="C182" i="8"/>
  <c r="A183" i="4"/>
  <c r="D183" i="4" s="1"/>
  <c r="B182" i="4"/>
  <c r="C182" i="4"/>
  <c r="E182" i="4"/>
  <c r="E182" i="8" s="1"/>
  <c r="D182" i="8"/>
  <c r="A193" i="7"/>
  <c r="A193" i="1"/>
  <c r="B193" i="1" s="1"/>
  <c r="D192" i="1"/>
  <c r="D192" i="7" s="1"/>
  <c r="E192" i="1"/>
  <c r="E192" i="7" s="1"/>
  <c r="D162" i="9"/>
  <c r="E162" i="9"/>
  <c r="C162" i="3"/>
  <c r="C9" i="11"/>
  <c r="A10" i="11"/>
  <c r="B9" i="11"/>
  <c r="C9" i="8"/>
  <c r="F134" i="1"/>
  <c r="F134" i="7" s="1"/>
  <c r="D135" i="1"/>
  <c r="D135" i="7" s="1"/>
  <c r="E135" i="1"/>
  <c r="E135" i="7" s="1"/>
  <c r="F116" i="1"/>
  <c r="F116" i="7" s="1"/>
  <c r="D117" i="1"/>
  <c r="D117" i="7" s="1"/>
  <c r="E117" i="1"/>
  <c r="E117" i="7" s="1"/>
  <c r="F62" i="1"/>
  <c r="F62" i="7" s="1"/>
  <c r="D63" i="1"/>
  <c r="D63" i="7" s="1"/>
  <c r="E63" i="1"/>
  <c r="E63" i="7" s="1"/>
  <c r="E46" i="1"/>
  <c r="E46" i="7" s="1"/>
  <c r="D46" i="1"/>
  <c r="D46" i="7" s="1"/>
  <c r="D29" i="1"/>
  <c r="D29" i="7" s="1"/>
  <c r="E29" i="1"/>
  <c r="E29" i="7" s="1"/>
  <c r="D132" i="8"/>
  <c r="E132" i="4"/>
  <c r="E132" i="8" s="1"/>
  <c r="D60" i="8"/>
  <c r="E60" i="4"/>
  <c r="E60" i="8" s="1"/>
  <c r="B132" i="4"/>
  <c r="B60" i="4"/>
  <c r="B9" i="4"/>
  <c r="E9" i="4"/>
  <c r="E9" i="8" s="1"/>
  <c r="B9" i="9"/>
  <c r="Y9" i="9" s="1"/>
  <c r="C9" i="9"/>
  <c r="A10" i="9"/>
  <c r="C21" i="3"/>
  <c r="C33" i="3"/>
  <c r="A22" i="3"/>
  <c r="B21" i="3"/>
  <c r="A10" i="3"/>
  <c r="E9" i="9"/>
  <c r="C9" i="3"/>
  <c r="D9" i="9"/>
  <c r="A10" i="8"/>
  <c r="B10" i="8" s="1"/>
  <c r="AA10" i="8" s="1"/>
  <c r="C9" i="4"/>
  <c r="A10" i="4"/>
  <c r="A172" i="7"/>
  <c r="A172" i="1"/>
  <c r="D171" i="1"/>
  <c r="D171" i="7" s="1"/>
  <c r="E171" i="1"/>
  <c r="E171" i="7" s="1"/>
  <c r="A154" i="1" a="1"/>
  <c r="A154" i="1" s="1"/>
  <c r="C154" i="1" s="1"/>
  <c r="B153" i="1"/>
  <c r="D153" i="1"/>
  <c r="D153" i="7" s="1"/>
  <c r="E153" i="1"/>
  <c r="E153" i="7" s="1"/>
  <c r="A136" i="7"/>
  <c r="B136" i="7" s="1"/>
  <c r="AA135" i="7"/>
  <c r="A136" i="1"/>
  <c r="B136" i="1" s="1"/>
  <c r="A118" i="1"/>
  <c r="B118" i="1" s="1"/>
  <c r="A102" i="1"/>
  <c r="B101" i="1"/>
  <c r="D101" i="1"/>
  <c r="D101" i="7" s="1"/>
  <c r="C101" i="1"/>
  <c r="F101" i="1" s="1"/>
  <c r="F101" i="7" s="1"/>
  <c r="E101" i="1"/>
  <c r="E101" i="7" s="1"/>
  <c r="A64" i="1"/>
  <c r="A47" i="1"/>
  <c r="A10" i="7"/>
  <c r="C121" i="9"/>
  <c r="A82" i="1"/>
  <c r="B82" i="1" s="1"/>
  <c r="E81" i="1"/>
  <c r="E81" i="7" s="1"/>
  <c r="D81" i="1"/>
  <c r="D81" i="7" s="1"/>
  <c r="C115" i="8"/>
  <c r="C97" i="8"/>
  <c r="C79" i="8"/>
  <c r="C146" i="4"/>
  <c r="C114" i="4"/>
  <c r="C96" i="4"/>
  <c r="C78" i="4"/>
  <c r="F153" i="1"/>
  <c r="F153" i="7" s="1"/>
  <c r="A86" i="9"/>
  <c r="C85" i="9"/>
  <c r="Y104" i="9"/>
  <c r="C103" i="9"/>
  <c r="A133" i="8"/>
  <c r="C132" i="8"/>
  <c r="A61" i="8"/>
  <c r="B61" i="8" s="1"/>
  <c r="AA61" i="8" s="1"/>
  <c r="C60" i="8"/>
  <c r="A28" i="7"/>
  <c r="A64" i="7"/>
  <c r="B64" i="7" s="1"/>
  <c r="A102" i="7"/>
  <c r="B102" i="7" s="1"/>
  <c r="AA102" i="7" s="1"/>
  <c r="C101" i="7"/>
  <c r="G101" i="7" s="1"/>
  <c r="A154" i="7" a="1"/>
  <c r="A154" i="7" s="1"/>
  <c r="B154" i="7" s="1"/>
  <c r="AA154" i="7" s="1"/>
  <c r="C153" i="7"/>
  <c r="G153" i="7" s="1"/>
  <c r="A118" i="7"/>
  <c r="B118" i="7" s="1"/>
  <c r="E103" i="9"/>
  <c r="D103" i="9"/>
  <c r="C103" i="3"/>
  <c r="A61" i="4"/>
  <c r="D61" i="4" s="1"/>
  <c r="C60" i="4"/>
  <c r="C132" i="4"/>
  <c r="A133" i="4"/>
  <c r="D133" i="4" s="1"/>
  <c r="A30" i="1"/>
  <c r="D149" i="3" l="1"/>
  <c r="E149" i="3"/>
  <c r="D122" i="3"/>
  <c r="E122" i="3"/>
  <c r="E122" i="9" s="1"/>
  <c r="D86" i="3"/>
  <c r="D86" i="9" s="1"/>
  <c r="E86" i="3"/>
  <c r="E71" i="3"/>
  <c r="E71" i="9" s="1"/>
  <c r="D71" i="3"/>
  <c r="D71" i="9" s="1"/>
  <c r="E34" i="3"/>
  <c r="E34" i="9" s="1"/>
  <c r="D34" i="3"/>
  <c r="D34" i="9" s="1"/>
  <c r="B34" i="3"/>
  <c r="D22" i="3"/>
  <c r="D22" i="9" s="1"/>
  <c r="E22" i="3"/>
  <c r="E22" i="9" s="1"/>
  <c r="D10" i="3"/>
  <c r="E10" i="3"/>
  <c r="E10" i="9" s="1"/>
  <c r="B10" i="3"/>
  <c r="A84" i="7"/>
  <c r="B84" i="7" s="1"/>
  <c r="AA84" i="7" s="1"/>
  <c r="C83" i="7"/>
  <c r="G83" i="7" s="1"/>
  <c r="C193" i="7"/>
  <c r="G193" i="7" s="1"/>
  <c r="B193" i="7"/>
  <c r="AA193" i="7" s="1"/>
  <c r="B172" i="1"/>
  <c r="C172" i="7"/>
  <c r="G172" i="7" s="1"/>
  <c r="B172" i="7"/>
  <c r="AA172" i="7" s="1"/>
  <c r="C136" i="1"/>
  <c r="C118" i="1"/>
  <c r="C64" i="1"/>
  <c r="B64" i="1"/>
  <c r="C47" i="1"/>
  <c r="B47" i="1"/>
  <c r="C28" i="7"/>
  <c r="G28" i="7" s="1"/>
  <c r="B28" i="7"/>
  <c r="AA28" i="7" s="1"/>
  <c r="C30" i="1"/>
  <c r="B30" i="1"/>
  <c r="C10" i="7"/>
  <c r="G10" i="7" s="1"/>
  <c r="B10" i="7"/>
  <c r="A48" i="7"/>
  <c r="B48" i="7" s="1"/>
  <c r="C47" i="7"/>
  <c r="G47" i="7" s="1"/>
  <c r="AA47" i="7"/>
  <c r="AA64" i="7"/>
  <c r="C64" i="7"/>
  <c r="G64" i="7" s="1"/>
  <c r="AA118" i="7"/>
  <c r="C118" i="7"/>
  <c r="G118" i="7" s="1"/>
  <c r="C136" i="7"/>
  <c r="G136" i="7" s="1"/>
  <c r="C220" i="1"/>
  <c r="F220" i="1" s="1"/>
  <c r="F220" i="7" s="1"/>
  <c r="C82" i="1"/>
  <c r="F82" i="1" s="1"/>
  <c r="F82" i="7" s="1"/>
  <c r="C193" i="1"/>
  <c r="F193" i="1" s="1"/>
  <c r="F193" i="7" s="1"/>
  <c r="C172" i="1"/>
  <c r="F172" i="1" s="1"/>
  <c r="F172" i="7" s="1"/>
  <c r="F46" i="1"/>
  <c r="F46" i="7" s="1"/>
  <c r="F28" i="1"/>
  <c r="F28" i="7" s="1"/>
  <c r="C10" i="1"/>
  <c r="F10" i="1" s="1"/>
  <c r="F10" i="7" s="1"/>
  <c r="A11" i="1"/>
  <c r="B11" i="1" s="1"/>
  <c r="D10" i="1"/>
  <c r="D10" i="7" s="1"/>
  <c r="E10" i="1"/>
  <c r="E10" i="7" s="1"/>
  <c r="E36" i="8"/>
  <c r="D36" i="8"/>
  <c r="C237" i="4"/>
  <c r="D237" i="4"/>
  <c r="D237" i="8" s="1"/>
  <c r="B237" i="4"/>
  <c r="E237" i="4"/>
  <c r="E237" i="8" s="1"/>
  <c r="B219" i="4"/>
  <c r="D219" i="4"/>
  <c r="D219" i="8" s="1"/>
  <c r="C219" i="4"/>
  <c r="E219" i="4"/>
  <c r="E219" i="8" s="1"/>
  <c r="A162" i="4"/>
  <c r="D162" i="4" s="1"/>
  <c r="D161" i="8"/>
  <c r="B161" i="4"/>
  <c r="E161" i="4"/>
  <c r="E161" i="8" s="1"/>
  <c r="C161" i="4"/>
  <c r="A148" i="4"/>
  <c r="D147" i="4"/>
  <c r="D147" i="8" s="1"/>
  <c r="E147" i="4"/>
  <c r="E147" i="8" s="1"/>
  <c r="B147" i="4"/>
  <c r="A116" i="4"/>
  <c r="D115" i="4"/>
  <c r="D115" i="8" s="1"/>
  <c r="E115" i="4"/>
  <c r="E115" i="8" s="1"/>
  <c r="B115" i="4"/>
  <c r="A80" i="4"/>
  <c r="D79" i="4"/>
  <c r="D79" i="8" s="1"/>
  <c r="E79" i="4"/>
  <c r="E79" i="8" s="1"/>
  <c r="B79" i="4"/>
  <c r="A98" i="4"/>
  <c r="D97" i="4"/>
  <c r="D97" i="8" s="1"/>
  <c r="E97" i="4"/>
  <c r="E97" i="8" s="1"/>
  <c r="B97" i="4"/>
  <c r="D37" i="4"/>
  <c r="C37" i="4"/>
  <c r="E37" i="4"/>
  <c r="B37" i="4"/>
  <c r="D25" i="4"/>
  <c r="D25" i="8" s="1"/>
  <c r="C25" i="4"/>
  <c r="E25" i="4"/>
  <c r="E25" i="8" s="1"/>
  <c r="B25" i="4"/>
  <c r="D10" i="4"/>
  <c r="D10" i="8" s="1"/>
  <c r="B149" i="3"/>
  <c r="A150" i="3"/>
  <c r="D149" i="9"/>
  <c r="C149" i="3"/>
  <c r="E149" i="9"/>
  <c r="A123" i="3"/>
  <c r="B122" i="3"/>
  <c r="D122" i="9"/>
  <c r="C122" i="3"/>
  <c r="A87" i="3"/>
  <c r="B86" i="3"/>
  <c r="E86" i="9"/>
  <c r="C86" i="3"/>
  <c r="B71" i="3"/>
  <c r="A72" i="3"/>
  <c r="C71" i="3"/>
  <c r="Y165" i="9"/>
  <c r="C165" i="9"/>
  <c r="B149" i="9"/>
  <c r="Y149" i="9" s="1"/>
  <c r="A150" i="9"/>
  <c r="C149" i="9"/>
  <c r="A123" i="9"/>
  <c r="B122" i="9"/>
  <c r="Y122" i="9" s="1"/>
  <c r="B86" i="9"/>
  <c r="Y86" i="9" s="1"/>
  <c r="B71" i="9"/>
  <c r="Y71" i="9" s="1"/>
  <c r="C71" i="9"/>
  <c r="A72" i="9"/>
  <c r="B237" i="8"/>
  <c r="AA237" i="8" s="1"/>
  <c r="C237" i="8"/>
  <c r="B219" i="8"/>
  <c r="AA219" i="8" s="1"/>
  <c r="C219" i="8"/>
  <c r="A184" i="8"/>
  <c r="B183" i="8"/>
  <c r="AA183" i="8" s="1"/>
  <c r="C183" i="8"/>
  <c r="A184" i="4"/>
  <c r="D184" i="4" s="1"/>
  <c r="B183" i="4"/>
  <c r="D183" i="8"/>
  <c r="C183" i="4"/>
  <c r="E183" i="4"/>
  <c r="E183" i="8" s="1"/>
  <c r="A194" i="7"/>
  <c r="A194" i="1"/>
  <c r="B194" i="1" s="1"/>
  <c r="D193" i="1"/>
  <c r="D193" i="7" s="1"/>
  <c r="E193" i="1"/>
  <c r="E193" i="7" s="1"/>
  <c r="E163" i="9"/>
  <c r="C163" i="3"/>
  <c r="D163" i="9"/>
  <c r="A11" i="11"/>
  <c r="B10" i="11"/>
  <c r="C10" i="11"/>
  <c r="E136" i="1"/>
  <c r="E136" i="7" s="1"/>
  <c r="D136" i="1"/>
  <c r="D136" i="7" s="1"/>
  <c r="F135" i="1"/>
  <c r="F135" i="7" s="1"/>
  <c r="E118" i="1"/>
  <c r="E118" i="7" s="1"/>
  <c r="D118" i="1"/>
  <c r="D118" i="7" s="1"/>
  <c r="F117" i="1"/>
  <c r="F117" i="7" s="1"/>
  <c r="F63" i="1"/>
  <c r="F63" i="7" s="1"/>
  <c r="E64" i="1"/>
  <c r="E64" i="7" s="1"/>
  <c r="D64" i="1"/>
  <c r="D64" i="7" s="1"/>
  <c r="D47" i="1"/>
  <c r="D47" i="7" s="1"/>
  <c r="E47" i="1"/>
  <c r="E47" i="7" s="1"/>
  <c r="E30" i="1"/>
  <c r="E30" i="7" s="1"/>
  <c r="D30" i="1"/>
  <c r="D30" i="7" s="1"/>
  <c r="D133" i="8"/>
  <c r="E133" i="4"/>
  <c r="E133" i="8" s="1"/>
  <c r="D61" i="8"/>
  <c r="E61" i="4"/>
  <c r="E61" i="8" s="1"/>
  <c r="B133" i="4"/>
  <c r="B61" i="4"/>
  <c r="B10" i="4"/>
  <c r="E10" i="4"/>
  <c r="E10" i="8" s="1"/>
  <c r="C10" i="9"/>
  <c r="B10" i="9"/>
  <c r="Y10" i="9" s="1"/>
  <c r="C22" i="3"/>
  <c r="C34" i="3"/>
  <c r="B22" i="3"/>
  <c r="C10" i="3"/>
  <c r="D10" i="9"/>
  <c r="A134" i="8"/>
  <c r="B133" i="8"/>
  <c r="AA133" i="8" s="1"/>
  <c r="A134" i="4"/>
  <c r="D134" i="4" s="1"/>
  <c r="A11" i="8"/>
  <c r="B11" i="8" s="1"/>
  <c r="AA11" i="8" s="1"/>
  <c r="C10" i="8"/>
  <c r="C10" i="4"/>
  <c r="A11" i="4"/>
  <c r="A173" i="7"/>
  <c r="A173" i="1"/>
  <c r="D172" i="1"/>
  <c r="D172" i="7" s="1"/>
  <c r="E172" i="1"/>
  <c r="E172" i="7" s="1"/>
  <c r="A155" i="1" a="1"/>
  <c r="A155" i="1" s="1"/>
  <c r="C155" i="1" s="1"/>
  <c r="B154" i="1"/>
  <c r="E154" i="1"/>
  <c r="E154" i="7" s="1"/>
  <c r="D154" i="1"/>
  <c r="D154" i="7" s="1"/>
  <c r="A137" i="7"/>
  <c r="B137" i="7" s="1"/>
  <c r="AA136" i="7"/>
  <c r="A137" i="1"/>
  <c r="B137" i="1" s="1"/>
  <c r="A119" i="1"/>
  <c r="B119" i="1" s="1"/>
  <c r="A103" i="1"/>
  <c r="B102" i="1"/>
  <c r="C102" i="1"/>
  <c r="F102" i="1" s="1"/>
  <c r="F102" i="7" s="1"/>
  <c r="E102" i="1"/>
  <c r="E102" i="7" s="1"/>
  <c r="D102" i="1"/>
  <c r="D102" i="7" s="1"/>
  <c r="A65" i="1"/>
  <c r="A48" i="1"/>
  <c r="AA10" i="7"/>
  <c r="A11" i="7"/>
  <c r="C122" i="9"/>
  <c r="A83" i="1"/>
  <c r="B83" i="1" s="1"/>
  <c r="E82" i="1"/>
  <c r="E82" i="7" s="1"/>
  <c r="D82" i="1"/>
  <c r="D82" i="7" s="1"/>
  <c r="C116" i="8"/>
  <c r="C98" i="8"/>
  <c r="C80" i="8"/>
  <c r="C147" i="4"/>
  <c r="C115" i="4"/>
  <c r="C97" i="4"/>
  <c r="C79" i="4"/>
  <c r="F154" i="1"/>
  <c r="F154" i="7" s="1"/>
  <c r="Y105" i="9"/>
  <c r="C104" i="9"/>
  <c r="A87" i="9"/>
  <c r="C86" i="9"/>
  <c r="A62" i="8"/>
  <c r="B62" i="8" s="1"/>
  <c r="AA62" i="8" s="1"/>
  <c r="C61" i="8"/>
  <c r="C133" i="8"/>
  <c r="A119" i="7"/>
  <c r="B119" i="7" s="1"/>
  <c r="A155" i="7" a="1"/>
  <c r="A155" i="7" s="1"/>
  <c r="B155" i="7" s="1"/>
  <c r="AA155" i="7" s="1"/>
  <c r="C154" i="7"/>
  <c r="G154" i="7" s="1"/>
  <c r="C102" i="7"/>
  <c r="G102" i="7" s="1"/>
  <c r="A103" i="7"/>
  <c r="B103" i="7" s="1"/>
  <c r="AA103" i="7" s="1"/>
  <c r="A65" i="7"/>
  <c r="B65" i="7" s="1"/>
  <c r="A29" i="7"/>
  <c r="E104" i="9"/>
  <c r="D104" i="9"/>
  <c r="C104" i="3"/>
  <c r="A62" i="4"/>
  <c r="D62" i="4" s="1"/>
  <c r="C61" i="4"/>
  <c r="C133" i="4"/>
  <c r="A31" i="1"/>
  <c r="E150" i="3" l="1"/>
  <c r="D150" i="3"/>
  <c r="D123" i="3"/>
  <c r="D123" i="9" s="1"/>
  <c r="E123" i="3"/>
  <c r="E123" i="9" s="1"/>
  <c r="E87" i="3"/>
  <c r="D87" i="3"/>
  <c r="E72" i="3"/>
  <c r="E72" i="9" s="1"/>
  <c r="D72" i="3"/>
  <c r="D72" i="9" s="1"/>
  <c r="A85" i="7"/>
  <c r="B85" i="7" s="1"/>
  <c r="AA85" i="7" s="1"/>
  <c r="C84" i="7"/>
  <c r="G84" i="7" s="1"/>
  <c r="C194" i="7"/>
  <c r="G194" i="7" s="1"/>
  <c r="B194" i="7"/>
  <c r="AA194" i="7" s="1"/>
  <c r="B173" i="1"/>
  <c r="C173" i="7"/>
  <c r="G173" i="7" s="1"/>
  <c r="B173" i="7"/>
  <c r="AA173" i="7" s="1"/>
  <c r="C137" i="1"/>
  <c r="C119" i="1"/>
  <c r="C85" i="7"/>
  <c r="G85" i="7" s="1"/>
  <c r="C65" i="1"/>
  <c r="B65" i="1"/>
  <c r="C48" i="1"/>
  <c r="B48" i="1"/>
  <c r="C29" i="7"/>
  <c r="G29" i="7" s="1"/>
  <c r="B29" i="7"/>
  <c r="AA29" i="7" s="1"/>
  <c r="C31" i="1"/>
  <c r="B31" i="1"/>
  <c r="C11" i="7"/>
  <c r="G11" i="7" s="1"/>
  <c r="B11" i="7"/>
  <c r="AA11" i="7" s="1"/>
  <c r="A49" i="7"/>
  <c r="B49" i="7" s="1"/>
  <c r="C48" i="7"/>
  <c r="G48" i="7" s="1"/>
  <c r="AA48" i="7"/>
  <c r="AA65" i="7"/>
  <c r="C65" i="7"/>
  <c r="G65" i="7" s="1"/>
  <c r="AA119" i="7"/>
  <c r="C119" i="7"/>
  <c r="G119" i="7" s="1"/>
  <c r="C137" i="7"/>
  <c r="G137" i="7" s="1"/>
  <c r="C221" i="1"/>
  <c r="F221" i="1" s="1"/>
  <c r="F221" i="7" s="1"/>
  <c r="C83" i="1"/>
  <c r="F83" i="1" s="1"/>
  <c r="F83" i="7" s="1"/>
  <c r="C194" i="1"/>
  <c r="F194" i="1" s="1"/>
  <c r="F194" i="7" s="1"/>
  <c r="C173" i="1"/>
  <c r="F173" i="1" s="1"/>
  <c r="F173" i="7" s="1"/>
  <c r="F47" i="1"/>
  <c r="F47" i="7" s="1"/>
  <c r="F29" i="1"/>
  <c r="F29" i="7" s="1"/>
  <c r="C11" i="1"/>
  <c r="F11" i="1" s="1"/>
  <c r="F11" i="7" s="1"/>
  <c r="D11" i="1"/>
  <c r="D11" i="7" s="1"/>
  <c r="E11" i="1"/>
  <c r="E11" i="7" s="1"/>
  <c r="A12" i="1"/>
  <c r="B12" i="1" s="1"/>
  <c r="E37" i="8"/>
  <c r="D37" i="8"/>
  <c r="A163" i="4"/>
  <c r="D163" i="4" s="1"/>
  <c r="D162" i="8"/>
  <c r="E162" i="4"/>
  <c r="E162" i="8" s="1"/>
  <c r="B162" i="4"/>
  <c r="C162" i="4"/>
  <c r="B148" i="4"/>
  <c r="D148" i="4"/>
  <c r="D148" i="8" s="1"/>
  <c r="C148" i="4"/>
  <c r="E148" i="4"/>
  <c r="E148" i="8" s="1"/>
  <c r="A149" i="4"/>
  <c r="A99" i="4"/>
  <c r="D98" i="4"/>
  <c r="D98" i="8" s="1"/>
  <c r="E98" i="4"/>
  <c r="E98" i="8" s="1"/>
  <c r="B98" i="4"/>
  <c r="A81" i="4"/>
  <c r="D80" i="4"/>
  <c r="D80" i="8" s="1"/>
  <c r="E80" i="4"/>
  <c r="E80" i="8" s="1"/>
  <c r="B80" i="4"/>
  <c r="A117" i="4"/>
  <c r="D116" i="4"/>
  <c r="D116" i="8" s="1"/>
  <c r="E116" i="4"/>
  <c r="E116" i="8" s="1"/>
  <c r="B116" i="4"/>
  <c r="D11" i="4"/>
  <c r="D11" i="8" s="1"/>
  <c r="B150" i="3"/>
  <c r="E150" i="9"/>
  <c r="D150" i="9"/>
  <c r="C150" i="3"/>
  <c r="A124" i="3"/>
  <c r="B123" i="3"/>
  <c r="C123" i="3"/>
  <c r="A88" i="3"/>
  <c r="B87" i="3"/>
  <c r="E87" i="9"/>
  <c r="C87" i="3"/>
  <c r="D87" i="9"/>
  <c r="B72" i="3"/>
  <c r="A73" i="3"/>
  <c r="C72" i="3"/>
  <c r="Y166" i="9"/>
  <c r="C166" i="9"/>
  <c r="B150" i="9"/>
  <c r="Y150" i="9" s="1"/>
  <c r="C150" i="9"/>
  <c r="A124" i="9"/>
  <c r="B123" i="9"/>
  <c r="Y123" i="9" s="1"/>
  <c r="B87" i="9"/>
  <c r="Y87" i="9" s="1"/>
  <c r="B72" i="9"/>
  <c r="Y72" i="9" s="1"/>
  <c r="A73" i="9"/>
  <c r="C72" i="9"/>
  <c r="A185" i="8"/>
  <c r="B184" i="8"/>
  <c r="AA184" i="8" s="1"/>
  <c r="C184" i="8"/>
  <c r="A185" i="4"/>
  <c r="D185" i="4" s="1"/>
  <c r="B184" i="4"/>
  <c r="E184" i="4"/>
  <c r="E184" i="8" s="1"/>
  <c r="C184" i="4"/>
  <c r="D184" i="8"/>
  <c r="A195" i="7"/>
  <c r="A195" i="1"/>
  <c r="B195" i="1" s="1"/>
  <c r="D194" i="1"/>
  <c r="D194" i="7" s="1"/>
  <c r="E194" i="1"/>
  <c r="E194" i="7" s="1"/>
  <c r="D164" i="9"/>
  <c r="E164" i="9"/>
  <c r="C164" i="3"/>
  <c r="C11" i="11"/>
  <c r="A12" i="11"/>
  <c r="B11" i="11"/>
  <c r="D137" i="1"/>
  <c r="D137" i="7" s="1"/>
  <c r="E137" i="1"/>
  <c r="E137" i="7" s="1"/>
  <c r="F136" i="1"/>
  <c r="F136" i="7" s="1"/>
  <c r="D119" i="1"/>
  <c r="D119" i="7" s="1"/>
  <c r="E119" i="1"/>
  <c r="E119" i="7" s="1"/>
  <c r="F118" i="1"/>
  <c r="F118" i="7" s="1"/>
  <c r="F64" i="1"/>
  <c r="F64" i="7" s="1"/>
  <c r="D65" i="1"/>
  <c r="D65" i="7" s="1"/>
  <c r="E65" i="1"/>
  <c r="E65" i="7" s="1"/>
  <c r="E48" i="1"/>
  <c r="E48" i="7" s="1"/>
  <c r="D48" i="1"/>
  <c r="D48" i="7" s="1"/>
  <c r="D31" i="1"/>
  <c r="D31" i="7" s="1"/>
  <c r="E31" i="1"/>
  <c r="E31" i="7" s="1"/>
  <c r="B134" i="8"/>
  <c r="AA134" i="8" s="1"/>
  <c r="C134" i="8"/>
  <c r="D134" i="8"/>
  <c r="E134" i="4"/>
  <c r="E134" i="8" s="1"/>
  <c r="D62" i="8"/>
  <c r="E62" i="4"/>
  <c r="E62" i="8" s="1"/>
  <c r="B134" i="4"/>
  <c r="B62" i="4"/>
  <c r="B11" i="4"/>
  <c r="E11" i="4"/>
  <c r="E11" i="8" s="1"/>
  <c r="A135" i="8"/>
  <c r="C135" i="8" s="1"/>
  <c r="A135" i="4"/>
  <c r="D135" i="4" s="1"/>
  <c r="A12" i="8"/>
  <c r="C134" i="4"/>
  <c r="C11" i="8"/>
  <c r="C11" i="4"/>
  <c r="A12" i="4"/>
  <c r="A174" i="7"/>
  <c r="A174" i="1"/>
  <c r="D173" i="1"/>
  <c r="D173" i="7" s="1"/>
  <c r="E173" i="1"/>
  <c r="E173" i="7" s="1"/>
  <c r="A156" i="1" a="1"/>
  <c r="A156" i="1" s="1"/>
  <c r="C156" i="1" s="1"/>
  <c r="B155" i="1"/>
  <c r="D155" i="1"/>
  <c r="D155" i="7" s="1"/>
  <c r="E155" i="1"/>
  <c r="E155" i="7" s="1"/>
  <c r="A138" i="7"/>
  <c r="B138" i="7" s="1"/>
  <c r="AA137" i="7"/>
  <c r="A138" i="1"/>
  <c r="B138" i="1" s="1"/>
  <c r="A120" i="1"/>
  <c r="B120" i="1" s="1"/>
  <c r="A104" i="1"/>
  <c r="B103" i="1"/>
  <c r="D103" i="1"/>
  <c r="D103" i="7" s="1"/>
  <c r="C103" i="1"/>
  <c r="F103" i="1" s="1"/>
  <c r="F103" i="7" s="1"/>
  <c r="E103" i="1"/>
  <c r="E103" i="7" s="1"/>
  <c r="A66" i="1"/>
  <c r="A49" i="1"/>
  <c r="A12" i="7"/>
  <c r="C123" i="9"/>
  <c r="A86" i="7"/>
  <c r="A84" i="1"/>
  <c r="B84" i="1" s="1"/>
  <c r="E83" i="1"/>
  <c r="E83" i="7" s="1"/>
  <c r="D83" i="1"/>
  <c r="D83" i="7" s="1"/>
  <c r="C117" i="8"/>
  <c r="C99" i="8"/>
  <c r="C81" i="8"/>
  <c r="C116" i="4"/>
  <c r="C98" i="4"/>
  <c r="C80" i="4"/>
  <c r="F155" i="1"/>
  <c r="F155" i="7" s="1"/>
  <c r="A88" i="9"/>
  <c r="C87" i="9"/>
  <c r="Y106" i="9"/>
  <c r="C105" i="9"/>
  <c r="A63" i="8"/>
  <c r="B63" i="8" s="1"/>
  <c r="AA63" i="8" s="1"/>
  <c r="C62" i="8"/>
  <c r="A30" i="7"/>
  <c r="A66" i="7"/>
  <c r="B66" i="7" s="1"/>
  <c r="A104" i="7"/>
  <c r="C103" i="7"/>
  <c r="G103" i="7" s="1"/>
  <c r="A156" i="7" a="1"/>
  <c r="A156" i="7" s="1"/>
  <c r="B156" i="7" s="1"/>
  <c r="AA156" i="7" s="1"/>
  <c r="C155" i="7"/>
  <c r="G155" i="7" s="1"/>
  <c r="A120" i="7"/>
  <c r="B120" i="7" s="1"/>
  <c r="E105" i="9"/>
  <c r="D105" i="9"/>
  <c r="C105" i="3"/>
  <c r="A63" i="4"/>
  <c r="D63" i="4" s="1"/>
  <c r="C62" i="4"/>
  <c r="A32" i="1"/>
  <c r="E124" i="3" l="1"/>
  <c r="D124" i="3"/>
  <c r="D88" i="3"/>
  <c r="D88" i="9" s="1"/>
  <c r="E88" i="3"/>
  <c r="E88" i="9" s="1"/>
  <c r="E73" i="3"/>
  <c r="D73" i="3"/>
  <c r="B86" i="7"/>
  <c r="AA86" i="7" s="1"/>
  <c r="C195" i="7"/>
  <c r="G195" i="7" s="1"/>
  <c r="B195" i="7"/>
  <c r="AA195" i="7" s="1"/>
  <c r="B174" i="1"/>
  <c r="C174" i="7"/>
  <c r="G174" i="7" s="1"/>
  <c r="B174" i="7"/>
  <c r="AA174" i="7" s="1"/>
  <c r="C138" i="1"/>
  <c r="C120" i="1"/>
  <c r="C66" i="1"/>
  <c r="B66" i="1"/>
  <c r="C49" i="1"/>
  <c r="B49" i="1"/>
  <c r="C30" i="7"/>
  <c r="G30" i="7" s="1"/>
  <c r="B30" i="7"/>
  <c r="AA30" i="7" s="1"/>
  <c r="C32" i="1"/>
  <c r="B32" i="1"/>
  <c r="C12" i="7"/>
  <c r="G12" i="7" s="1"/>
  <c r="B12" i="7"/>
  <c r="A50" i="7"/>
  <c r="B50" i="7" s="1"/>
  <c r="C49" i="7"/>
  <c r="G49" i="7" s="1"/>
  <c r="AA49" i="7"/>
  <c r="AA66" i="7"/>
  <c r="C66" i="7"/>
  <c r="G66" i="7" s="1"/>
  <c r="C86" i="7"/>
  <c r="G86" i="7" s="1"/>
  <c r="AA120" i="7"/>
  <c r="C120" i="7"/>
  <c r="G120" i="7" s="1"/>
  <c r="C138" i="7"/>
  <c r="G138" i="7" s="1"/>
  <c r="C222" i="1"/>
  <c r="F222" i="1" s="1"/>
  <c r="F222" i="7" s="1"/>
  <c r="C84" i="1"/>
  <c r="F84" i="1" s="1"/>
  <c r="F84" i="7" s="1"/>
  <c r="C195" i="1"/>
  <c r="F195" i="1" s="1"/>
  <c r="F195" i="7" s="1"/>
  <c r="C174" i="1"/>
  <c r="F174" i="1" s="1"/>
  <c r="F174" i="7" s="1"/>
  <c r="F48" i="1"/>
  <c r="F48" i="7" s="1"/>
  <c r="F30" i="1"/>
  <c r="F30" i="7" s="1"/>
  <c r="C12" i="1"/>
  <c r="F12" i="1" s="1"/>
  <c r="F12" i="7" s="1"/>
  <c r="A13" i="1"/>
  <c r="B13" i="1" s="1"/>
  <c r="E12" i="1"/>
  <c r="E12" i="7" s="1"/>
  <c r="D12" i="1"/>
  <c r="D12" i="7" s="1"/>
  <c r="A164" i="4"/>
  <c r="D164" i="4" s="1"/>
  <c r="D163" i="8"/>
  <c r="C163" i="4"/>
  <c r="E163" i="4"/>
  <c r="E163" i="8" s="1"/>
  <c r="B163" i="4"/>
  <c r="D149" i="4"/>
  <c r="D149" i="8" s="1"/>
  <c r="B149" i="4"/>
  <c r="C149" i="4"/>
  <c r="E149" i="4"/>
  <c r="E149" i="8" s="1"/>
  <c r="A118" i="4"/>
  <c r="D117" i="4"/>
  <c r="D117" i="8" s="1"/>
  <c r="E117" i="4"/>
  <c r="E117" i="8" s="1"/>
  <c r="B117" i="4"/>
  <c r="A82" i="4"/>
  <c r="D81" i="4"/>
  <c r="D81" i="8" s="1"/>
  <c r="E81" i="4"/>
  <c r="E81" i="8" s="1"/>
  <c r="B81" i="4"/>
  <c r="A100" i="4"/>
  <c r="D99" i="4"/>
  <c r="D99" i="8" s="1"/>
  <c r="E99" i="4"/>
  <c r="E99" i="8" s="1"/>
  <c r="B99" i="4"/>
  <c r="D12" i="4"/>
  <c r="D12" i="8" s="1"/>
  <c r="A125" i="3"/>
  <c r="B124" i="3"/>
  <c r="D124" i="9"/>
  <c r="E124" i="9"/>
  <c r="C124" i="3"/>
  <c r="A89" i="3"/>
  <c r="B88" i="3"/>
  <c r="C88" i="3"/>
  <c r="B73" i="3"/>
  <c r="C73" i="3"/>
  <c r="E73" i="9"/>
  <c r="D73" i="9"/>
  <c r="Y167" i="9"/>
  <c r="C167" i="9"/>
  <c r="A125" i="9"/>
  <c r="C125" i="9" s="1"/>
  <c r="B124" i="9"/>
  <c r="Y124" i="9" s="1"/>
  <c r="B88" i="9"/>
  <c r="Y88" i="9" s="1"/>
  <c r="B73" i="9"/>
  <c r="Y73" i="9" s="1"/>
  <c r="C73" i="9"/>
  <c r="B185" i="8"/>
  <c r="AA185" i="8" s="1"/>
  <c r="C185" i="8"/>
  <c r="C185" i="4"/>
  <c r="B185" i="4"/>
  <c r="E185" i="4"/>
  <c r="E185" i="8" s="1"/>
  <c r="D185" i="8"/>
  <c r="A196" i="7"/>
  <c r="A196" i="1"/>
  <c r="B196" i="1" s="1"/>
  <c r="D195" i="1"/>
  <c r="D195" i="7" s="1"/>
  <c r="E195" i="1"/>
  <c r="E195" i="7" s="1"/>
  <c r="E165" i="9"/>
  <c r="C165" i="3"/>
  <c r="D165" i="9"/>
  <c r="A13" i="11"/>
  <c r="B12" i="11"/>
  <c r="C12" i="11"/>
  <c r="E138" i="1"/>
  <c r="E138" i="7" s="1"/>
  <c r="D138" i="1"/>
  <c r="D138" i="7" s="1"/>
  <c r="F137" i="1"/>
  <c r="F137" i="7" s="1"/>
  <c r="E120" i="1"/>
  <c r="E120" i="7" s="1"/>
  <c r="D120" i="1"/>
  <c r="D120" i="7" s="1"/>
  <c r="F119" i="1"/>
  <c r="F119" i="7" s="1"/>
  <c r="F65" i="1"/>
  <c r="F65" i="7" s="1"/>
  <c r="E66" i="1"/>
  <c r="E66" i="7" s="1"/>
  <c r="D66" i="1"/>
  <c r="D66" i="7" s="1"/>
  <c r="D49" i="1"/>
  <c r="D49" i="7" s="1"/>
  <c r="E49" i="1"/>
  <c r="E49" i="7" s="1"/>
  <c r="E32" i="1"/>
  <c r="E32" i="7" s="1"/>
  <c r="D32" i="1"/>
  <c r="D32" i="7" s="1"/>
  <c r="B12" i="8"/>
  <c r="AA12" i="8" s="1"/>
  <c r="C12" i="8"/>
  <c r="D135" i="8"/>
  <c r="E135" i="4"/>
  <c r="E135" i="8" s="1"/>
  <c r="D63" i="8"/>
  <c r="E63" i="4"/>
  <c r="E63" i="8" s="1"/>
  <c r="E12" i="4"/>
  <c r="E12" i="8" s="1"/>
  <c r="B63" i="4"/>
  <c r="B135" i="4"/>
  <c r="A13" i="8"/>
  <c r="B13" i="8" s="1"/>
  <c r="AA13" i="8" s="1"/>
  <c r="B135" i="8"/>
  <c r="AA135" i="8" s="1"/>
  <c r="C135" i="4"/>
  <c r="C12" i="4"/>
  <c r="A13" i="4"/>
  <c r="B12" i="4"/>
  <c r="A175" i="7"/>
  <c r="A175" i="1"/>
  <c r="D174" i="1"/>
  <c r="D174" i="7" s="1"/>
  <c r="E174" i="1"/>
  <c r="E174" i="7" s="1"/>
  <c r="A157" i="1" a="1"/>
  <c r="A157" i="1" s="1"/>
  <c r="C157" i="1" s="1"/>
  <c r="B156" i="1"/>
  <c r="E156" i="1"/>
  <c r="E156" i="7" s="1"/>
  <c r="D156" i="1"/>
  <c r="D156" i="7" s="1"/>
  <c r="A139" i="7"/>
  <c r="B139" i="7" s="1"/>
  <c r="AA138" i="7"/>
  <c r="A139" i="1"/>
  <c r="B139" i="1" s="1"/>
  <c r="A121" i="1"/>
  <c r="B121" i="1" s="1"/>
  <c r="A105" i="7"/>
  <c r="B104" i="7"/>
  <c r="AA104" i="7" s="1"/>
  <c r="B104" i="1"/>
  <c r="C104" i="1"/>
  <c r="F104" i="1" s="1"/>
  <c r="F104" i="7" s="1"/>
  <c r="D104" i="1"/>
  <c r="D104" i="7" s="1"/>
  <c r="A105" i="1"/>
  <c r="E104" i="1"/>
  <c r="E104" i="7" s="1"/>
  <c r="A87" i="7"/>
  <c r="A67" i="1"/>
  <c r="A50" i="1"/>
  <c r="A33" i="1"/>
  <c r="AA12" i="7"/>
  <c r="A13" i="7"/>
  <c r="C124" i="9"/>
  <c r="A85" i="1"/>
  <c r="B85" i="1" s="1"/>
  <c r="E84" i="1"/>
  <c r="E84" i="7" s="1"/>
  <c r="D84" i="1"/>
  <c r="D84" i="7" s="1"/>
  <c r="C119" i="8"/>
  <c r="C118" i="8"/>
  <c r="C101" i="8"/>
  <c r="C100" i="8"/>
  <c r="C83" i="8"/>
  <c r="C82" i="8"/>
  <c r="C117" i="4"/>
  <c r="C99" i="4"/>
  <c r="C81" i="4"/>
  <c r="F156" i="1"/>
  <c r="F156" i="7" s="1"/>
  <c r="C106" i="9"/>
  <c r="A89" i="9"/>
  <c r="B89" i="9" s="1"/>
  <c r="C88" i="9"/>
  <c r="A64" i="8"/>
  <c r="B64" i="8" s="1"/>
  <c r="AA64" i="8" s="1"/>
  <c r="C63" i="8"/>
  <c r="A121" i="7"/>
  <c r="B121" i="7" s="1"/>
  <c r="A157" i="7" a="1"/>
  <c r="A157" i="7" s="1"/>
  <c r="B157" i="7" s="1"/>
  <c r="AA157" i="7" s="1"/>
  <c r="C156" i="7"/>
  <c r="G156" i="7" s="1"/>
  <c r="C104" i="7"/>
  <c r="G104" i="7" s="1"/>
  <c r="A67" i="7"/>
  <c r="B67" i="7" s="1"/>
  <c r="A31" i="7"/>
  <c r="E106" i="9"/>
  <c r="D106" i="9"/>
  <c r="C106" i="3"/>
  <c r="A64" i="4"/>
  <c r="D64" i="4" s="1"/>
  <c r="C63" i="4"/>
  <c r="E125" i="3" l="1"/>
  <c r="D125" i="3"/>
  <c r="E89" i="3"/>
  <c r="D89" i="3"/>
  <c r="D89" i="9" s="1"/>
  <c r="B87" i="7"/>
  <c r="AA87" i="7" s="1"/>
  <c r="C196" i="7"/>
  <c r="G196" i="7" s="1"/>
  <c r="B196" i="7"/>
  <c r="AA196" i="7" s="1"/>
  <c r="B175" i="1"/>
  <c r="C175" i="7"/>
  <c r="G175" i="7" s="1"/>
  <c r="B175" i="7"/>
  <c r="AA175" i="7" s="1"/>
  <c r="C139" i="1"/>
  <c r="C121" i="1"/>
  <c r="C87" i="7"/>
  <c r="G87" i="7" s="1"/>
  <c r="C67" i="1"/>
  <c r="B67" i="1"/>
  <c r="C50" i="1"/>
  <c r="B50" i="1"/>
  <c r="C31" i="7"/>
  <c r="G31" i="7" s="1"/>
  <c r="B31" i="7"/>
  <c r="AA31" i="7" s="1"/>
  <c r="C33" i="1"/>
  <c r="B33" i="1"/>
  <c r="C13" i="7"/>
  <c r="G13" i="7" s="1"/>
  <c r="B13" i="7"/>
  <c r="AA13" i="7" s="1"/>
  <c r="C50" i="7"/>
  <c r="G50" i="7" s="1"/>
  <c r="A51" i="7"/>
  <c r="B51" i="7" s="1"/>
  <c r="AA50" i="7"/>
  <c r="AA67" i="7"/>
  <c r="C67" i="7"/>
  <c r="G67" i="7" s="1"/>
  <c r="AA121" i="7"/>
  <c r="C121" i="7"/>
  <c r="G121" i="7" s="1"/>
  <c r="C139" i="7"/>
  <c r="G139" i="7" s="1"/>
  <c r="C223" i="1"/>
  <c r="F223" i="1" s="1"/>
  <c r="F223" i="7" s="1"/>
  <c r="C85" i="1"/>
  <c r="F85" i="1" s="1"/>
  <c r="F85" i="7" s="1"/>
  <c r="C196" i="1"/>
  <c r="F196" i="1" s="1"/>
  <c r="F196" i="7" s="1"/>
  <c r="C175" i="1"/>
  <c r="F175" i="1" s="1"/>
  <c r="F175" i="7" s="1"/>
  <c r="F49" i="1"/>
  <c r="F49" i="7" s="1"/>
  <c r="F31" i="1"/>
  <c r="F31" i="7" s="1"/>
  <c r="C13" i="1"/>
  <c r="F13" i="1" s="1"/>
  <c r="F13" i="7" s="1"/>
  <c r="D13" i="1"/>
  <c r="D13" i="7" s="1"/>
  <c r="A14" i="1"/>
  <c r="B14" i="1" s="1"/>
  <c r="E13" i="1"/>
  <c r="E13" i="7" s="1"/>
  <c r="A165" i="4"/>
  <c r="D165" i="4" s="1"/>
  <c r="D164" i="8"/>
  <c r="E164" i="4"/>
  <c r="E164" i="8" s="1"/>
  <c r="C164" i="4"/>
  <c r="B164" i="4"/>
  <c r="A101" i="4"/>
  <c r="D100" i="4"/>
  <c r="D100" i="8" s="1"/>
  <c r="B100" i="4"/>
  <c r="E100" i="4"/>
  <c r="E100" i="8" s="1"/>
  <c r="A83" i="4"/>
  <c r="D82" i="4"/>
  <c r="D82" i="8" s="1"/>
  <c r="B82" i="4"/>
  <c r="E82" i="4"/>
  <c r="E82" i="8" s="1"/>
  <c r="A119" i="4"/>
  <c r="D118" i="4"/>
  <c r="D118" i="8" s="1"/>
  <c r="B118" i="4"/>
  <c r="E118" i="4"/>
  <c r="E118" i="8" s="1"/>
  <c r="D13" i="4"/>
  <c r="D13" i="8" s="1"/>
  <c r="C125" i="3"/>
  <c r="B125" i="3"/>
  <c r="A126" i="3"/>
  <c r="D125" i="9"/>
  <c r="E125" i="9"/>
  <c r="C89" i="3"/>
  <c r="B89" i="3"/>
  <c r="E89" i="9"/>
  <c r="A90" i="3"/>
  <c r="Y168" i="9"/>
  <c r="C168" i="9"/>
  <c r="A126" i="9"/>
  <c r="B125" i="9"/>
  <c r="Y125" i="9" s="1"/>
  <c r="A197" i="7"/>
  <c r="B197" i="7" s="1"/>
  <c r="A197" i="1"/>
  <c r="B197" i="1" s="1"/>
  <c r="D196" i="1"/>
  <c r="D196" i="7" s="1"/>
  <c r="E196" i="1"/>
  <c r="E196" i="7" s="1"/>
  <c r="D166" i="9"/>
  <c r="E166" i="9"/>
  <c r="C166" i="3"/>
  <c r="C13" i="11"/>
  <c r="A14" i="11"/>
  <c r="B13" i="11"/>
  <c r="F138" i="1"/>
  <c r="F138" i="7" s="1"/>
  <c r="D139" i="1"/>
  <c r="D139" i="7" s="1"/>
  <c r="E139" i="1"/>
  <c r="E139" i="7" s="1"/>
  <c r="F120" i="1"/>
  <c r="F120" i="7" s="1"/>
  <c r="D121" i="1"/>
  <c r="D121" i="7" s="1"/>
  <c r="E121" i="1"/>
  <c r="E121" i="7" s="1"/>
  <c r="F66" i="1"/>
  <c r="F66" i="7" s="1"/>
  <c r="D67" i="1"/>
  <c r="D67" i="7" s="1"/>
  <c r="E67" i="1"/>
  <c r="E67" i="7" s="1"/>
  <c r="E50" i="1"/>
  <c r="E50" i="7" s="1"/>
  <c r="D50" i="1"/>
  <c r="D50" i="7" s="1"/>
  <c r="D33" i="1"/>
  <c r="D33" i="7" s="1"/>
  <c r="E33" i="1"/>
  <c r="E33" i="7" s="1"/>
  <c r="B105" i="7"/>
  <c r="AA105" i="7" s="1"/>
  <c r="C13" i="8"/>
  <c r="D64" i="8"/>
  <c r="E64" i="4"/>
  <c r="E64" i="8" s="1"/>
  <c r="B64" i="4"/>
  <c r="E13" i="4"/>
  <c r="E13" i="8" s="1"/>
  <c r="Y107" i="9"/>
  <c r="A90" i="9"/>
  <c r="B90" i="9" s="1"/>
  <c r="Y89" i="9"/>
  <c r="B13" i="4"/>
  <c r="C13" i="4"/>
  <c r="A176" i="7"/>
  <c r="A176" i="1"/>
  <c r="D175" i="1"/>
  <c r="D175" i="7" s="1"/>
  <c r="E175" i="1"/>
  <c r="E175" i="7" s="1"/>
  <c r="A158" i="1" a="1"/>
  <c r="A158" i="1" s="1"/>
  <c r="A159" i="1" s="1" a="1"/>
  <c r="A159" i="1" s="1"/>
  <c r="B157" i="1"/>
  <c r="D157" i="1"/>
  <c r="D157" i="7" s="1"/>
  <c r="E157" i="1"/>
  <c r="E157" i="7" s="1"/>
  <c r="A140" i="7"/>
  <c r="AA139" i="7"/>
  <c r="A140" i="1"/>
  <c r="B140" i="1" s="1"/>
  <c r="C105" i="7"/>
  <c r="G105" i="7" s="1"/>
  <c r="A122" i="1"/>
  <c r="B122" i="1" s="1"/>
  <c r="A106" i="7"/>
  <c r="C106" i="7" s="1"/>
  <c r="G106" i="7" s="1"/>
  <c r="B105" i="1"/>
  <c r="C105" i="1"/>
  <c r="F105" i="1" s="1"/>
  <c r="F105" i="7" s="1"/>
  <c r="E105" i="1"/>
  <c r="E105" i="7" s="1"/>
  <c r="D105" i="1"/>
  <c r="D105" i="7" s="1"/>
  <c r="A106" i="1"/>
  <c r="A88" i="7"/>
  <c r="A68" i="1"/>
  <c r="A51" i="1"/>
  <c r="A34" i="1"/>
  <c r="A14" i="7"/>
  <c r="A86" i="1"/>
  <c r="B86" i="1" s="1"/>
  <c r="E85" i="1"/>
  <c r="E85" i="7" s="1"/>
  <c r="D85" i="1"/>
  <c r="D85" i="7" s="1"/>
  <c r="C118" i="4"/>
  <c r="C100" i="4"/>
  <c r="C82" i="4"/>
  <c r="F157" i="1"/>
  <c r="F157" i="7" s="1"/>
  <c r="C89" i="9"/>
  <c r="C107" i="9"/>
  <c r="A65" i="8"/>
  <c r="C64" i="8"/>
  <c r="A32" i="7"/>
  <c r="A68" i="7"/>
  <c r="A158" i="7" a="1"/>
  <c r="A158" i="7" s="1"/>
  <c r="C157" i="7"/>
  <c r="G157" i="7" s="1"/>
  <c r="A122" i="7"/>
  <c r="E107" i="9"/>
  <c r="D107" i="9"/>
  <c r="C107" i="3"/>
  <c r="A65" i="4"/>
  <c r="D65" i="4" s="1"/>
  <c r="C64" i="4"/>
  <c r="E126" i="3" l="1"/>
  <c r="D126" i="3"/>
  <c r="D90" i="3"/>
  <c r="E90" i="3"/>
  <c r="B88" i="7"/>
  <c r="AA88" i="7" s="1"/>
  <c r="A89" i="7"/>
  <c r="B176" i="1"/>
  <c r="C197" i="1"/>
  <c r="F197" i="1" s="1"/>
  <c r="F197" i="7" s="1"/>
  <c r="C176" i="7"/>
  <c r="G176" i="7" s="1"/>
  <c r="B176" i="7"/>
  <c r="AA176" i="7" s="1"/>
  <c r="C140" i="7"/>
  <c r="G140" i="7" s="1"/>
  <c r="B140" i="7"/>
  <c r="AA140" i="7" s="1"/>
  <c r="C140" i="1"/>
  <c r="C122" i="7"/>
  <c r="G122" i="7" s="1"/>
  <c r="B122" i="7"/>
  <c r="AA122" i="7" s="1"/>
  <c r="C122" i="1"/>
  <c r="C88" i="7"/>
  <c r="G88" i="7" s="1"/>
  <c r="C68" i="7"/>
  <c r="G68" i="7" s="1"/>
  <c r="B68" i="7"/>
  <c r="AA68" i="7" s="1"/>
  <c r="C68" i="1"/>
  <c r="B68" i="1"/>
  <c r="C51" i="1"/>
  <c r="B51" i="1"/>
  <c r="C32" i="7"/>
  <c r="G32" i="7" s="1"/>
  <c r="B32" i="7"/>
  <c r="AA32" i="7" s="1"/>
  <c r="C34" i="1"/>
  <c r="B34" i="1"/>
  <c r="C14" i="7"/>
  <c r="G14" i="7" s="1"/>
  <c r="B14" i="7"/>
  <c r="AA14" i="7" s="1"/>
  <c r="C51" i="7"/>
  <c r="G51" i="7" s="1"/>
  <c r="A52" i="7"/>
  <c r="B52" i="7" s="1"/>
  <c r="AA51" i="7"/>
  <c r="C197" i="7"/>
  <c r="G197" i="7" s="1"/>
  <c r="A15" i="7"/>
  <c r="A16" i="7" s="1"/>
  <c r="C224" i="1"/>
  <c r="F224" i="1" s="1"/>
  <c r="F224" i="7" s="1"/>
  <c r="F32" i="1"/>
  <c r="F32" i="7" s="1"/>
  <c r="C86" i="1"/>
  <c r="F86" i="1" s="1"/>
  <c r="F86" i="7" s="1"/>
  <c r="C176" i="1"/>
  <c r="F176" i="1" s="1"/>
  <c r="F176" i="7" s="1"/>
  <c r="F50" i="1"/>
  <c r="F50" i="7" s="1"/>
  <c r="A15" i="1"/>
  <c r="B15" i="1" s="1"/>
  <c r="C14" i="1"/>
  <c r="F14" i="1" s="1"/>
  <c r="F14" i="7" s="1"/>
  <c r="E14" i="1"/>
  <c r="E14" i="7" s="1"/>
  <c r="D14" i="1"/>
  <c r="D14" i="7" s="1"/>
  <c r="A166" i="4"/>
  <c r="D166" i="4" s="1"/>
  <c r="D165" i="8"/>
  <c r="B165" i="4"/>
  <c r="E165" i="4"/>
  <c r="E165" i="8" s="1"/>
  <c r="C165" i="4"/>
  <c r="A120" i="4"/>
  <c r="D119" i="4"/>
  <c r="D119" i="8" s="1"/>
  <c r="E119" i="4"/>
  <c r="E119" i="8" s="1"/>
  <c r="B119" i="4"/>
  <c r="A84" i="4"/>
  <c r="D83" i="4"/>
  <c r="D83" i="8" s="1"/>
  <c r="E83" i="4"/>
  <c r="E83" i="8" s="1"/>
  <c r="B83" i="4"/>
  <c r="A102" i="4"/>
  <c r="D101" i="4"/>
  <c r="D101" i="8" s="1"/>
  <c r="E101" i="4"/>
  <c r="E101" i="8" s="1"/>
  <c r="B101" i="4"/>
  <c r="B126" i="3"/>
  <c r="D126" i="9"/>
  <c r="A127" i="3"/>
  <c r="C126" i="3"/>
  <c r="E126" i="9"/>
  <c r="B90" i="3"/>
  <c r="C90" i="3"/>
  <c r="E90" i="9"/>
  <c r="D90" i="9"/>
  <c r="A91" i="3"/>
  <c r="B126" i="9"/>
  <c r="Y126" i="9" s="1"/>
  <c r="A127" i="9"/>
  <c r="C126" i="9"/>
  <c r="A198" i="7"/>
  <c r="B198" i="7" s="1"/>
  <c r="AA197" i="7"/>
  <c r="D197" i="1"/>
  <c r="D197" i="7" s="1"/>
  <c r="E197" i="1"/>
  <c r="E197" i="7" s="1"/>
  <c r="A198" i="1"/>
  <c r="B198" i="1" s="1"/>
  <c r="E167" i="9"/>
  <c r="C167" i="3"/>
  <c r="D167" i="9"/>
  <c r="B14" i="11"/>
  <c r="C14" i="11"/>
  <c r="F139" i="1"/>
  <c r="F139" i="7" s="1"/>
  <c r="E140" i="1"/>
  <c r="E140" i="7" s="1"/>
  <c r="D140" i="1"/>
  <c r="D140" i="7" s="1"/>
  <c r="F121" i="1"/>
  <c r="F121" i="7" s="1"/>
  <c r="A123" i="1"/>
  <c r="B123" i="1" s="1"/>
  <c r="E122" i="1"/>
  <c r="E122" i="7" s="1"/>
  <c r="D122" i="1"/>
  <c r="D122" i="7" s="1"/>
  <c r="F67" i="1"/>
  <c r="F67" i="7" s="1"/>
  <c r="E68" i="1"/>
  <c r="E68" i="7" s="1"/>
  <c r="D68" i="1"/>
  <c r="D68" i="7" s="1"/>
  <c r="D51" i="1"/>
  <c r="D51" i="7" s="1"/>
  <c r="E51" i="1"/>
  <c r="E51" i="7" s="1"/>
  <c r="E34" i="1"/>
  <c r="E34" i="7" s="1"/>
  <c r="D34" i="1"/>
  <c r="D34" i="7" s="1"/>
  <c r="Y90" i="9"/>
  <c r="C90" i="9"/>
  <c r="D65" i="8"/>
  <c r="E65" i="4"/>
  <c r="E65" i="8" s="1"/>
  <c r="A91" i="9"/>
  <c r="Y108" i="9"/>
  <c r="C108" i="9"/>
  <c r="C158" i="1"/>
  <c r="F158" i="1" s="1"/>
  <c r="F158" i="7" s="1"/>
  <c r="A66" i="8"/>
  <c r="C66" i="8" s="1"/>
  <c r="B65" i="8"/>
  <c r="AA65" i="8" s="1"/>
  <c r="A66" i="4"/>
  <c r="D66" i="4" s="1"/>
  <c r="B65" i="4"/>
  <c r="A177" i="7"/>
  <c r="A177" i="1"/>
  <c r="D176" i="1"/>
  <c r="D176" i="7" s="1"/>
  <c r="E176" i="1"/>
  <c r="E176" i="7" s="1"/>
  <c r="A159" i="7" a="1"/>
  <c r="A159" i="7" s="1"/>
  <c r="C159" i="7" s="1"/>
  <c r="G159" i="7" s="1"/>
  <c r="B158" i="7"/>
  <c r="AA158" i="7" s="1"/>
  <c r="C159" i="1"/>
  <c r="F159" i="1" s="1"/>
  <c r="F159" i="7" s="1"/>
  <c r="D159" i="1"/>
  <c r="D159" i="7" s="1"/>
  <c r="E159" i="1"/>
  <c r="E159" i="7" s="1"/>
  <c r="A160" i="1" a="1"/>
  <c r="A160" i="1" s="1"/>
  <c r="B159" i="1"/>
  <c r="D158" i="1"/>
  <c r="D158" i="7" s="1"/>
  <c r="B158" i="1"/>
  <c r="E158" i="1"/>
  <c r="E158" i="7" s="1"/>
  <c r="A141" i="7"/>
  <c r="A141" i="1"/>
  <c r="B141" i="1" s="1"/>
  <c r="A123" i="7"/>
  <c r="B106" i="7"/>
  <c r="AA106" i="7" s="1"/>
  <c r="B106" i="1"/>
  <c r="C106" i="1"/>
  <c r="F106" i="1" s="1"/>
  <c r="F106" i="7" s="1"/>
  <c r="E106" i="1"/>
  <c r="E106" i="7" s="1"/>
  <c r="D106" i="1"/>
  <c r="D106" i="7" s="1"/>
  <c r="A87" i="1"/>
  <c r="B87" i="1" s="1"/>
  <c r="A69" i="7"/>
  <c r="A69" i="1"/>
  <c r="A52" i="1"/>
  <c r="A33" i="7"/>
  <c r="E86" i="1"/>
  <c r="E86" i="7" s="1"/>
  <c r="D86" i="1"/>
  <c r="D86" i="7" s="1"/>
  <c r="C119" i="4"/>
  <c r="C101" i="4"/>
  <c r="C83" i="4"/>
  <c r="C65" i="8"/>
  <c r="C158" i="7"/>
  <c r="G158" i="7" s="1"/>
  <c r="C65" i="4"/>
  <c r="E127" i="3" l="1"/>
  <c r="D127" i="3"/>
  <c r="E91" i="3"/>
  <c r="E91" i="9" s="1"/>
  <c r="D91" i="3"/>
  <c r="D91" i="9" s="1"/>
  <c r="B89" i="7"/>
  <c r="AA89" i="7" s="1"/>
  <c r="A90" i="7"/>
  <c r="C89" i="7"/>
  <c r="G89" i="7" s="1"/>
  <c r="B177" i="1"/>
  <c r="C198" i="1"/>
  <c r="F198" i="1" s="1"/>
  <c r="F198" i="7" s="1"/>
  <c r="C177" i="7"/>
  <c r="G177" i="7" s="1"/>
  <c r="B177" i="7"/>
  <c r="AA177" i="7" s="1"/>
  <c r="C141" i="7"/>
  <c r="G141" i="7" s="1"/>
  <c r="B141" i="7"/>
  <c r="AA141" i="7" s="1"/>
  <c r="C141" i="1"/>
  <c r="C123" i="7"/>
  <c r="G123" i="7" s="1"/>
  <c r="B123" i="7"/>
  <c r="AA123" i="7" s="1"/>
  <c r="C123" i="1"/>
  <c r="F123" i="1" s="1"/>
  <c r="F123" i="7" s="1"/>
  <c r="C69" i="7"/>
  <c r="G69" i="7" s="1"/>
  <c r="B69" i="7"/>
  <c r="AA69" i="7" s="1"/>
  <c r="C69" i="1"/>
  <c r="B69" i="1"/>
  <c r="C52" i="1"/>
  <c r="B52" i="1"/>
  <c r="C33" i="7"/>
  <c r="G33" i="7" s="1"/>
  <c r="B33" i="7"/>
  <c r="AA33" i="7" s="1"/>
  <c r="C16" i="7"/>
  <c r="G16" i="7" s="1"/>
  <c r="B16" i="7"/>
  <c r="AA16" i="7" s="1"/>
  <c r="C15" i="7"/>
  <c r="G15" i="7" s="1"/>
  <c r="B15" i="7"/>
  <c r="AA15" i="7" s="1"/>
  <c r="C52" i="7"/>
  <c r="G52" i="7" s="1"/>
  <c r="AA52" i="7"/>
  <c r="C198" i="7"/>
  <c r="G198" i="7" s="1"/>
  <c r="A34" i="7"/>
  <c r="C225" i="1"/>
  <c r="F225" i="1" s="1"/>
  <c r="F225" i="7" s="1"/>
  <c r="F33" i="1"/>
  <c r="F33" i="7" s="1"/>
  <c r="C87" i="1"/>
  <c r="F87" i="1" s="1"/>
  <c r="F87" i="7" s="1"/>
  <c r="C177" i="1"/>
  <c r="F177" i="1" s="1"/>
  <c r="F177" i="7" s="1"/>
  <c r="F51" i="1"/>
  <c r="F51" i="7" s="1"/>
  <c r="C15" i="1"/>
  <c r="F15" i="1" s="1"/>
  <c r="F15" i="7" s="1"/>
  <c r="E15" i="1"/>
  <c r="E15" i="7" s="1"/>
  <c r="A16" i="1"/>
  <c r="B16" i="1" s="1"/>
  <c r="D15" i="1"/>
  <c r="D15" i="7" s="1"/>
  <c r="A167" i="4"/>
  <c r="D167" i="4" s="1"/>
  <c r="D166" i="8"/>
  <c r="E166" i="4"/>
  <c r="E166" i="8" s="1"/>
  <c r="B166" i="4"/>
  <c r="C166" i="4"/>
  <c r="B102" i="4"/>
  <c r="D102" i="4"/>
  <c r="D102" i="8" s="1"/>
  <c r="C102" i="4"/>
  <c r="E102" i="4"/>
  <c r="E102" i="8" s="1"/>
  <c r="A103" i="4"/>
  <c r="B84" i="4"/>
  <c r="D84" i="4"/>
  <c r="D84" i="8" s="1"/>
  <c r="C84" i="4"/>
  <c r="E84" i="4"/>
  <c r="E84" i="8" s="1"/>
  <c r="A85" i="4"/>
  <c r="B120" i="4"/>
  <c r="D120" i="4"/>
  <c r="D120" i="8" s="1"/>
  <c r="C120" i="4"/>
  <c r="E120" i="4"/>
  <c r="E120" i="8" s="1"/>
  <c r="A121" i="4"/>
  <c r="B127" i="3"/>
  <c r="C127" i="3"/>
  <c r="E127" i="9"/>
  <c r="D127" i="9"/>
  <c r="B91" i="3"/>
  <c r="C91" i="3"/>
  <c r="B127" i="9"/>
  <c r="Y127" i="9" s="1"/>
  <c r="C127" i="9"/>
  <c r="B91" i="9"/>
  <c r="Y91" i="9" s="1"/>
  <c r="A199" i="7"/>
  <c r="B199" i="7" s="1"/>
  <c r="AA198" i="7"/>
  <c r="E198" i="1"/>
  <c r="E198" i="7" s="1"/>
  <c r="D198" i="1"/>
  <c r="D198" i="7" s="1"/>
  <c r="A199" i="1"/>
  <c r="B199" i="1" s="1"/>
  <c r="C168" i="3"/>
  <c r="E168" i="9"/>
  <c r="D168" i="9"/>
  <c r="A124" i="1"/>
  <c r="E124" i="1" s="1"/>
  <c r="E124" i="7" s="1"/>
  <c r="C91" i="9"/>
  <c r="D141" i="1"/>
  <c r="D141" i="7" s="1"/>
  <c r="E141" i="1"/>
  <c r="E141" i="7" s="1"/>
  <c r="F140" i="1"/>
  <c r="F140" i="7" s="1"/>
  <c r="F122" i="1"/>
  <c r="F122" i="7" s="1"/>
  <c r="D123" i="1"/>
  <c r="D123" i="7" s="1"/>
  <c r="E123" i="1"/>
  <c r="E123" i="7" s="1"/>
  <c r="D69" i="1"/>
  <c r="D69" i="7" s="1"/>
  <c r="E69" i="1"/>
  <c r="E69" i="7" s="1"/>
  <c r="F68" i="1"/>
  <c r="F68" i="7" s="1"/>
  <c r="E52" i="1"/>
  <c r="E52" i="7" s="1"/>
  <c r="D52" i="1"/>
  <c r="D52" i="7" s="1"/>
  <c r="B66" i="8"/>
  <c r="AA66" i="8" s="1"/>
  <c r="D66" i="8"/>
  <c r="E66" i="4"/>
  <c r="E66" i="8" s="1"/>
  <c r="B66" i="4"/>
  <c r="C109" i="9"/>
  <c r="Y109" i="9"/>
  <c r="C66" i="4"/>
  <c r="A67" i="4"/>
  <c r="D67" i="4" s="1"/>
  <c r="A67" i="8"/>
  <c r="C67" i="8" s="1"/>
  <c r="A70" i="7"/>
  <c r="B70" i="7" s="1"/>
  <c r="A178" i="7"/>
  <c r="D177" i="1"/>
  <c r="D177" i="7" s="1"/>
  <c r="E177" i="1"/>
  <c r="E177" i="7" s="1"/>
  <c r="A178" i="1"/>
  <c r="A160" i="7" a="1"/>
  <c r="A160" i="7" s="1"/>
  <c r="B159" i="7"/>
  <c r="AA159" i="7" s="1"/>
  <c r="B160" i="1"/>
  <c r="C160" i="1"/>
  <c r="F160" i="1" s="1"/>
  <c r="F160" i="7" s="1"/>
  <c r="D160" i="1"/>
  <c r="D160" i="7" s="1"/>
  <c r="E160" i="1"/>
  <c r="E160" i="7" s="1"/>
  <c r="A142" i="7"/>
  <c r="B142" i="7" s="1"/>
  <c r="A70" i="1"/>
  <c r="A142" i="1"/>
  <c r="B142" i="1" s="1"/>
  <c r="A124" i="7"/>
  <c r="A88" i="1"/>
  <c r="B88" i="1" s="1"/>
  <c r="E87" i="1"/>
  <c r="E87" i="7" s="1"/>
  <c r="D87" i="1"/>
  <c r="D87" i="7" s="1"/>
  <c r="B90" i="7" l="1"/>
  <c r="AA90" i="7" s="1"/>
  <c r="C90" i="7"/>
  <c r="G90" i="7" s="1"/>
  <c r="A89" i="1"/>
  <c r="B178" i="1"/>
  <c r="C178" i="7"/>
  <c r="G178" i="7" s="1"/>
  <c r="B178" i="7"/>
  <c r="AA178" i="7" s="1"/>
  <c r="C142" i="1"/>
  <c r="B124" i="1"/>
  <c r="C124" i="7"/>
  <c r="G124" i="7" s="1"/>
  <c r="B124" i="7"/>
  <c r="AA124" i="7" s="1"/>
  <c r="C70" i="1"/>
  <c r="B70" i="1"/>
  <c r="C34" i="7"/>
  <c r="G34" i="7" s="1"/>
  <c r="B34" i="7"/>
  <c r="AA34" i="7" s="1"/>
  <c r="C70" i="7"/>
  <c r="G70" i="7" s="1"/>
  <c r="C142" i="7"/>
  <c r="G142" i="7" s="1"/>
  <c r="C199" i="7"/>
  <c r="G199" i="7" s="1"/>
  <c r="C226" i="1"/>
  <c r="F226" i="1" s="1"/>
  <c r="F226" i="7" s="1"/>
  <c r="C88" i="1"/>
  <c r="F88" i="1" s="1"/>
  <c r="F88" i="7" s="1"/>
  <c r="D124" i="1"/>
  <c r="D124" i="7" s="1"/>
  <c r="C124" i="1"/>
  <c r="F124" i="1" s="1"/>
  <c r="F124" i="7" s="1"/>
  <c r="C199" i="1"/>
  <c r="F199" i="1" s="1"/>
  <c r="F199" i="7" s="1"/>
  <c r="C178" i="1"/>
  <c r="F178" i="1" s="1"/>
  <c r="F178" i="7" s="1"/>
  <c r="F52" i="1"/>
  <c r="F52" i="7" s="1"/>
  <c r="F34" i="1"/>
  <c r="F34" i="7" s="1"/>
  <c r="C16" i="1"/>
  <c r="F16" i="1" s="1"/>
  <c r="F16" i="7" s="1"/>
  <c r="D16" i="1"/>
  <c r="D16" i="7" s="1"/>
  <c r="E16" i="1"/>
  <c r="E16" i="7" s="1"/>
  <c r="B167" i="4"/>
  <c r="D167" i="8"/>
  <c r="C167" i="4"/>
  <c r="E167" i="4"/>
  <c r="E167" i="8" s="1"/>
  <c r="D85" i="4"/>
  <c r="D85" i="8" s="1"/>
  <c r="B85" i="4"/>
  <c r="E85" i="4"/>
  <c r="E85" i="8" s="1"/>
  <c r="C85" i="4"/>
  <c r="D121" i="4"/>
  <c r="D121" i="8" s="1"/>
  <c r="E121" i="4"/>
  <c r="E121" i="8" s="1"/>
  <c r="B121" i="4"/>
  <c r="C121" i="4"/>
  <c r="D103" i="4"/>
  <c r="D103" i="8" s="1"/>
  <c r="C103" i="4"/>
  <c r="E103" i="4"/>
  <c r="E103" i="8" s="1"/>
  <c r="B103" i="4"/>
  <c r="J3" i="12"/>
  <c r="K38" i="12"/>
  <c r="K6" i="12"/>
  <c r="K25" i="12"/>
  <c r="I51" i="12"/>
  <c r="I38" i="12"/>
  <c r="J14" i="12"/>
  <c r="J50" i="12"/>
  <c r="K26" i="12"/>
  <c r="I52" i="12"/>
  <c r="I39" i="12"/>
  <c r="J15" i="12"/>
  <c r="J51" i="12"/>
  <c r="K27" i="12"/>
  <c r="I4" i="12"/>
  <c r="I40" i="12"/>
  <c r="J16" i="12"/>
  <c r="J52" i="12"/>
  <c r="K28" i="12"/>
  <c r="K15" i="12"/>
  <c r="I41" i="12"/>
  <c r="J17" i="12"/>
  <c r="J4" i="12"/>
  <c r="K29" i="12"/>
  <c r="K16" i="12"/>
  <c r="I42" i="12"/>
  <c r="I29" i="12"/>
  <c r="J5" i="12"/>
  <c r="K30" i="12"/>
  <c r="K17" i="12"/>
  <c r="I43" i="12"/>
  <c r="K42" i="12"/>
  <c r="I19" i="12"/>
  <c r="I6" i="12"/>
  <c r="J31" i="12"/>
  <c r="J18" i="12"/>
  <c r="K43" i="12"/>
  <c r="I20" i="12"/>
  <c r="I7" i="12"/>
  <c r="J32" i="12"/>
  <c r="I32" i="12"/>
  <c r="J8" i="12"/>
  <c r="J44" i="12"/>
  <c r="K20" i="12"/>
  <c r="K7" i="12"/>
  <c r="I33" i="12"/>
  <c r="J9" i="12"/>
  <c r="J45" i="12"/>
  <c r="K21" i="12"/>
  <c r="K8" i="12"/>
  <c r="I34" i="12"/>
  <c r="I21" i="12"/>
  <c r="J46" i="12"/>
  <c r="K22" i="12"/>
  <c r="K9" i="12"/>
  <c r="I35" i="12"/>
  <c r="I22" i="12"/>
  <c r="J47" i="12"/>
  <c r="J34" i="12"/>
  <c r="K10" i="12"/>
  <c r="I36" i="12"/>
  <c r="I23" i="12"/>
  <c r="J48" i="12"/>
  <c r="J35" i="12"/>
  <c r="K11" i="12"/>
  <c r="K47" i="12"/>
  <c r="I24" i="12"/>
  <c r="J49" i="12"/>
  <c r="J36" i="12"/>
  <c r="K12" i="12"/>
  <c r="K48" i="12"/>
  <c r="I25" i="12"/>
  <c r="K24" i="12"/>
  <c r="I50" i="12"/>
  <c r="I37" i="12"/>
  <c r="J13" i="12"/>
  <c r="I13" i="12"/>
  <c r="J38" i="12"/>
  <c r="K14" i="12"/>
  <c r="K50" i="12"/>
  <c r="I27" i="12"/>
  <c r="I14" i="12"/>
  <c r="J39" i="12"/>
  <c r="J26" i="12"/>
  <c r="K51" i="12"/>
  <c r="I28" i="12"/>
  <c r="I15" i="12"/>
  <c r="J40" i="12"/>
  <c r="J27" i="12"/>
  <c r="K52" i="12"/>
  <c r="K39" i="12"/>
  <c r="I16" i="12"/>
  <c r="J41" i="12"/>
  <c r="J28" i="12"/>
  <c r="K4" i="12"/>
  <c r="K40" i="12"/>
  <c r="I17" i="12"/>
  <c r="K3" i="12"/>
  <c r="J29" i="12"/>
  <c r="K5" i="12"/>
  <c r="K41" i="12"/>
  <c r="I18" i="12"/>
  <c r="I5" i="12"/>
  <c r="J30" i="12"/>
  <c r="I30" i="12"/>
  <c r="J6" i="12"/>
  <c r="J42" i="12"/>
  <c r="K18" i="12"/>
  <c r="I44" i="12"/>
  <c r="I31" i="12"/>
  <c r="J7" i="12"/>
  <c r="J43" i="12"/>
  <c r="K19" i="12"/>
  <c r="J19" i="12"/>
  <c r="K44" i="12"/>
  <c r="K31" i="12"/>
  <c r="I8" i="12"/>
  <c r="J33" i="12"/>
  <c r="J20" i="12"/>
  <c r="K45" i="12"/>
  <c r="K32" i="12"/>
  <c r="I9" i="12"/>
  <c r="I45" i="12"/>
  <c r="J21" i="12"/>
  <c r="K46" i="12"/>
  <c r="K33" i="12"/>
  <c r="I10" i="12"/>
  <c r="I46" i="12"/>
  <c r="J22" i="12"/>
  <c r="I3" i="12"/>
  <c r="K34" i="12"/>
  <c r="I11" i="12"/>
  <c r="I47" i="12"/>
  <c r="J23" i="12"/>
  <c r="J10" i="12"/>
  <c r="K35" i="12"/>
  <c r="I12" i="12"/>
  <c r="I48" i="12"/>
  <c r="J24" i="12"/>
  <c r="J11" i="12"/>
  <c r="K36" i="12"/>
  <c r="K23" i="12"/>
  <c r="I49" i="12"/>
  <c r="J25" i="12"/>
  <c r="J12" i="12"/>
  <c r="K37" i="12"/>
  <c r="J37" i="12"/>
  <c r="K13" i="12"/>
  <c r="K49" i="12"/>
  <c r="I26" i="12"/>
  <c r="A200" i="7"/>
  <c r="B200" i="7" s="1"/>
  <c r="AA199" i="7"/>
  <c r="D199" i="1"/>
  <c r="D199" i="7" s="1"/>
  <c r="E199" i="1"/>
  <c r="E199" i="7" s="1"/>
  <c r="A200" i="1"/>
  <c r="B200" i="1" s="1"/>
  <c r="E142" i="1"/>
  <c r="E142" i="7" s="1"/>
  <c r="D142" i="1"/>
  <c r="D142" i="7" s="1"/>
  <c r="D88" i="1"/>
  <c r="D88" i="7" s="1"/>
  <c r="F141" i="1"/>
  <c r="F141" i="7" s="1"/>
  <c r="F69" i="1"/>
  <c r="F69" i="7" s="1"/>
  <c r="E70" i="1"/>
  <c r="E70" i="7" s="1"/>
  <c r="D70" i="1"/>
  <c r="D70" i="7" s="1"/>
  <c r="D67" i="8"/>
  <c r="E67" i="4"/>
  <c r="E67" i="8" s="1"/>
  <c r="B67" i="4"/>
  <c r="AA70" i="7"/>
  <c r="C67" i="4"/>
  <c r="B67" i="8"/>
  <c r="AA67" i="8" s="1"/>
  <c r="D178" i="1"/>
  <c r="D178" i="7" s="1"/>
  <c r="E178" i="1"/>
  <c r="E178" i="7" s="1"/>
  <c r="B160" i="7"/>
  <c r="AA160" i="7" s="1"/>
  <c r="C160" i="7"/>
  <c r="G160" i="7" s="1"/>
  <c r="AA142" i="7"/>
  <c r="E88" i="1"/>
  <c r="E88" i="7" s="1"/>
  <c r="A90" i="1" l="1"/>
  <c r="B90" i="1" s="1"/>
  <c r="B89" i="1"/>
  <c r="C89" i="1"/>
  <c r="F89" i="1" s="1"/>
  <c r="F89" i="7" s="1"/>
  <c r="D89" i="1"/>
  <c r="D89" i="7" s="1"/>
  <c r="E89" i="1"/>
  <c r="E89" i="7" s="1"/>
  <c r="C200" i="1"/>
  <c r="F200" i="1" s="1"/>
  <c r="F200" i="7" s="1"/>
  <c r="C200" i="7"/>
  <c r="G200" i="7" s="1"/>
  <c r="F29" i="12"/>
  <c r="E4" i="12"/>
  <c r="G27" i="12"/>
  <c r="F51" i="12"/>
  <c r="E26" i="12"/>
  <c r="F11" i="12"/>
  <c r="E35" i="12"/>
  <c r="F20" i="12"/>
  <c r="G5" i="12"/>
  <c r="G18" i="12"/>
  <c r="F42" i="12"/>
  <c r="E17" i="12"/>
  <c r="G40" i="12"/>
  <c r="F15" i="12"/>
  <c r="G49" i="12"/>
  <c r="F24" i="12"/>
  <c r="G9" i="12"/>
  <c r="E44" i="12"/>
  <c r="F52" i="12"/>
  <c r="E38" i="12"/>
  <c r="G12" i="12"/>
  <c r="F36" i="12"/>
  <c r="E11" i="12"/>
  <c r="F45" i="12"/>
  <c r="E20" i="12"/>
  <c r="G43" i="12"/>
  <c r="G39" i="12"/>
  <c r="F14" i="12"/>
  <c r="F27" i="12"/>
  <c r="E51" i="12"/>
  <c r="G25" i="12"/>
  <c r="F49" i="12"/>
  <c r="G34" i="12"/>
  <c r="F9" i="12"/>
  <c r="E33" i="12"/>
  <c r="E29" i="12"/>
  <c r="G52" i="12"/>
  <c r="E23" i="12"/>
  <c r="G46" i="12"/>
  <c r="F21" i="12"/>
  <c r="E45" i="12"/>
  <c r="G19" i="12"/>
  <c r="E5" i="12"/>
  <c r="G28" i="12"/>
  <c r="G24" i="12"/>
  <c r="F48" i="12"/>
  <c r="F12" i="12"/>
  <c r="E36" i="12"/>
  <c r="G10" i="12"/>
  <c r="F34" i="12"/>
  <c r="E9" i="12"/>
  <c r="F43" i="12"/>
  <c r="E18" i="12"/>
  <c r="E14" i="12"/>
  <c r="G37" i="12"/>
  <c r="G51" i="12"/>
  <c r="G31" i="12"/>
  <c r="F6" i="12"/>
  <c r="E30" i="12"/>
  <c r="G4" i="12"/>
  <c r="E39" i="12"/>
  <c r="G13" i="12"/>
  <c r="E48" i="12"/>
  <c r="F33" i="12"/>
  <c r="E8" i="12"/>
  <c r="E21" i="12"/>
  <c r="G44" i="12"/>
  <c r="F19" i="12"/>
  <c r="E43" i="12"/>
  <c r="F28" i="12"/>
  <c r="E52" i="12"/>
  <c r="F37" i="12"/>
  <c r="G22" i="12"/>
  <c r="F46" i="12"/>
  <c r="G16" i="12"/>
  <c r="F40" i="12"/>
  <c r="E15" i="12"/>
  <c r="G38" i="12"/>
  <c r="E24" i="12"/>
  <c r="G47" i="12"/>
  <c r="F22" i="12"/>
  <c r="F18" i="12"/>
  <c r="E42" i="12"/>
  <c r="E6" i="12"/>
  <c r="G29" i="12"/>
  <c r="F4" i="12"/>
  <c r="E28" i="12"/>
  <c r="F13" i="12"/>
  <c r="E37" i="12"/>
  <c r="G11" i="12"/>
  <c r="G7" i="12"/>
  <c r="F31" i="12"/>
  <c r="G50" i="12"/>
  <c r="F25" i="12"/>
  <c r="E49" i="12"/>
  <c r="G23" i="12"/>
  <c r="F47" i="12"/>
  <c r="G32" i="12"/>
  <c r="F7" i="12"/>
  <c r="G41" i="12"/>
  <c r="E27" i="12"/>
  <c r="E40" i="12"/>
  <c r="G14" i="12"/>
  <c r="F38" i="12"/>
  <c r="E13" i="12"/>
  <c r="G36" i="12"/>
  <c r="E22" i="12"/>
  <c r="G45" i="12"/>
  <c r="E31" i="12"/>
  <c r="F16" i="12"/>
  <c r="F5" i="12"/>
  <c r="F10" i="12"/>
  <c r="E34" i="12"/>
  <c r="G8" i="12"/>
  <c r="F32" i="12"/>
  <c r="G17" i="12"/>
  <c r="F41" i="12"/>
  <c r="G26" i="12"/>
  <c r="E12" i="12"/>
  <c r="G35" i="12"/>
  <c r="G48" i="12"/>
  <c r="F23" i="12"/>
  <c r="E47" i="12"/>
  <c r="G21" i="12"/>
  <c r="E7" i="12"/>
  <c r="G30" i="12"/>
  <c r="E16" i="12"/>
  <c r="F50" i="12"/>
  <c r="E25" i="12"/>
  <c r="F44" i="12"/>
  <c r="E19" i="12"/>
  <c r="G42" i="12"/>
  <c r="F17" i="12"/>
  <c r="E41" i="12"/>
  <c r="F26" i="12"/>
  <c r="E50" i="12"/>
  <c r="E46" i="12"/>
  <c r="G20" i="12"/>
  <c r="G33" i="12"/>
  <c r="F8" i="12"/>
  <c r="E32" i="12"/>
  <c r="G6" i="12"/>
  <c r="F30" i="12"/>
  <c r="G15" i="12"/>
  <c r="F39" i="12"/>
  <c r="F35" i="12"/>
  <c r="E10" i="12"/>
  <c r="F3" i="12"/>
  <c r="G3" i="12"/>
  <c r="E3" i="12"/>
  <c r="A201" i="7"/>
  <c r="B201" i="7" s="1"/>
  <c r="AA200" i="7"/>
  <c r="E200" i="1"/>
  <c r="E200" i="7" s="1"/>
  <c r="D200" i="1"/>
  <c r="D200" i="7" s="1"/>
  <c r="A201" i="1"/>
  <c r="B201" i="1" s="1"/>
  <c r="F142" i="1"/>
  <c r="F142" i="7" s="1"/>
  <c r="F70" i="1"/>
  <c r="F70" i="7" s="1"/>
  <c r="E90" i="1" l="1"/>
  <c r="E90" i="7" s="1"/>
  <c r="D90" i="1"/>
  <c r="D90" i="7" s="1"/>
  <c r="C90" i="1"/>
  <c r="F90" i="1" s="1"/>
  <c r="F90" i="7" s="1"/>
  <c r="C201" i="1"/>
  <c r="F201" i="1" s="1"/>
  <c r="F201" i="7" s="1"/>
  <c r="C201" i="7"/>
  <c r="G201" i="7" s="1"/>
  <c r="A202" i="7"/>
  <c r="B202" i="7" s="1"/>
  <c r="AA201" i="7"/>
  <c r="D201" i="1"/>
  <c r="D201" i="7" s="1"/>
  <c r="E201" i="1"/>
  <c r="E201" i="7" s="1"/>
  <c r="A202" i="1"/>
  <c r="B202" i="1" s="1"/>
  <c r="C202" i="7" l="1"/>
  <c r="G202" i="7" s="1"/>
  <c r="C202" i="1"/>
  <c r="F202" i="1" s="1"/>
  <c r="F202" i="7" s="1"/>
  <c r="A203" i="7"/>
  <c r="B203" i="7" s="1"/>
  <c r="AA202" i="7"/>
  <c r="A203" i="1"/>
  <c r="B203" i="1" s="1"/>
  <c r="D202" i="1"/>
  <c r="D202" i="7" s="1"/>
  <c r="E202" i="1"/>
  <c r="E202" i="7" s="1"/>
  <c r="C203" i="7" l="1"/>
  <c r="G203" i="7" s="1"/>
  <c r="C203" i="1"/>
  <c r="F203" i="1" s="1"/>
  <c r="F203" i="7" s="1"/>
  <c r="D203" i="1"/>
  <c r="D203" i="7" s="1"/>
  <c r="A204" i="7"/>
  <c r="B204" i="7" s="1"/>
  <c r="AA203" i="7"/>
  <c r="E203" i="1"/>
  <c r="E203" i="7" s="1"/>
  <c r="A204" i="1"/>
  <c r="B204" i="1" s="1"/>
  <c r="C204" i="7" l="1"/>
  <c r="G204" i="7" s="1"/>
  <c r="C204" i="1"/>
  <c r="F204" i="1" s="1"/>
  <c r="F204" i="7" s="1"/>
  <c r="A205" i="7"/>
  <c r="B205" i="7" s="1"/>
  <c r="AA204" i="7"/>
  <c r="D204" i="1"/>
  <c r="D204" i="7" s="1"/>
  <c r="E204" i="1"/>
  <c r="E204" i="7" s="1"/>
  <c r="A205" i="1"/>
  <c r="B205" i="1" s="1"/>
  <c r="C205" i="7" l="1"/>
  <c r="G205" i="7" s="1"/>
  <c r="C205" i="1"/>
  <c r="F205" i="1" s="1"/>
  <c r="F205" i="7" s="1"/>
  <c r="A206" i="7"/>
  <c r="B206" i="7" s="1"/>
  <c r="AA205" i="7"/>
  <c r="A206" i="1"/>
  <c r="B206" i="1" s="1"/>
  <c r="E205" i="1"/>
  <c r="E205" i="7" s="1"/>
  <c r="D205" i="1"/>
  <c r="D205" i="7" s="1"/>
  <c r="C206" i="7" l="1"/>
  <c r="G206" i="7" s="1"/>
  <c r="C206" i="1"/>
  <c r="F206" i="1" s="1"/>
  <c r="F206" i="7" s="1"/>
  <c r="D206" i="1"/>
  <c r="D206" i="7" s="1"/>
  <c r="A207" i="7"/>
  <c r="B207" i="7" s="1"/>
  <c r="AA206" i="7"/>
  <c r="E206" i="1"/>
  <c r="E206" i="7" s="1"/>
  <c r="A207" i="1"/>
  <c r="B207" i="1" s="1"/>
  <c r="C207" i="1" l="1"/>
  <c r="F207" i="1" s="1"/>
  <c r="F207" i="7" s="1"/>
  <c r="C207" i="7"/>
  <c r="G207" i="7" s="1"/>
  <c r="A208" i="7"/>
  <c r="AA207" i="7"/>
  <c r="A208" i="1"/>
  <c r="E207" i="1"/>
  <c r="E207" i="7" s="1"/>
  <c r="D207" i="1"/>
  <c r="D207" i="7" s="1"/>
  <c r="B208" i="1" l="1"/>
  <c r="C208" i="7"/>
  <c r="G208" i="7" s="1"/>
  <c r="B208" i="7"/>
  <c r="AA208" i="7" s="1"/>
  <c r="C208" i="1"/>
  <c r="F208" i="1" s="1"/>
  <c r="F208" i="7" s="1"/>
  <c r="D208" i="1"/>
  <c r="D208" i="7" s="1"/>
  <c r="E208" i="1"/>
  <c r="E208" i="7" s="1"/>
  <c r="C3" i="12" l="1"/>
  <c r="C51" i="12"/>
  <c r="B5" i="12"/>
  <c r="B52" i="12"/>
  <c r="C18" i="12"/>
  <c r="A40" i="12"/>
  <c r="B12" i="12"/>
  <c r="C33" i="12"/>
  <c r="A6" i="12"/>
  <c r="B27" i="12"/>
  <c r="C48" i="12"/>
  <c r="A21" i="12"/>
  <c r="B42" i="12"/>
  <c r="C14" i="12"/>
  <c r="A36" i="12"/>
  <c r="B8" i="12"/>
  <c r="C29" i="12"/>
  <c r="A51" i="12"/>
  <c r="B23" i="12"/>
  <c r="C44" i="12"/>
  <c r="A17" i="12"/>
  <c r="B38" i="12"/>
  <c r="C10" i="12"/>
  <c r="A32" i="12"/>
  <c r="B4" i="12"/>
  <c r="C25" i="12"/>
  <c r="A47" i="12"/>
  <c r="B19" i="12"/>
  <c r="C40" i="12"/>
  <c r="A13" i="12"/>
  <c r="B34" i="12"/>
  <c r="C6" i="12"/>
  <c r="A28" i="12"/>
  <c r="B49" i="12"/>
  <c r="C21" i="12"/>
  <c r="A43" i="12"/>
  <c r="B15" i="12"/>
  <c r="C36" i="12"/>
  <c r="A9" i="12"/>
  <c r="B30" i="12"/>
  <c r="B13" i="12"/>
  <c r="C34" i="12"/>
  <c r="A7" i="12"/>
  <c r="B28" i="12"/>
  <c r="C49" i="12"/>
  <c r="A22" i="12"/>
  <c r="B43" i="12"/>
  <c r="C15" i="12"/>
  <c r="A37" i="12"/>
  <c r="B9" i="12"/>
  <c r="C30" i="12"/>
  <c r="A52" i="12"/>
  <c r="B24" i="12"/>
  <c r="C45" i="12"/>
  <c r="A18" i="12"/>
  <c r="B39" i="12"/>
  <c r="C11" i="12"/>
  <c r="A33" i="12"/>
  <c r="A16" i="12"/>
  <c r="B37" i="12"/>
  <c r="C9" i="12"/>
  <c r="A31" i="12"/>
  <c r="A14" i="12"/>
  <c r="B35" i="12"/>
  <c r="C7" i="12"/>
  <c r="A29" i="12"/>
  <c r="B50" i="12"/>
  <c r="C22" i="12"/>
  <c r="A44" i="12"/>
  <c r="B16" i="12"/>
  <c r="C37" i="12"/>
  <c r="A10" i="12"/>
  <c r="B31" i="12"/>
  <c r="C52" i="12"/>
  <c r="A25" i="12"/>
  <c r="B46" i="12"/>
  <c r="A8" i="12"/>
  <c r="B29" i="12"/>
  <c r="C50" i="12"/>
  <c r="A23" i="12"/>
  <c r="B44" i="12"/>
  <c r="C16" i="12"/>
  <c r="A38" i="12"/>
  <c r="B10" i="12"/>
  <c r="C31" i="12"/>
  <c r="A4" i="12"/>
  <c r="B25" i="12"/>
  <c r="C46" i="12"/>
  <c r="A19" i="12"/>
  <c r="B40" i="12"/>
  <c r="C12" i="12"/>
  <c r="A34" i="12"/>
  <c r="B6" i="12"/>
  <c r="C27" i="12"/>
  <c r="A49" i="12"/>
  <c r="B21" i="12"/>
  <c r="C42" i="12"/>
  <c r="A15" i="12"/>
  <c r="B36" i="12"/>
  <c r="C8" i="12"/>
  <c r="A30" i="12"/>
  <c r="B51" i="12"/>
  <c r="C23" i="12"/>
  <c r="A45" i="12"/>
  <c r="B17" i="12"/>
  <c r="C38" i="12"/>
  <c r="A11" i="12"/>
  <c r="B32" i="12"/>
  <c r="C4" i="12"/>
  <c r="A26" i="12"/>
  <c r="B47" i="12"/>
  <c r="C19" i="12"/>
  <c r="A41" i="12"/>
  <c r="A24" i="12"/>
  <c r="B45" i="12"/>
  <c r="C17" i="12"/>
  <c r="A39" i="12"/>
  <c r="B11" i="12"/>
  <c r="C32" i="12"/>
  <c r="A5" i="12"/>
  <c r="B26" i="12"/>
  <c r="C47" i="12"/>
  <c r="A20" i="12"/>
  <c r="B41" i="12"/>
  <c r="C13" i="12"/>
  <c r="A35" i="12"/>
  <c r="B7" i="12"/>
  <c r="C28" i="12"/>
  <c r="A50" i="12"/>
  <c r="B22" i="12"/>
  <c r="C43" i="12"/>
  <c r="C26" i="12"/>
  <c r="A48" i="12"/>
  <c r="B20" i="12"/>
  <c r="C41" i="12"/>
  <c r="C24" i="12"/>
  <c r="A46" i="12"/>
  <c r="B18" i="12"/>
  <c r="C39" i="12"/>
  <c r="A12" i="12"/>
  <c r="B33" i="12"/>
  <c r="C5" i="12"/>
  <c r="A27" i="12"/>
  <c r="B48" i="12"/>
  <c r="C20" i="12"/>
  <c r="A42" i="12"/>
  <c r="B14" i="12"/>
  <c r="C35" i="12"/>
  <c r="A3" i="12"/>
  <c r="B3" i="12"/>
</calcChain>
</file>

<file path=xl/comments1.xml><?xml version="1.0" encoding="utf-8"?>
<comments xmlns="http://schemas.openxmlformats.org/spreadsheetml/2006/main">
  <authors>
    <author>纪晓俊</author>
  </authors>
  <commentList>
    <comment ref="G2" authorId="0">
      <text>
        <r>
          <rPr>
            <sz val="10"/>
            <color indexed="81"/>
            <rFont val="Arial Unicode MS"/>
            <family val="2"/>
            <charset val="134"/>
          </rPr>
          <t>请务必于取消大边优惠日期结算前进行设置操作</t>
        </r>
      </text>
    </comment>
  </commentList>
</comments>
</file>

<file path=xl/sharedStrings.xml><?xml version="1.0" encoding="utf-8"?>
<sst xmlns="http://schemas.openxmlformats.org/spreadsheetml/2006/main" count="462" uniqueCount="104">
  <si>
    <t>铜Cu</t>
    <phoneticPr fontId="1" type="noConversion"/>
  </si>
  <si>
    <t>最后交易日</t>
    <phoneticPr fontId="1" type="noConversion"/>
  </si>
  <si>
    <t>元旦</t>
    <phoneticPr fontId="1" type="noConversion"/>
  </si>
  <si>
    <t>春节</t>
    <phoneticPr fontId="1" type="noConversion"/>
  </si>
  <si>
    <t>清明节</t>
    <phoneticPr fontId="1" type="noConversion"/>
  </si>
  <si>
    <t>劳动节</t>
    <phoneticPr fontId="1" type="noConversion"/>
  </si>
  <si>
    <t>端午节</t>
    <phoneticPr fontId="1" type="noConversion"/>
  </si>
  <si>
    <t>中秋、国庆节</t>
    <phoneticPr fontId="1" type="noConversion"/>
  </si>
  <si>
    <t>交割月前第二月的第十个交易日起</t>
    <phoneticPr fontId="1" type="noConversion"/>
  </si>
  <si>
    <t>交割月前第一月的第一个交易日起</t>
    <phoneticPr fontId="1" type="noConversion"/>
  </si>
  <si>
    <t>交割月前第一月的第十个交易日起</t>
    <phoneticPr fontId="1" type="noConversion"/>
  </si>
  <si>
    <t>交割月的第一个交易日起</t>
    <phoneticPr fontId="1" type="noConversion"/>
  </si>
  <si>
    <t>最后交易日前两个交易日起</t>
    <phoneticPr fontId="1" type="noConversion"/>
  </si>
  <si>
    <t>铅Pb</t>
    <phoneticPr fontId="1" type="noConversion"/>
  </si>
  <si>
    <t>黄金Au</t>
    <phoneticPr fontId="1" type="noConversion"/>
  </si>
  <si>
    <t>橡胶Ru</t>
    <phoneticPr fontId="1" type="noConversion"/>
  </si>
  <si>
    <t>燃料油Fu</t>
    <phoneticPr fontId="1" type="noConversion"/>
  </si>
  <si>
    <t>最后交易日</t>
    <phoneticPr fontId="1" type="noConversion"/>
  </si>
  <si>
    <t>交割月份第一个交易日</t>
  </si>
  <si>
    <t>最后交易日</t>
    <phoneticPr fontId="1" type="noConversion"/>
  </si>
  <si>
    <t>交割月份前一个月20日</t>
    <phoneticPr fontId="1" type="noConversion"/>
  </si>
  <si>
    <t>精对苯二甲酸PTA</t>
    <phoneticPr fontId="1" type="noConversion"/>
  </si>
  <si>
    <t>最后交易日</t>
    <phoneticPr fontId="1" type="noConversion"/>
  </si>
  <si>
    <t>线材Wr</t>
    <phoneticPr fontId="1" type="noConversion"/>
  </si>
  <si>
    <t>锌Zn</t>
    <phoneticPr fontId="1" type="noConversion"/>
  </si>
  <si>
    <t>铝Al</t>
    <phoneticPr fontId="1" type="noConversion"/>
  </si>
  <si>
    <t>螺纹钢Rb</t>
    <phoneticPr fontId="1" type="noConversion"/>
  </si>
  <si>
    <t>黄大豆1号A</t>
  </si>
  <si>
    <t>黄大豆2号B</t>
  </si>
  <si>
    <t>黄玉米C</t>
    <phoneticPr fontId="1" type="noConversion"/>
  </si>
  <si>
    <t>棕榈油P</t>
    <phoneticPr fontId="1" type="noConversion"/>
  </si>
  <si>
    <t>线型低密度聚乙烯L</t>
    <phoneticPr fontId="1" type="noConversion"/>
  </si>
  <si>
    <t>冶金焦炭J</t>
    <phoneticPr fontId="1" type="noConversion"/>
  </si>
  <si>
    <t>聚氯乙烯V</t>
    <phoneticPr fontId="1" type="noConversion"/>
  </si>
  <si>
    <t>豆粕M</t>
    <phoneticPr fontId="1" type="noConversion"/>
  </si>
  <si>
    <t>豆油Y</t>
    <phoneticPr fontId="1" type="noConversion"/>
  </si>
  <si>
    <t>棉花CF</t>
    <phoneticPr fontId="1" type="noConversion"/>
  </si>
  <si>
    <t>白糖SR</t>
    <phoneticPr fontId="1" type="noConversion"/>
  </si>
  <si>
    <t>普麦PM</t>
    <phoneticPr fontId="1" type="noConversion"/>
  </si>
  <si>
    <t xml:space="preserve"> </t>
    <phoneticPr fontId="1" type="noConversion"/>
  </si>
  <si>
    <t>白银Ag</t>
    <phoneticPr fontId="1" type="noConversion"/>
  </si>
  <si>
    <t>交割月份第一个交易日起</t>
    <phoneticPr fontId="1" type="noConversion"/>
  </si>
  <si>
    <t>最后交易日前二个交易日起</t>
    <phoneticPr fontId="1" type="noConversion"/>
  </si>
  <si>
    <t>平板玻璃FG</t>
    <phoneticPr fontId="1" type="noConversion"/>
  </si>
  <si>
    <t>中秋节</t>
    <phoneticPr fontId="1" type="noConversion"/>
  </si>
  <si>
    <t>国庆节</t>
    <phoneticPr fontId="1" type="noConversion"/>
  </si>
  <si>
    <t>上市日期</t>
    <phoneticPr fontId="1" type="noConversion"/>
  </si>
  <si>
    <t>上市日期</t>
    <phoneticPr fontId="1" type="noConversion"/>
  </si>
  <si>
    <t>上市日期</t>
    <phoneticPr fontId="1" type="noConversion"/>
  </si>
  <si>
    <t>上市日期</t>
    <phoneticPr fontId="1" type="noConversion"/>
  </si>
  <si>
    <t>油菜籽RS</t>
    <phoneticPr fontId="1" type="noConversion"/>
  </si>
  <si>
    <t>油菜粕RM</t>
    <phoneticPr fontId="1" type="noConversion"/>
  </si>
  <si>
    <t>最后交易日</t>
    <phoneticPr fontId="1" type="noConversion"/>
  </si>
  <si>
    <t>早籼稻ER/RI</t>
    <phoneticPr fontId="1" type="noConversion"/>
  </si>
  <si>
    <t>菜籽油RO/OI</t>
    <phoneticPr fontId="1" type="noConversion"/>
  </si>
  <si>
    <t>焦煤JM</t>
    <phoneticPr fontId="1" type="noConversion"/>
  </si>
  <si>
    <t>上市日期</t>
  </si>
  <si>
    <t>最后交易日</t>
  </si>
  <si>
    <t>上市日期</t>
    <phoneticPr fontId="1" type="noConversion"/>
  </si>
  <si>
    <t>最后交易日</t>
    <phoneticPr fontId="1" type="noConversion"/>
  </si>
  <si>
    <t>全局参数:</t>
    <phoneticPr fontId="1" type="noConversion"/>
  </si>
  <si>
    <t>选定"交易所标准"即上期、大连、郑州三张表中调保日期为交易所调保当日</t>
    <phoneticPr fontId="1" type="noConversion"/>
  </si>
  <si>
    <t>选定"期货公司标准"即上期、大连、郑州三张表中调保日期为交易所调保前一工作日</t>
    <phoneticPr fontId="1" type="noConversion"/>
  </si>
  <si>
    <t>选定"CTP保证金分段(交易日)"即交易所临近交割月保证金调整当日的后一交易日</t>
    <phoneticPr fontId="1" type="noConversion"/>
  </si>
  <si>
    <t>选定"CTP保证金分段(自然日)"即交易所临近交割月保证金调整当日的后一自然日</t>
    <phoneticPr fontId="1" type="noConversion"/>
  </si>
  <si>
    <t>石油沥青Bu</t>
    <phoneticPr fontId="1" type="noConversion"/>
  </si>
  <si>
    <t>铁矿石I</t>
    <phoneticPr fontId="1" type="noConversion"/>
  </si>
  <si>
    <t>上市日期</t>
    <phoneticPr fontId="1" type="noConversion"/>
  </si>
  <si>
    <t>最后交易日</t>
    <phoneticPr fontId="1" type="noConversion"/>
  </si>
  <si>
    <t>鲜鸡蛋JD</t>
    <phoneticPr fontId="1" type="noConversion"/>
  </si>
  <si>
    <t>粳稻JR</t>
    <phoneticPr fontId="1" type="noConversion"/>
  </si>
  <si>
    <t>纤维板FB</t>
    <phoneticPr fontId="1" type="noConversion"/>
  </si>
  <si>
    <t>细木工板BB</t>
    <phoneticPr fontId="1" type="noConversion"/>
  </si>
  <si>
    <t>取消大边优惠</t>
    <phoneticPr fontId="1" type="noConversion"/>
  </si>
  <si>
    <t>聚丙烯PP</t>
    <phoneticPr fontId="1" type="noConversion"/>
  </si>
  <si>
    <t>热轧板Hc</t>
    <phoneticPr fontId="1" type="noConversion"/>
  </si>
  <si>
    <t>交易所标准</t>
  </si>
  <si>
    <t>甲醇ME/MA</t>
    <phoneticPr fontId="1" type="noConversion"/>
  </si>
  <si>
    <t>上市日期</t>
    <phoneticPr fontId="1" type="noConversion"/>
  </si>
  <si>
    <t>最后交易日</t>
    <phoneticPr fontId="1" type="noConversion"/>
  </si>
  <si>
    <t>合约</t>
    <phoneticPr fontId="1" type="noConversion"/>
  </si>
  <si>
    <t>上海期货交易所SHFE</t>
    <phoneticPr fontId="1" type="noConversion"/>
  </si>
  <si>
    <t>晚籼稻LR</t>
    <phoneticPr fontId="1" type="noConversion"/>
  </si>
  <si>
    <t>硅铁SF</t>
    <phoneticPr fontId="1" type="noConversion"/>
  </si>
  <si>
    <t>锰硅SM</t>
    <phoneticPr fontId="1" type="noConversion"/>
  </si>
  <si>
    <t>大连商品交易所DCE</t>
    <phoneticPr fontId="1" type="noConversion"/>
  </si>
  <si>
    <t>郑州商品交易所CZCE</t>
    <phoneticPr fontId="1" type="noConversion"/>
  </si>
  <si>
    <t>中国金融期货交易所CFFEX</t>
    <phoneticPr fontId="1" type="noConversion"/>
  </si>
  <si>
    <t>交割月份前一个月第十五个交易日</t>
    <phoneticPr fontId="1" type="noConversion"/>
  </si>
  <si>
    <t>交割月份第一个交易日前一交易日</t>
    <phoneticPr fontId="1" type="noConversion"/>
  </si>
  <si>
    <t>玉米淀粉CS</t>
    <phoneticPr fontId="1" type="noConversion"/>
  </si>
  <si>
    <t>1.5%/2%</t>
    <phoneticPr fontId="1" type="noConversion"/>
  </si>
  <si>
    <t>2%/3%</t>
    <phoneticPr fontId="1" type="noConversion"/>
  </si>
  <si>
    <t>5年期国债TF1.5%</t>
    <phoneticPr fontId="1" type="noConversion"/>
  </si>
  <si>
    <t>10年期国债T2%</t>
    <phoneticPr fontId="1" type="noConversion"/>
  </si>
  <si>
    <t>镍Ni</t>
    <phoneticPr fontId="1" type="noConversion"/>
  </si>
  <si>
    <t>锡Sn</t>
    <phoneticPr fontId="1" type="noConversion"/>
  </si>
  <si>
    <t>沪深300股指期货IF10%</t>
    <phoneticPr fontId="1" type="noConversion"/>
  </si>
  <si>
    <t>上证50股指期货IH10%</t>
    <phoneticPr fontId="1" type="noConversion"/>
  </si>
  <si>
    <t>中证500股指期货IC10%</t>
    <phoneticPr fontId="1" type="noConversion"/>
  </si>
  <si>
    <t>动力煤TC/ZC</t>
    <phoneticPr fontId="1" type="noConversion"/>
  </si>
  <si>
    <t>强麦WS/WH</t>
    <phoneticPr fontId="1" type="noConversion"/>
  </si>
  <si>
    <t>交割月份</t>
    <phoneticPr fontId="1" type="noConversion"/>
  </si>
  <si>
    <t>交割月前一月份16日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</si>
</sst>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yyyy&quot;年&quot;mm&quot;月&quot;dd&quot;日&quot;"/>
    <numFmt numFmtId="178" formatCode="0_);[Red]\(0\)"/>
    <numFmt numFmtId="179" formatCode="yyyy/mm/dd"/>
    <numFmt numFmtId="180" formatCode="0.0%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8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gray125">
        <fgColor theme="8" tint="0.59996337778862885"/>
        <bgColor indexed="65"/>
      </patternFill>
    </fill>
    <fill>
      <patternFill patternType="mediumGray">
        <fgColor theme="8" tint="0.59996337778862885"/>
        <bgColor indexed="65"/>
      </patternFill>
    </fill>
  </fills>
  <borders count="11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7" fontId="2" fillId="2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常规" xfId="0" builtinId="0"/>
  </cellStyles>
  <dxfs count="79"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  <color rgb="FFFF4343"/>
      <color rgb="FFFF4B4B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A262"/>
  <sheetViews>
    <sheetView tabSelected="1" topLeftCell="A52" zoomScale="90" zoomScaleNormal="90" workbookViewId="0">
      <selection activeCell="C278" sqref="C278"/>
    </sheetView>
  </sheetViews>
  <sheetFormatPr defaultRowHeight="16.5" x14ac:dyDescent="0.15"/>
  <cols>
    <col min="1" max="1" width="9.625" style="16" customWidth="1"/>
    <col min="2" max="2" width="18.375" style="16" customWidth="1"/>
    <col min="3" max="7" width="25.625" style="7" customWidth="1"/>
    <col min="27" max="27" width="9" hidden="1" customWidth="1"/>
  </cols>
  <sheetData>
    <row r="1" spans="1:27" x14ac:dyDescent="0.15">
      <c r="A1" s="48" t="str">
        <f>"铜Cu"&amp;TEXT(铜Cu,"#%")</f>
        <v>铜Cu8%</v>
      </c>
      <c r="B1" s="49"/>
      <c r="C1" s="49"/>
      <c r="D1" s="49"/>
      <c r="E1" s="49"/>
      <c r="F1" s="49"/>
      <c r="G1" s="50"/>
      <c r="AA1" t="str">
        <f ca="1">IFERROR(IF(AND(B1+0&gt;TODAY(),B1+0&lt;DATE(YEAR(TODAY()),MONTH(TODAY())+1,DAY(TODAY()))),ROW(),""),"")</f>
        <v/>
      </c>
    </row>
    <row r="2" spans="1:27" ht="17.25" thickBot="1" x14ac:dyDescent="0.2">
      <c r="A2" s="20"/>
      <c r="B2" s="31" t="s">
        <v>47</v>
      </c>
      <c r="C2" s="9" t="s">
        <v>1</v>
      </c>
      <c r="D2" s="10">
        <f>MAX(10%,铜Cu)</f>
        <v>0.1</v>
      </c>
      <c r="E2" s="10">
        <v>0.15</v>
      </c>
      <c r="F2" s="10">
        <v>0.2</v>
      </c>
      <c r="G2" s="20" t="s">
        <v>73</v>
      </c>
      <c r="AA2" t="str">
        <f t="shared" ref="AA2:AA65" ca="1" si="0">IFERROR(IF(AND(B2+0&gt;TODAY(),B2+0&lt;DATE(YEAR(TODAY()),MONTH(TODAY())+1,DAY(TODAY()))),ROW(),""),"")</f>
        <v/>
      </c>
    </row>
    <row r="3" spans="1:27" x14ac:dyDescent="0.15">
      <c r="A3" s="21" t="str">
        <f ca="1">"Cu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Cu1507</v>
      </c>
      <c r="B3" s="11">
        <f t="shared" ref="B3:B16" ca="1" si="1">IF(RIGHT(A3,4)="1602",DATE(2015,2,16),WORKDAY(IF(NETWORKDAYS(DATE("20"&amp;(MID(A3,LEN(A3)-3,2)-1),RIGHT(A3,2),IF(RIGHT(A3,4)="1201","13","15")),DATE("20"&amp;(MID(A3,LEN(A3)-3,2)-1),RIGHT(A3,2),IF(RIGHT(A3,4)="1201","13","15")),Holiday)=0,WORKDAY(DATE("20"&amp;(MID(A3,LEN(A3)-3,2)-1),RIGHT(A3,2),IF(RIGHT(A3,4)="1201","13","15")),1,Holiday),DATE("20"&amp;(MID(A3,LEN(A3)-3,2)-1),RIGHT(A3,2),IF(RIGHT(A3,4)="1201","13","15"))),1,Holiday))</f>
        <v>41836</v>
      </c>
      <c r="C3" s="11">
        <f t="shared" ref="C3:C16" ca="1" si="2">IF(RIGHT(A3,4)="1502",DATE(2015,2,10),IF(NETWORKDAYS(DATE("20"&amp;MID(A3,LEN(A3)-3,2),RIGHT(A3,2),IF(RIGHT(A3,4)="1201","13","15")),DATE("20"&amp;MID(A3,LEN(A3)-3,2),RIGHT(A3,2),IF(RIGHT(A3,4)="1201","13","15")),Holiday)=0,WORKDAY(DATE("20"&amp;MID(A3,LEN(A3)-3,2),RIGHT(A3,2),IF(RIGHT(A3,4)="1201","13","15")),1,Holiday),DATE("20"&amp;MID(A3,LEN(A3)-3,2),RIGHT(A3,2),IF(RIGHT(A3,4)="1201","13","15"))))</f>
        <v>42200</v>
      </c>
      <c r="D3" s="11">
        <f ca="1">IF(CTP=1,WORKDAY(上海期货交易所!D3,-1,Holiday)+1,WORKDAY(上海期货交易所!D3,0-全局参数,Holiday))</f>
        <v>42153</v>
      </c>
      <c r="E3" s="11">
        <f ca="1">IF(CTP=1,WORKDAY(上海期货交易所!E3,-1,Holiday)+1,WORKDAY(上海期货交易所!E3,0-全局参数,Holiday))</f>
        <v>42185</v>
      </c>
      <c r="F3" s="18">
        <f ca="1">IF(CTP=1,WORKDAY(上海期货交易所!F3,-1,Holiday)+1,WORKDAY(上海期货交易所!F3,0-全局参数,Holiday))</f>
        <v>42195</v>
      </c>
      <c r="G3" s="18">
        <f t="shared" ref="G3:G16" ca="1" si="3">WORKDAY(C3,-5,Holiday)</f>
        <v>42193</v>
      </c>
      <c r="AA3" t="str">
        <f t="shared" ca="1" si="0"/>
        <v/>
      </c>
    </row>
    <row r="4" spans="1:27" x14ac:dyDescent="0.15">
      <c r="A4" s="22" t="str">
        <f ca="1">"Cu"&amp;TEXT(DATE("20"&amp;MID(A3,LEN(A3)-3,2),RIGHT(A3,2)+1,"15"),"yymm")</f>
        <v>Cu1508</v>
      </c>
      <c r="B4" s="12">
        <f t="shared" ca="1" si="1"/>
        <v>41869</v>
      </c>
      <c r="C4" s="12">
        <f t="shared" ca="1" si="2"/>
        <v>42233</v>
      </c>
      <c r="D4" s="12">
        <f ca="1">IF(CTP=1,WORKDAY(上海期货交易所!D4,-1,Holiday)+1,WORKDAY(上海期货交易所!D4,0-全局参数,Holiday))</f>
        <v>42185</v>
      </c>
      <c r="E4" s="12">
        <f ca="1">IF(CTP=1,WORKDAY(上海期货交易所!E4,-1,Holiday)+1,WORKDAY(上海期货交易所!E4,0-全局参数,Holiday))</f>
        <v>42216</v>
      </c>
      <c r="F4" s="19">
        <f ca="1">IF(CTP=1,WORKDAY(上海期货交易所!F4,-1,Holiday)+1,WORKDAY(上海期货交易所!F4,0-全局参数,Holiday))</f>
        <v>42228</v>
      </c>
      <c r="G4" s="19">
        <f t="shared" ca="1" si="3"/>
        <v>42226</v>
      </c>
      <c r="AA4" t="str">
        <f t="shared" ca="1" si="0"/>
        <v/>
      </c>
    </row>
    <row r="5" spans="1:27" x14ac:dyDescent="0.15">
      <c r="A5" s="21" t="str">
        <f ca="1">"Cu"&amp;TEXT(DATE("20"&amp;MID(A4,LEN(A4)-3,2),RIGHT(A4,2)+1,"15"),"yymm")</f>
        <v>Cu1509</v>
      </c>
      <c r="B5" s="11">
        <f t="shared" ca="1" si="1"/>
        <v>41898</v>
      </c>
      <c r="C5" s="11">
        <f t="shared" ca="1" si="2"/>
        <v>42262</v>
      </c>
      <c r="D5" s="11">
        <f ca="1">IF(CTP=1,WORKDAY(上海期货交易所!D5,-1,Holiday)+1,WORKDAY(上海期货交易所!D5,0-全局参数,Holiday))</f>
        <v>42216</v>
      </c>
      <c r="E5" s="11">
        <f ca="1">IF(CTP=1,WORKDAY(上海期货交易所!E5,-1,Holiday)+1,WORKDAY(上海期货交易所!E5,0-全局参数,Holiday))</f>
        <v>42247</v>
      </c>
      <c r="F5" s="18">
        <f ca="1">IF(CTP=1,WORKDAY(上海期货交易所!F5,-1,Holiday)+1,WORKDAY(上海期货交易所!F5,0-全局参数,Holiday))</f>
        <v>42257</v>
      </c>
      <c r="G5" s="18">
        <f t="shared" ca="1" si="3"/>
        <v>42255</v>
      </c>
      <c r="AA5" t="str">
        <f t="shared" ca="1" si="0"/>
        <v/>
      </c>
    </row>
    <row r="6" spans="1:27" x14ac:dyDescent="0.15">
      <c r="A6" s="22" t="str">
        <f ca="1">"Cu"&amp;TEXT(DATE("20"&amp;MID(A5,LEN(A5)-3,2),RIGHT(A5,2)+1,"15"),"yymm")</f>
        <v>Cu1510</v>
      </c>
      <c r="B6" s="12">
        <f t="shared" ca="1" si="1"/>
        <v>41928</v>
      </c>
      <c r="C6" s="12">
        <f t="shared" ca="1" si="2"/>
        <v>42292</v>
      </c>
      <c r="D6" s="12">
        <f ca="1">IF(CTP=1,WORKDAY(上海期货交易所!D6,-1,Holiday)+1,WORKDAY(上海期货交易所!D6,0-全局参数,Holiday))</f>
        <v>42247</v>
      </c>
      <c r="E6" s="12">
        <f ca="1">IF(CTP=1,WORKDAY(上海期货交易所!E6,-1,Holiday)+1,WORKDAY(上海期货交易所!E6,0-全局参数,Holiday))</f>
        <v>42277</v>
      </c>
      <c r="F6" s="19">
        <f ca="1">IF(CTP=1,WORKDAY(上海期货交易所!F6,-1,Holiday)+1,WORKDAY(上海期货交易所!F6,0-全局参数,Holiday))</f>
        <v>42289</v>
      </c>
      <c r="G6" s="19">
        <f t="shared" ca="1" si="3"/>
        <v>42285</v>
      </c>
      <c r="AA6" t="str">
        <f t="shared" ca="1" si="0"/>
        <v/>
      </c>
    </row>
    <row r="7" spans="1:27" x14ac:dyDescent="0.15">
      <c r="A7" s="21" t="str">
        <f t="shared" ref="A7:A16" ca="1" si="4">"Cu"&amp;TEXT(DATE("20"&amp;MID(A6,LEN(A6)-3,2),RIGHT(A6,2)+1,"15"),"yymm")</f>
        <v>Cu1511</v>
      </c>
      <c r="B7" s="11">
        <f t="shared" ca="1" si="1"/>
        <v>41961</v>
      </c>
      <c r="C7" s="11">
        <f t="shared" ca="1" si="2"/>
        <v>42324</v>
      </c>
      <c r="D7" s="11">
        <f ca="1">IF(CTP=1,WORKDAY(上海期货交易所!D7,-1,Holiday)+1,WORKDAY(上海期货交易所!D7,0-全局参数,Holiday))</f>
        <v>42277</v>
      </c>
      <c r="E7" s="11">
        <f ca="1">IF(CTP=1,WORKDAY(上海期货交易所!E7,-1,Holiday)+1,WORKDAY(上海期货交易所!E7,0-全局参数,Holiday))</f>
        <v>42307</v>
      </c>
      <c r="F7" s="18">
        <f ca="1">IF(CTP=1,WORKDAY(上海期货交易所!F7,-1,Holiday)+1,WORKDAY(上海期货交易所!F7,0-全局参数,Holiday))</f>
        <v>42319</v>
      </c>
      <c r="G7" s="18">
        <f t="shared" ca="1" si="3"/>
        <v>42317</v>
      </c>
      <c r="AA7" t="str">
        <f t="shared" ca="1" si="0"/>
        <v/>
      </c>
    </row>
    <row r="8" spans="1:27" x14ac:dyDescent="0.15">
      <c r="A8" s="22" t="str">
        <f t="shared" ca="1" si="4"/>
        <v>Cu1512</v>
      </c>
      <c r="B8" s="12">
        <f t="shared" ca="1" si="1"/>
        <v>41989</v>
      </c>
      <c r="C8" s="12">
        <f t="shared" ca="1" si="2"/>
        <v>42353</v>
      </c>
      <c r="D8" s="12">
        <f ca="1">IF(CTP=1,WORKDAY(上海期货交易所!D8,-1,Holiday)+1,WORKDAY(上海期货交易所!D8,0-全局参数,Holiday))</f>
        <v>42307</v>
      </c>
      <c r="E8" s="12">
        <f ca="1">IF(CTP=1,WORKDAY(上海期货交易所!E8,-1,Holiday)+1,WORKDAY(上海期货交易所!E8,0-全局参数,Holiday))</f>
        <v>42338</v>
      </c>
      <c r="F8" s="19">
        <f ca="1">IF(CTP=1,WORKDAY(上海期货交易所!F8,-1,Holiday)+1,WORKDAY(上海期货交易所!F8,0-全局参数,Holiday))</f>
        <v>42348</v>
      </c>
      <c r="G8" s="19">
        <f t="shared" ca="1" si="3"/>
        <v>42346</v>
      </c>
      <c r="AA8" t="str">
        <f t="shared" ca="1" si="0"/>
        <v/>
      </c>
    </row>
    <row r="9" spans="1:27" x14ac:dyDescent="0.15">
      <c r="A9" s="21" t="str">
        <f t="shared" ca="1" si="4"/>
        <v>Cu1601</v>
      </c>
      <c r="B9" s="11">
        <f t="shared" ca="1" si="1"/>
        <v>42020</v>
      </c>
      <c r="C9" s="11">
        <f t="shared" ca="1" si="2"/>
        <v>42384</v>
      </c>
      <c r="D9" s="11">
        <f ca="1">IF(CTP=1,WORKDAY(上海期货交易所!D9,-1,Holiday)+1,WORKDAY(上海期货交易所!D9,0-全局参数,Holiday))</f>
        <v>42338</v>
      </c>
      <c r="E9" s="11">
        <f ca="1">IF(CTP=1,WORKDAY(上海期货交易所!E9,-1,Holiday)+1,WORKDAY(上海期货交易所!E9,0-全局参数,Holiday))</f>
        <v>42369</v>
      </c>
      <c r="F9" s="18">
        <f ca="1">IF(CTP=1,WORKDAY(上海期货交易所!F9,-1,Holiday)+1,WORKDAY(上海期货交易所!F9,0-全局参数,Holiday))</f>
        <v>42381</v>
      </c>
      <c r="G9" s="18">
        <f t="shared" ca="1" si="3"/>
        <v>42377</v>
      </c>
      <c r="AA9" t="str">
        <f t="shared" ca="1" si="0"/>
        <v/>
      </c>
    </row>
    <row r="10" spans="1:27" x14ac:dyDescent="0.15">
      <c r="A10" s="22" t="str">
        <f t="shared" ca="1" si="4"/>
        <v>Cu1602</v>
      </c>
      <c r="B10" s="12">
        <f t="shared" ca="1" si="1"/>
        <v>42051</v>
      </c>
      <c r="C10" s="12">
        <f t="shared" ca="1" si="2"/>
        <v>42415</v>
      </c>
      <c r="D10" s="12">
        <f ca="1">IF(CTP=1,WORKDAY(上海期货交易所!D10,-1,Holiday)+1,WORKDAY(上海期货交易所!D10,0-全局参数,Holiday))</f>
        <v>42369</v>
      </c>
      <c r="E10" s="12">
        <f ca="1">IF(CTP=1,WORKDAY(上海期货交易所!E10,-1,Holiday)+1,WORKDAY(上海期货交易所!E10,0-全局参数,Holiday))</f>
        <v>42398</v>
      </c>
      <c r="F10" s="19">
        <f ca="1">IF(CTP=1,WORKDAY(上海期货交易所!F10,-1,Holiday)+1,WORKDAY(上海期货交易所!F10,0-全局参数,Holiday))</f>
        <v>42410</v>
      </c>
      <c r="G10" s="19">
        <f t="shared" ca="1" si="3"/>
        <v>42408</v>
      </c>
      <c r="AA10" t="str">
        <f t="shared" ca="1" si="0"/>
        <v/>
      </c>
    </row>
    <row r="11" spans="1:27" x14ac:dyDescent="0.15">
      <c r="A11" s="21" t="str">
        <f t="shared" ca="1" si="4"/>
        <v>Cu1603</v>
      </c>
      <c r="B11" s="11">
        <f t="shared" ca="1" si="1"/>
        <v>42080</v>
      </c>
      <c r="C11" s="11">
        <f t="shared" ca="1" si="2"/>
        <v>42444</v>
      </c>
      <c r="D11" s="11">
        <f ca="1">IF(CTP=1,WORKDAY(上海期货交易所!D11,-1,Holiday)+1,WORKDAY(上海期货交易所!D11,0-全局参数,Holiday))</f>
        <v>42398</v>
      </c>
      <c r="E11" s="11">
        <f ca="1">IF(CTP=1,WORKDAY(上海期货交易所!E11,-1,Holiday)+1,WORKDAY(上海期货交易所!E11,0-全局参数,Holiday))</f>
        <v>42429</v>
      </c>
      <c r="F11" s="18">
        <f ca="1">IF(CTP=1,WORKDAY(上海期货交易所!F11,-1,Holiday)+1,WORKDAY(上海期货交易所!F11,0-全局参数,Holiday))</f>
        <v>42439</v>
      </c>
      <c r="G11" s="18">
        <f t="shared" ca="1" si="3"/>
        <v>42437</v>
      </c>
      <c r="AA11" t="str">
        <f t="shared" ca="1" si="0"/>
        <v/>
      </c>
    </row>
    <row r="12" spans="1:27" x14ac:dyDescent="0.15">
      <c r="A12" s="22" t="str">
        <f t="shared" ca="1" si="4"/>
        <v>Cu1604</v>
      </c>
      <c r="B12" s="12">
        <f t="shared" ca="1" si="1"/>
        <v>42110</v>
      </c>
      <c r="C12" s="12">
        <f t="shared" ca="1" si="2"/>
        <v>42475</v>
      </c>
      <c r="D12" s="12">
        <f ca="1">IF(CTP=1,WORKDAY(上海期货交易所!D12,-1,Holiday)+1,WORKDAY(上海期货交易所!D12,0-全局参数,Holiday))</f>
        <v>42429</v>
      </c>
      <c r="E12" s="12">
        <f ca="1">IF(CTP=1,WORKDAY(上海期货交易所!E12,-1,Holiday)+1,WORKDAY(上海期货交易所!E12,0-全局参数,Holiday))</f>
        <v>42460</v>
      </c>
      <c r="F12" s="19">
        <f ca="1">IF(CTP=1,WORKDAY(上海期货交易所!F12,-1,Holiday)+1,WORKDAY(上海期货交易所!F12,0-全局参数,Holiday))</f>
        <v>42472</v>
      </c>
      <c r="G12" s="19">
        <f t="shared" ca="1" si="3"/>
        <v>42468</v>
      </c>
      <c r="AA12" t="str">
        <f t="shared" ca="1" si="0"/>
        <v/>
      </c>
    </row>
    <row r="13" spans="1:27" x14ac:dyDescent="0.15">
      <c r="A13" s="21" t="str">
        <f t="shared" ca="1" si="4"/>
        <v>Cu1605</v>
      </c>
      <c r="B13" s="11">
        <f t="shared" ca="1" si="1"/>
        <v>42142</v>
      </c>
      <c r="C13" s="11">
        <f t="shared" ca="1" si="2"/>
        <v>42506</v>
      </c>
      <c r="D13" s="11">
        <f ca="1">IF(CTP=1,WORKDAY(上海期货交易所!D13,-1,Holiday)+1,WORKDAY(上海期货交易所!D13,0-全局参数,Holiday))</f>
        <v>42460</v>
      </c>
      <c r="E13" s="11">
        <f ca="1">IF(CTP=1,WORKDAY(上海期货交易所!E13,-1,Holiday)+1,WORKDAY(上海期货交易所!E13,0-全局参数,Holiday))</f>
        <v>42489</v>
      </c>
      <c r="F13" s="18">
        <f ca="1">IF(CTP=1,WORKDAY(上海期货交易所!F13,-1,Holiday)+1,WORKDAY(上海期货交易所!F13,0-全局参数,Holiday))</f>
        <v>42501</v>
      </c>
      <c r="G13" s="18">
        <f t="shared" ca="1" si="3"/>
        <v>42499</v>
      </c>
      <c r="AA13" t="str">
        <f t="shared" ca="1" si="0"/>
        <v/>
      </c>
    </row>
    <row r="14" spans="1:27" x14ac:dyDescent="0.15">
      <c r="A14" s="22" t="str">
        <f t="shared" ca="1" si="4"/>
        <v>Cu1606</v>
      </c>
      <c r="B14" s="12">
        <f t="shared" ca="1" si="1"/>
        <v>42171</v>
      </c>
      <c r="C14" s="12">
        <f t="shared" ca="1" si="2"/>
        <v>42536</v>
      </c>
      <c r="D14" s="12">
        <f ca="1">IF(CTP=1,WORKDAY(上海期货交易所!D14,-1,Holiday)+1,WORKDAY(上海期货交易所!D14,0-全局参数,Holiday))</f>
        <v>42489</v>
      </c>
      <c r="E14" s="12">
        <f ca="1">IF(CTP=1,WORKDAY(上海期货交易所!E14,-1,Holiday)+1,WORKDAY(上海期货交易所!E14,0-全局参数,Holiday))</f>
        <v>42521</v>
      </c>
      <c r="F14" s="19">
        <f ca="1">IF(CTP=1,WORKDAY(上海期货交易所!F14,-1,Holiday)+1,WORKDAY(上海期货交易所!F14,0-全局参数,Holiday))</f>
        <v>42531</v>
      </c>
      <c r="G14" s="19">
        <f t="shared" ca="1" si="3"/>
        <v>42529</v>
      </c>
      <c r="AA14" t="str">
        <f t="shared" ca="1" si="0"/>
        <v/>
      </c>
    </row>
    <row r="15" spans="1:27" x14ac:dyDescent="0.15">
      <c r="A15" s="21" t="str">
        <f t="shared" ca="1" si="4"/>
        <v>Cu1607</v>
      </c>
      <c r="B15" s="11">
        <f t="shared" ca="1" si="1"/>
        <v>42201</v>
      </c>
      <c r="C15" s="11">
        <f t="shared" ca="1" si="2"/>
        <v>42566</v>
      </c>
      <c r="D15" s="11">
        <f ca="1">IF(CTP=1,WORKDAY(上海期货交易所!D15,-1,Holiday)+1,WORKDAY(上海期货交易所!D15,0-全局参数,Holiday))</f>
        <v>42521</v>
      </c>
      <c r="E15" s="11">
        <f ca="1">IF(CTP=1,WORKDAY(上海期货交易所!E15,-1,Holiday)+1,WORKDAY(上海期货交易所!E15,0-全局参数,Holiday))</f>
        <v>42551</v>
      </c>
      <c r="F15" s="18">
        <f ca="1">IF(CTP=1,WORKDAY(上海期货交易所!F15,-1,Holiday)+1,WORKDAY(上海期货交易所!F15,0-全局参数,Holiday))</f>
        <v>42563</v>
      </c>
      <c r="G15" s="18">
        <f t="shared" ca="1" si="3"/>
        <v>42559</v>
      </c>
      <c r="AA15" t="str">
        <f t="shared" ca="1" si="0"/>
        <v/>
      </c>
    </row>
    <row r="16" spans="1:27" x14ac:dyDescent="0.15">
      <c r="A16" s="22" t="str">
        <f t="shared" ca="1" si="4"/>
        <v>Cu1608</v>
      </c>
      <c r="B16" s="12">
        <f t="shared" ca="1" si="1"/>
        <v>42234</v>
      </c>
      <c r="C16" s="12">
        <f t="shared" ca="1" si="2"/>
        <v>42597</v>
      </c>
      <c r="D16" s="12">
        <f ca="1">IF(CTP=1,WORKDAY(上海期货交易所!D16,-1,Holiday)+1,WORKDAY(上海期货交易所!D16,0-全局参数,Holiday))</f>
        <v>42551</v>
      </c>
      <c r="E16" s="12">
        <f ca="1">IF(CTP=1,WORKDAY(上海期货交易所!E16,-1,Holiday)+1,WORKDAY(上海期货交易所!E16,0-全局参数,Holiday))</f>
        <v>42580</v>
      </c>
      <c r="F16" s="19">
        <f ca="1">IF(CTP=1,WORKDAY(上海期货交易所!F16,-1,Holiday)+1,WORKDAY(上海期货交易所!F16,0-全局参数,Holiday))</f>
        <v>42592</v>
      </c>
      <c r="G16" s="19">
        <f t="shared" ca="1" si="3"/>
        <v>42590</v>
      </c>
      <c r="AA16" t="str">
        <f t="shared" ca="1" si="0"/>
        <v/>
      </c>
    </row>
    <row r="17" spans="1:27" x14ac:dyDescent="0.15">
      <c r="D17" s="7" t="s">
        <v>39</v>
      </c>
      <c r="AA17" t="str">
        <f t="shared" ca="1" si="0"/>
        <v/>
      </c>
    </row>
    <row r="18" spans="1:27" x14ac:dyDescent="0.15">
      <c r="AA18" t="str">
        <f t="shared" ca="1" si="0"/>
        <v/>
      </c>
    </row>
    <row r="19" spans="1:27" x14ac:dyDescent="0.15">
      <c r="A19" s="48" t="str">
        <f>"锌Zn"&amp;TEXT(锌Zn,"#%")</f>
        <v>锌Zn6%</v>
      </c>
      <c r="B19" s="49"/>
      <c r="C19" s="49"/>
      <c r="D19" s="49"/>
      <c r="E19" s="49"/>
      <c r="F19" s="49"/>
      <c r="G19" s="50"/>
      <c r="AA19" t="str">
        <f t="shared" ca="1" si="0"/>
        <v/>
      </c>
    </row>
    <row r="20" spans="1:27" ht="17.25" thickBot="1" x14ac:dyDescent="0.2">
      <c r="A20" s="20"/>
      <c r="B20" s="29" t="s">
        <v>46</v>
      </c>
      <c r="C20" s="9" t="s">
        <v>1</v>
      </c>
      <c r="D20" s="10">
        <v>0.1</v>
      </c>
      <c r="E20" s="10">
        <v>0.15</v>
      </c>
      <c r="F20" s="10">
        <v>0.2</v>
      </c>
      <c r="G20" s="20" t="s">
        <v>73</v>
      </c>
      <c r="AA20" t="str">
        <f t="shared" ca="1" si="0"/>
        <v/>
      </c>
    </row>
    <row r="21" spans="1:27" x14ac:dyDescent="0.15">
      <c r="A21" s="21" t="str">
        <f ca="1">"Zn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Zn1507</v>
      </c>
      <c r="B21" s="11">
        <f t="shared" ref="B21:B34" ca="1" si="5">IF(RIGHT(A21,4)="1602",DATE(2015,2,16),WORKDAY(IF(NETWORKDAYS(DATE("20"&amp;(MID(A21,LEN(A21)-3,2)-1),RIGHT(A21,2),IF(RIGHT(A21,4)="1201","13","15")),DATE("20"&amp;(MID(A21,LEN(A21)-3,2)-1),RIGHT(A21,2),IF(RIGHT(A21,4)="1201","13","15")),Holiday)=0,WORKDAY(DATE("20"&amp;(MID(A21,LEN(A21)-3,2)-1),RIGHT(A21,2),IF(RIGHT(A21,4)="1201","13","15")),1,Holiday),DATE("20"&amp;(MID(A21,LEN(A21)-3,2)-1),RIGHT(A21,2),IF(RIGHT(A21,4)="1201","13","15"))),1,Holiday))</f>
        <v>41836</v>
      </c>
      <c r="C21" s="11">
        <f t="shared" ref="C21:C34" ca="1" si="6">IF(RIGHT(A21,4)="1502",DATE(2015,2,10),IF(NETWORKDAYS(DATE("20"&amp;MID(A21,LEN(A21)-3,2),RIGHT(A21,2),IF(RIGHT(A21,4)="1201","13","15")),DATE("20"&amp;MID(A21,LEN(A21)-3,2),RIGHT(A21,2),IF(RIGHT(A21,4)="1201","13","15")),Holiday)=0,WORKDAY(DATE("20"&amp;MID(A21,LEN(A21)-3,2),RIGHT(A21,2),IF(RIGHT(A21,4)="1201","13","15")),1,Holiday),DATE("20"&amp;MID(A21,LEN(A21)-3,2),RIGHT(A21,2),IF(RIGHT(A21,4)="1201","13","15"))))</f>
        <v>42200</v>
      </c>
      <c r="D21" s="11">
        <f ca="1">IF(CTP=1,WORKDAY(上海期货交易所!D21,-1,Holiday)+1,WORKDAY(上海期货交易所!D21,0-全局参数,Holiday))</f>
        <v>42153</v>
      </c>
      <c r="E21" s="11">
        <f ca="1">IF(CTP=1,WORKDAY(上海期货交易所!E21,-1,Holiday)+1,WORKDAY(上海期货交易所!E21,0-全局参数,Holiday))</f>
        <v>42185</v>
      </c>
      <c r="F21" s="11">
        <f ca="1">IF(CTP=1,WORKDAY(上海期货交易所!F21,-1,Holiday)+1,WORKDAY(上海期货交易所!F21,0-全局参数,Holiday))</f>
        <v>42195</v>
      </c>
      <c r="G21" s="18">
        <f t="shared" ref="G21:G34" ca="1" si="7">WORKDAY(C21,-5,Holiday)</f>
        <v>42193</v>
      </c>
      <c r="AA21" t="str">
        <f t="shared" ca="1" si="0"/>
        <v/>
      </c>
    </row>
    <row r="22" spans="1:27" x14ac:dyDescent="0.15">
      <c r="A22" s="22" t="str">
        <f ca="1">"Zn"&amp;TEXT(DATE("20"&amp;MID(A21,LEN(A21)-3,2),RIGHT(A21,2)+1,"15"),"yymm")</f>
        <v>Zn1508</v>
      </c>
      <c r="B22" s="12">
        <f t="shared" ca="1" si="5"/>
        <v>41869</v>
      </c>
      <c r="C22" s="12">
        <f t="shared" ca="1" si="6"/>
        <v>42233</v>
      </c>
      <c r="D22" s="12">
        <f ca="1">IF(CTP=1,WORKDAY(上海期货交易所!D22,-1,Holiday)+1,WORKDAY(上海期货交易所!D22,0-全局参数,Holiday))</f>
        <v>42185</v>
      </c>
      <c r="E22" s="12">
        <f ca="1">IF(CTP=1,WORKDAY(上海期货交易所!E22,-1,Holiday)+1,WORKDAY(上海期货交易所!E22,0-全局参数,Holiday))</f>
        <v>42216</v>
      </c>
      <c r="F22" s="12">
        <f ca="1">IF(CTP=1,WORKDAY(上海期货交易所!F22,-1,Holiday)+1,WORKDAY(上海期货交易所!F22,0-全局参数,Holiday))</f>
        <v>42228</v>
      </c>
      <c r="G22" s="19">
        <f t="shared" ca="1" si="7"/>
        <v>42226</v>
      </c>
      <c r="AA22" t="str">
        <f t="shared" ca="1" si="0"/>
        <v/>
      </c>
    </row>
    <row r="23" spans="1:27" x14ac:dyDescent="0.15">
      <c r="A23" s="21" t="str">
        <f t="shared" ref="A23:A34" ca="1" si="8">"Zn"&amp;TEXT(DATE("20"&amp;MID(A22,LEN(A22)-3,2),RIGHT(A22,2)+1,"15"),"yymm")</f>
        <v>Zn1509</v>
      </c>
      <c r="B23" s="11">
        <f t="shared" ca="1" si="5"/>
        <v>41898</v>
      </c>
      <c r="C23" s="11">
        <f t="shared" ca="1" si="6"/>
        <v>42262</v>
      </c>
      <c r="D23" s="11">
        <f ca="1">IF(CTP=1,WORKDAY(上海期货交易所!D23,-1,Holiday)+1,WORKDAY(上海期货交易所!D23,0-全局参数,Holiday))</f>
        <v>42216</v>
      </c>
      <c r="E23" s="11">
        <f ca="1">IF(CTP=1,WORKDAY(上海期货交易所!E23,-1,Holiday)+1,WORKDAY(上海期货交易所!E23,0-全局参数,Holiday))</f>
        <v>42247</v>
      </c>
      <c r="F23" s="11">
        <f ca="1">IF(CTP=1,WORKDAY(上海期货交易所!F23,-1,Holiday)+1,WORKDAY(上海期货交易所!F23,0-全局参数,Holiday))</f>
        <v>42257</v>
      </c>
      <c r="G23" s="18">
        <f t="shared" ca="1" si="7"/>
        <v>42255</v>
      </c>
      <c r="AA23" t="str">
        <f t="shared" ca="1" si="0"/>
        <v/>
      </c>
    </row>
    <row r="24" spans="1:27" x14ac:dyDescent="0.15">
      <c r="A24" s="22" t="str">
        <f t="shared" ca="1" si="8"/>
        <v>Zn1510</v>
      </c>
      <c r="B24" s="12">
        <f t="shared" ca="1" si="5"/>
        <v>41928</v>
      </c>
      <c r="C24" s="12">
        <f t="shared" ca="1" si="6"/>
        <v>42292</v>
      </c>
      <c r="D24" s="12">
        <f ca="1">IF(CTP=1,WORKDAY(上海期货交易所!D24,-1,Holiday)+1,WORKDAY(上海期货交易所!D24,0-全局参数,Holiday))</f>
        <v>42247</v>
      </c>
      <c r="E24" s="12">
        <f ca="1">IF(CTP=1,WORKDAY(上海期货交易所!E24,-1,Holiday)+1,WORKDAY(上海期货交易所!E24,0-全局参数,Holiday))</f>
        <v>42277</v>
      </c>
      <c r="F24" s="12">
        <f ca="1">IF(CTP=1,WORKDAY(上海期货交易所!F24,-1,Holiday)+1,WORKDAY(上海期货交易所!F24,0-全局参数,Holiday))</f>
        <v>42289</v>
      </c>
      <c r="G24" s="19">
        <f t="shared" ca="1" si="7"/>
        <v>42285</v>
      </c>
      <c r="AA24" t="str">
        <f t="shared" ca="1" si="0"/>
        <v/>
      </c>
    </row>
    <row r="25" spans="1:27" x14ac:dyDescent="0.15">
      <c r="A25" s="21" t="str">
        <f t="shared" ca="1" si="8"/>
        <v>Zn1511</v>
      </c>
      <c r="B25" s="11">
        <f t="shared" ca="1" si="5"/>
        <v>41961</v>
      </c>
      <c r="C25" s="11">
        <f t="shared" ca="1" si="6"/>
        <v>42324</v>
      </c>
      <c r="D25" s="11">
        <f ca="1">IF(CTP=1,WORKDAY(上海期货交易所!D25,-1,Holiday)+1,WORKDAY(上海期货交易所!D25,0-全局参数,Holiday))</f>
        <v>42277</v>
      </c>
      <c r="E25" s="11">
        <f ca="1">IF(CTP=1,WORKDAY(上海期货交易所!E25,-1,Holiday)+1,WORKDAY(上海期货交易所!E25,0-全局参数,Holiday))</f>
        <v>42307</v>
      </c>
      <c r="F25" s="11">
        <f ca="1">IF(CTP=1,WORKDAY(上海期货交易所!F25,-1,Holiday)+1,WORKDAY(上海期货交易所!F25,0-全局参数,Holiday))</f>
        <v>42319</v>
      </c>
      <c r="G25" s="18">
        <f t="shared" ca="1" si="7"/>
        <v>42317</v>
      </c>
      <c r="AA25" t="str">
        <f t="shared" ca="1" si="0"/>
        <v/>
      </c>
    </row>
    <row r="26" spans="1:27" x14ac:dyDescent="0.15">
      <c r="A26" s="22" t="str">
        <f t="shared" ca="1" si="8"/>
        <v>Zn1512</v>
      </c>
      <c r="B26" s="12">
        <f t="shared" ca="1" si="5"/>
        <v>41989</v>
      </c>
      <c r="C26" s="12">
        <f t="shared" ca="1" si="6"/>
        <v>42353</v>
      </c>
      <c r="D26" s="12">
        <f ca="1">IF(CTP=1,WORKDAY(上海期货交易所!D26,-1,Holiday)+1,WORKDAY(上海期货交易所!D26,0-全局参数,Holiday))</f>
        <v>42307</v>
      </c>
      <c r="E26" s="12">
        <f ca="1">IF(CTP=1,WORKDAY(上海期货交易所!E26,-1,Holiday)+1,WORKDAY(上海期货交易所!E26,0-全局参数,Holiday))</f>
        <v>42338</v>
      </c>
      <c r="F26" s="12">
        <f ca="1">IF(CTP=1,WORKDAY(上海期货交易所!F26,-1,Holiday)+1,WORKDAY(上海期货交易所!F26,0-全局参数,Holiday))</f>
        <v>42348</v>
      </c>
      <c r="G26" s="19">
        <f t="shared" ca="1" si="7"/>
        <v>42346</v>
      </c>
      <c r="AA26" t="str">
        <f t="shared" ca="1" si="0"/>
        <v/>
      </c>
    </row>
    <row r="27" spans="1:27" x14ac:dyDescent="0.15">
      <c r="A27" s="21" t="str">
        <f t="shared" ca="1" si="8"/>
        <v>Zn1601</v>
      </c>
      <c r="B27" s="11">
        <f t="shared" ca="1" si="5"/>
        <v>42020</v>
      </c>
      <c r="C27" s="11">
        <f t="shared" ca="1" si="6"/>
        <v>42384</v>
      </c>
      <c r="D27" s="11">
        <f ca="1">IF(CTP=1,WORKDAY(上海期货交易所!D27,-1,Holiday)+1,WORKDAY(上海期货交易所!D27,0-全局参数,Holiday))</f>
        <v>42338</v>
      </c>
      <c r="E27" s="11">
        <f ca="1">IF(CTP=1,WORKDAY(上海期货交易所!E27,-1,Holiday)+1,WORKDAY(上海期货交易所!E27,0-全局参数,Holiday))</f>
        <v>42369</v>
      </c>
      <c r="F27" s="11">
        <f ca="1">IF(CTP=1,WORKDAY(上海期货交易所!F27,-1,Holiday)+1,WORKDAY(上海期货交易所!F27,0-全局参数,Holiday))</f>
        <v>42381</v>
      </c>
      <c r="G27" s="18">
        <f t="shared" ca="1" si="7"/>
        <v>42377</v>
      </c>
      <c r="AA27" t="str">
        <f t="shared" ca="1" si="0"/>
        <v/>
      </c>
    </row>
    <row r="28" spans="1:27" x14ac:dyDescent="0.15">
      <c r="A28" s="22" t="str">
        <f t="shared" ca="1" si="8"/>
        <v>Zn1602</v>
      </c>
      <c r="B28" s="12">
        <f t="shared" ca="1" si="5"/>
        <v>42051</v>
      </c>
      <c r="C28" s="12">
        <f t="shared" ca="1" si="6"/>
        <v>42415</v>
      </c>
      <c r="D28" s="12">
        <f ca="1">IF(CTP=1,WORKDAY(上海期货交易所!D28,-1,Holiday)+1,WORKDAY(上海期货交易所!D28,0-全局参数,Holiday))</f>
        <v>42369</v>
      </c>
      <c r="E28" s="12">
        <f ca="1">IF(CTP=1,WORKDAY(上海期货交易所!E28,-1,Holiday)+1,WORKDAY(上海期货交易所!E28,0-全局参数,Holiday))</f>
        <v>42398</v>
      </c>
      <c r="F28" s="12">
        <f ca="1">IF(CTP=1,WORKDAY(上海期货交易所!F28,-1,Holiday)+1,WORKDAY(上海期货交易所!F28,0-全局参数,Holiday))</f>
        <v>42410</v>
      </c>
      <c r="G28" s="19">
        <f t="shared" ca="1" si="7"/>
        <v>42408</v>
      </c>
      <c r="AA28" t="str">
        <f t="shared" ca="1" si="0"/>
        <v/>
      </c>
    </row>
    <row r="29" spans="1:27" x14ac:dyDescent="0.15">
      <c r="A29" s="21" t="str">
        <f t="shared" ca="1" si="8"/>
        <v>Zn1603</v>
      </c>
      <c r="B29" s="11">
        <f t="shared" ca="1" si="5"/>
        <v>42080</v>
      </c>
      <c r="C29" s="11">
        <f t="shared" ca="1" si="6"/>
        <v>42444</v>
      </c>
      <c r="D29" s="11">
        <f ca="1">IF(CTP=1,WORKDAY(上海期货交易所!D29,-1,Holiday)+1,WORKDAY(上海期货交易所!D29,0-全局参数,Holiday))</f>
        <v>42398</v>
      </c>
      <c r="E29" s="11">
        <f ca="1">IF(CTP=1,WORKDAY(上海期货交易所!E29,-1,Holiday)+1,WORKDAY(上海期货交易所!E29,0-全局参数,Holiday))</f>
        <v>42429</v>
      </c>
      <c r="F29" s="11">
        <f ca="1">IF(CTP=1,WORKDAY(上海期货交易所!F29,-1,Holiday)+1,WORKDAY(上海期货交易所!F29,0-全局参数,Holiday))</f>
        <v>42439</v>
      </c>
      <c r="G29" s="18">
        <f t="shared" ca="1" si="7"/>
        <v>42437</v>
      </c>
      <c r="AA29" t="str">
        <f t="shared" ca="1" si="0"/>
        <v/>
      </c>
    </row>
    <row r="30" spans="1:27" x14ac:dyDescent="0.15">
      <c r="A30" s="22" t="str">
        <f t="shared" ca="1" si="8"/>
        <v>Zn1604</v>
      </c>
      <c r="B30" s="12">
        <f t="shared" ca="1" si="5"/>
        <v>42110</v>
      </c>
      <c r="C30" s="12">
        <f t="shared" ca="1" si="6"/>
        <v>42475</v>
      </c>
      <c r="D30" s="12">
        <f ca="1">IF(CTP=1,WORKDAY(上海期货交易所!D30,-1,Holiday)+1,WORKDAY(上海期货交易所!D30,0-全局参数,Holiday))</f>
        <v>42429</v>
      </c>
      <c r="E30" s="12">
        <f ca="1">IF(CTP=1,WORKDAY(上海期货交易所!E30,-1,Holiday)+1,WORKDAY(上海期货交易所!E30,0-全局参数,Holiday))</f>
        <v>42460</v>
      </c>
      <c r="F30" s="12">
        <f ca="1">IF(CTP=1,WORKDAY(上海期货交易所!F30,-1,Holiday)+1,WORKDAY(上海期货交易所!F30,0-全局参数,Holiday))</f>
        <v>42472</v>
      </c>
      <c r="G30" s="19">
        <f t="shared" ca="1" si="7"/>
        <v>42468</v>
      </c>
      <c r="AA30" t="str">
        <f t="shared" ca="1" si="0"/>
        <v/>
      </c>
    </row>
    <row r="31" spans="1:27" x14ac:dyDescent="0.15">
      <c r="A31" s="21" t="str">
        <f t="shared" ca="1" si="8"/>
        <v>Zn1605</v>
      </c>
      <c r="B31" s="11">
        <f t="shared" ca="1" si="5"/>
        <v>42142</v>
      </c>
      <c r="C31" s="11">
        <f t="shared" ca="1" si="6"/>
        <v>42506</v>
      </c>
      <c r="D31" s="11">
        <f ca="1">IF(CTP=1,WORKDAY(上海期货交易所!D31,-1,Holiday)+1,WORKDAY(上海期货交易所!D31,0-全局参数,Holiday))</f>
        <v>42460</v>
      </c>
      <c r="E31" s="11">
        <f ca="1">IF(CTP=1,WORKDAY(上海期货交易所!E31,-1,Holiday)+1,WORKDAY(上海期货交易所!E31,0-全局参数,Holiday))</f>
        <v>42489</v>
      </c>
      <c r="F31" s="11">
        <f ca="1">IF(CTP=1,WORKDAY(上海期货交易所!F31,-1,Holiday)+1,WORKDAY(上海期货交易所!F31,0-全局参数,Holiday))</f>
        <v>42501</v>
      </c>
      <c r="G31" s="18">
        <f t="shared" ca="1" si="7"/>
        <v>42499</v>
      </c>
      <c r="AA31" t="str">
        <f t="shared" ca="1" si="0"/>
        <v/>
      </c>
    </row>
    <row r="32" spans="1:27" x14ac:dyDescent="0.15">
      <c r="A32" s="22" t="str">
        <f t="shared" ca="1" si="8"/>
        <v>Zn1606</v>
      </c>
      <c r="B32" s="12">
        <f t="shared" ca="1" si="5"/>
        <v>42171</v>
      </c>
      <c r="C32" s="12">
        <f t="shared" ca="1" si="6"/>
        <v>42536</v>
      </c>
      <c r="D32" s="12">
        <f ca="1">IF(CTP=1,WORKDAY(上海期货交易所!D32,-1,Holiday)+1,WORKDAY(上海期货交易所!D32,0-全局参数,Holiday))</f>
        <v>42489</v>
      </c>
      <c r="E32" s="12">
        <f ca="1">IF(CTP=1,WORKDAY(上海期货交易所!E32,-1,Holiday)+1,WORKDAY(上海期货交易所!E32,0-全局参数,Holiday))</f>
        <v>42521</v>
      </c>
      <c r="F32" s="12">
        <f ca="1">IF(CTP=1,WORKDAY(上海期货交易所!F32,-1,Holiday)+1,WORKDAY(上海期货交易所!F32,0-全局参数,Holiday))</f>
        <v>42531</v>
      </c>
      <c r="G32" s="19">
        <f t="shared" ca="1" si="7"/>
        <v>42529</v>
      </c>
      <c r="AA32" t="str">
        <f t="shared" ca="1" si="0"/>
        <v/>
      </c>
    </row>
    <row r="33" spans="1:27" x14ac:dyDescent="0.15">
      <c r="A33" s="21" t="str">
        <f t="shared" ca="1" si="8"/>
        <v>Zn1607</v>
      </c>
      <c r="B33" s="11">
        <f t="shared" ca="1" si="5"/>
        <v>42201</v>
      </c>
      <c r="C33" s="11">
        <f t="shared" ca="1" si="6"/>
        <v>42566</v>
      </c>
      <c r="D33" s="11">
        <f ca="1">IF(CTP=1,WORKDAY(上海期货交易所!D33,-1,Holiday)+1,WORKDAY(上海期货交易所!D33,0-全局参数,Holiday))</f>
        <v>42521</v>
      </c>
      <c r="E33" s="11">
        <f ca="1">IF(CTP=1,WORKDAY(上海期货交易所!E33,-1,Holiday)+1,WORKDAY(上海期货交易所!E33,0-全局参数,Holiday))</f>
        <v>42551</v>
      </c>
      <c r="F33" s="11">
        <f ca="1">IF(CTP=1,WORKDAY(上海期货交易所!F33,-1,Holiday)+1,WORKDAY(上海期货交易所!F33,0-全局参数,Holiday))</f>
        <v>42563</v>
      </c>
      <c r="G33" s="18">
        <f t="shared" ca="1" si="7"/>
        <v>42559</v>
      </c>
      <c r="AA33" t="str">
        <f t="shared" ca="1" si="0"/>
        <v/>
      </c>
    </row>
    <row r="34" spans="1:27" x14ac:dyDescent="0.15">
      <c r="A34" s="22" t="str">
        <f t="shared" ca="1" si="8"/>
        <v>Zn1608</v>
      </c>
      <c r="B34" s="12">
        <f t="shared" ca="1" si="5"/>
        <v>42234</v>
      </c>
      <c r="C34" s="12">
        <f t="shared" ca="1" si="6"/>
        <v>42597</v>
      </c>
      <c r="D34" s="12">
        <f ca="1">IF(CTP=1,WORKDAY(上海期货交易所!D34,-1,Holiday)+1,WORKDAY(上海期货交易所!D34,0-全局参数,Holiday))</f>
        <v>42551</v>
      </c>
      <c r="E34" s="12">
        <f ca="1">IF(CTP=1,WORKDAY(上海期货交易所!E34,-1,Holiday)+1,WORKDAY(上海期货交易所!E34,0-全局参数,Holiday))</f>
        <v>42580</v>
      </c>
      <c r="F34" s="12">
        <f ca="1">IF(CTP=1,WORKDAY(上海期货交易所!F34,-1,Holiday)+1,WORKDAY(上海期货交易所!F34,0-全局参数,Holiday))</f>
        <v>42592</v>
      </c>
      <c r="G34" s="19">
        <f t="shared" ca="1" si="7"/>
        <v>42590</v>
      </c>
      <c r="AA34" t="str">
        <f t="shared" ca="1" si="0"/>
        <v/>
      </c>
    </row>
    <row r="35" spans="1:27" x14ac:dyDescent="0.15">
      <c r="A35" s="23"/>
      <c r="B35" s="23"/>
      <c r="C35" s="15"/>
      <c r="D35" s="15"/>
      <c r="E35" s="15"/>
      <c r="F35" s="15"/>
      <c r="AA35" t="str">
        <f t="shared" ca="1" si="0"/>
        <v/>
      </c>
    </row>
    <row r="36" spans="1:27" x14ac:dyDescent="0.15">
      <c r="A36" s="23"/>
      <c r="B36" s="23"/>
      <c r="C36" s="15"/>
      <c r="D36" s="15"/>
      <c r="E36" s="15"/>
      <c r="F36" s="15"/>
      <c r="AA36" t="str">
        <f t="shared" ca="1" si="0"/>
        <v/>
      </c>
    </row>
    <row r="37" spans="1:27" x14ac:dyDescent="0.15">
      <c r="A37" s="48" t="str">
        <f>"铝AL"&amp;TEXT(铝AL,"#%")</f>
        <v>铝AL5%</v>
      </c>
      <c r="B37" s="49"/>
      <c r="C37" s="49"/>
      <c r="D37" s="49"/>
      <c r="E37" s="49"/>
      <c r="F37" s="49"/>
      <c r="G37" s="50"/>
      <c r="AA37" t="str">
        <f t="shared" ca="1" si="0"/>
        <v/>
      </c>
    </row>
    <row r="38" spans="1:27" ht="17.25" thickBot="1" x14ac:dyDescent="0.2">
      <c r="A38" s="20"/>
      <c r="B38" s="29" t="s">
        <v>46</v>
      </c>
      <c r="C38" s="13" t="s">
        <v>1</v>
      </c>
      <c r="D38" s="10">
        <v>0.1</v>
      </c>
      <c r="E38" s="10">
        <v>0.15</v>
      </c>
      <c r="F38" s="10">
        <v>0.2</v>
      </c>
      <c r="G38" s="20" t="s">
        <v>73</v>
      </c>
      <c r="AA38" t="str">
        <f t="shared" ca="1" si="0"/>
        <v/>
      </c>
    </row>
    <row r="39" spans="1:27" x14ac:dyDescent="0.15">
      <c r="A39" s="21" t="str">
        <f ca="1">"AL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AL1507</v>
      </c>
      <c r="B39" s="11">
        <f t="shared" ref="B39:B52" ca="1" si="9">IF(RIGHT(A39,4)="1602",DATE(2015,2,16),WORKDAY(IF(NETWORKDAYS(DATE("20"&amp;(MID(A39,LEN(A39)-3,2)-1),RIGHT(A39,2),IF(RIGHT(A39,4)="1201","13","15")),DATE("20"&amp;(MID(A39,LEN(A39)-3,2)-1),RIGHT(A39,2),IF(RIGHT(A39,4)="1201","13","15")),Holiday)=0,WORKDAY(DATE("20"&amp;(MID(A39,LEN(A39)-3,2)-1),RIGHT(A39,2),IF(RIGHT(A39,4)="1201","13","15")),1,Holiday),DATE("20"&amp;(MID(A39,LEN(A39)-3,2)-1),RIGHT(A39,2),IF(RIGHT(A39,4)="1201","13","15"))),1,Holiday))</f>
        <v>41836</v>
      </c>
      <c r="C39" s="11">
        <f t="shared" ref="C39:C52" ca="1" si="10">IF(RIGHT(A39,4)="1502",DATE(2015,2,10),IF(NETWORKDAYS(DATE("20"&amp;MID(A39,LEN(A39)-3,2),RIGHT(A39,2),IF(RIGHT(A39,4)="1201","13","15")),DATE("20"&amp;MID(A39,LEN(A39)-3,2),RIGHT(A39,2),IF(RIGHT(A39,4)="1201","13","15")),Holiday)=0,WORKDAY(DATE("20"&amp;MID(A39,LEN(A39)-3,2),RIGHT(A39,2),IF(RIGHT(A39,4)="1201","13","15")),1,Holiday),DATE("20"&amp;MID(A39,LEN(A39)-3,2),RIGHT(A39,2),IF(RIGHT(A39,4)="1201","13","15"))))</f>
        <v>42200</v>
      </c>
      <c r="D39" s="11">
        <f ca="1">IF(CTP=1,WORKDAY(上海期货交易所!D39,-1,Holiday)+1,WORKDAY(上海期货交易所!D39,0-全局参数,Holiday))</f>
        <v>42153</v>
      </c>
      <c r="E39" s="11">
        <f ca="1">IF(CTP=1,WORKDAY(上海期货交易所!E39,-1,Holiday)+1,WORKDAY(上海期货交易所!E39,0-全局参数,Holiday))</f>
        <v>42185</v>
      </c>
      <c r="F39" s="11">
        <f ca="1">IF(CTP=1,WORKDAY(上海期货交易所!F39,-1,Holiday)+1,WORKDAY(上海期货交易所!F39,0-全局参数,Holiday))</f>
        <v>42195</v>
      </c>
      <c r="G39" s="18">
        <f t="shared" ref="G39:G52" ca="1" si="11">WORKDAY(C39,-5,Holiday)</f>
        <v>42193</v>
      </c>
      <c r="AA39" t="str">
        <f t="shared" ca="1" si="0"/>
        <v/>
      </c>
    </row>
    <row r="40" spans="1:27" x14ac:dyDescent="0.15">
      <c r="A40" s="22" t="str">
        <f ca="1">"AL"&amp;TEXT(DATE("20"&amp;MID(A39,LEN(A39)-3,2),RIGHT(A39,2)+1,"15"),"yymm")</f>
        <v>AL1508</v>
      </c>
      <c r="B40" s="12">
        <f t="shared" ca="1" si="9"/>
        <v>41869</v>
      </c>
      <c r="C40" s="12">
        <f t="shared" ca="1" si="10"/>
        <v>42233</v>
      </c>
      <c r="D40" s="12">
        <f ca="1">IF(CTP=1,WORKDAY(上海期货交易所!D40,-1,Holiday)+1,WORKDAY(上海期货交易所!D40,0-全局参数,Holiday))</f>
        <v>42185</v>
      </c>
      <c r="E40" s="12">
        <f ca="1">IF(CTP=1,WORKDAY(上海期货交易所!E40,-1,Holiday)+1,WORKDAY(上海期货交易所!E40,0-全局参数,Holiday))</f>
        <v>42216</v>
      </c>
      <c r="F40" s="12">
        <f ca="1">IF(CTP=1,WORKDAY(上海期货交易所!F40,-1,Holiday)+1,WORKDAY(上海期货交易所!F40,0-全局参数,Holiday))</f>
        <v>42228</v>
      </c>
      <c r="G40" s="19">
        <f t="shared" ca="1" si="11"/>
        <v>42226</v>
      </c>
      <c r="AA40" t="str">
        <f t="shared" ca="1" si="0"/>
        <v/>
      </c>
    </row>
    <row r="41" spans="1:27" x14ac:dyDescent="0.15">
      <c r="A41" s="21" t="str">
        <f ca="1">"AL"&amp;TEXT(DATE("20"&amp;MID(A40,LEN(A40)-3,2),RIGHT(A40,2)+1,"15"),"yymm")</f>
        <v>AL1509</v>
      </c>
      <c r="B41" s="11">
        <f t="shared" ca="1" si="9"/>
        <v>41898</v>
      </c>
      <c r="C41" s="11">
        <f t="shared" ca="1" si="10"/>
        <v>42262</v>
      </c>
      <c r="D41" s="11">
        <f ca="1">IF(CTP=1,WORKDAY(上海期货交易所!D41,-1,Holiday)+1,WORKDAY(上海期货交易所!D41,0-全局参数,Holiday))</f>
        <v>42216</v>
      </c>
      <c r="E41" s="11">
        <f ca="1">IF(CTP=1,WORKDAY(上海期货交易所!E41,-1,Holiday)+1,WORKDAY(上海期货交易所!E41,0-全局参数,Holiday))</f>
        <v>42247</v>
      </c>
      <c r="F41" s="11">
        <f ca="1">IF(CTP=1,WORKDAY(上海期货交易所!F41,-1,Holiday)+1,WORKDAY(上海期货交易所!F41,0-全局参数,Holiday))</f>
        <v>42257</v>
      </c>
      <c r="G41" s="18">
        <f t="shared" ca="1" si="11"/>
        <v>42255</v>
      </c>
      <c r="AA41" t="str">
        <f t="shared" ca="1" si="0"/>
        <v/>
      </c>
    </row>
    <row r="42" spans="1:27" x14ac:dyDescent="0.15">
      <c r="A42" s="22" t="str">
        <f t="shared" ref="A42:A52" ca="1" si="12">"AL"&amp;TEXT(DATE("20"&amp;MID(A41,LEN(A41)-3,2),RIGHT(A41,2)+1,"15"),"yymm")</f>
        <v>AL1510</v>
      </c>
      <c r="B42" s="12">
        <f t="shared" ca="1" si="9"/>
        <v>41928</v>
      </c>
      <c r="C42" s="12">
        <f t="shared" ca="1" si="10"/>
        <v>42292</v>
      </c>
      <c r="D42" s="12">
        <f ca="1">IF(CTP=1,WORKDAY(上海期货交易所!D42,-1,Holiday)+1,WORKDAY(上海期货交易所!D42,0-全局参数,Holiday))</f>
        <v>42247</v>
      </c>
      <c r="E42" s="12">
        <f ca="1">IF(CTP=1,WORKDAY(上海期货交易所!E42,-1,Holiday)+1,WORKDAY(上海期货交易所!E42,0-全局参数,Holiday))</f>
        <v>42277</v>
      </c>
      <c r="F42" s="12">
        <f ca="1">IF(CTP=1,WORKDAY(上海期货交易所!F42,-1,Holiday)+1,WORKDAY(上海期货交易所!F42,0-全局参数,Holiday))</f>
        <v>42289</v>
      </c>
      <c r="G42" s="19">
        <f t="shared" ca="1" si="11"/>
        <v>42285</v>
      </c>
      <c r="AA42" t="str">
        <f t="shared" ca="1" si="0"/>
        <v/>
      </c>
    </row>
    <row r="43" spans="1:27" x14ac:dyDescent="0.15">
      <c r="A43" s="21" t="str">
        <f t="shared" ca="1" si="12"/>
        <v>AL1511</v>
      </c>
      <c r="B43" s="11">
        <f t="shared" ca="1" si="9"/>
        <v>41961</v>
      </c>
      <c r="C43" s="11">
        <f t="shared" ca="1" si="10"/>
        <v>42324</v>
      </c>
      <c r="D43" s="11">
        <f ca="1">IF(CTP=1,WORKDAY(上海期货交易所!D43,-1,Holiday)+1,WORKDAY(上海期货交易所!D43,0-全局参数,Holiday))</f>
        <v>42277</v>
      </c>
      <c r="E43" s="11">
        <f ca="1">IF(CTP=1,WORKDAY(上海期货交易所!E43,-1,Holiday)+1,WORKDAY(上海期货交易所!E43,0-全局参数,Holiday))</f>
        <v>42307</v>
      </c>
      <c r="F43" s="11">
        <f ca="1">IF(CTP=1,WORKDAY(上海期货交易所!F43,-1,Holiday)+1,WORKDAY(上海期货交易所!F43,0-全局参数,Holiday))</f>
        <v>42319</v>
      </c>
      <c r="G43" s="18">
        <f t="shared" ca="1" si="11"/>
        <v>42317</v>
      </c>
      <c r="AA43" t="str">
        <f t="shared" ca="1" si="0"/>
        <v/>
      </c>
    </row>
    <row r="44" spans="1:27" x14ac:dyDescent="0.15">
      <c r="A44" s="22" t="str">
        <f t="shared" ca="1" si="12"/>
        <v>AL1512</v>
      </c>
      <c r="B44" s="12">
        <f t="shared" ca="1" si="9"/>
        <v>41989</v>
      </c>
      <c r="C44" s="12">
        <f t="shared" ca="1" si="10"/>
        <v>42353</v>
      </c>
      <c r="D44" s="12">
        <f ca="1">IF(CTP=1,WORKDAY(上海期货交易所!D44,-1,Holiday)+1,WORKDAY(上海期货交易所!D44,0-全局参数,Holiday))</f>
        <v>42307</v>
      </c>
      <c r="E44" s="12">
        <f ca="1">IF(CTP=1,WORKDAY(上海期货交易所!E44,-1,Holiday)+1,WORKDAY(上海期货交易所!E44,0-全局参数,Holiday))</f>
        <v>42338</v>
      </c>
      <c r="F44" s="12">
        <f ca="1">IF(CTP=1,WORKDAY(上海期货交易所!F44,-1,Holiday)+1,WORKDAY(上海期货交易所!F44,0-全局参数,Holiday))</f>
        <v>42348</v>
      </c>
      <c r="G44" s="19">
        <f t="shared" ca="1" si="11"/>
        <v>42346</v>
      </c>
      <c r="AA44" t="str">
        <f t="shared" ca="1" si="0"/>
        <v/>
      </c>
    </row>
    <row r="45" spans="1:27" x14ac:dyDescent="0.15">
      <c r="A45" s="21" t="str">
        <f t="shared" ca="1" si="12"/>
        <v>AL1601</v>
      </c>
      <c r="B45" s="11">
        <f t="shared" ca="1" si="9"/>
        <v>42020</v>
      </c>
      <c r="C45" s="11">
        <f t="shared" ca="1" si="10"/>
        <v>42384</v>
      </c>
      <c r="D45" s="11">
        <f ca="1">IF(CTP=1,WORKDAY(上海期货交易所!D45,-1,Holiday)+1,WORKDAY(上海期货交易所!D45,0-全局参数,Holiday))</f>
        <v>42338</v>
      </c>
      <c r="E45" s="11">
        <f ca="1">IF(CTP=1,WORKDAY(上海期货交易所!E45,-1,Holiday)+1,WORKDAY(上海期货交易所!E45,0-全局参数,Holiday))</f>
        <v>42369</v>
      </c>
      <c r="F45" s="11">
        <f ca="1">IF(CTP=1,WORKDAY(上海期货交易所!F45,-1,Holiday)+1,WORKDAY(上海期货交易所!F45,0-全局参数,Holiday))</f>
        <v>42381</v>
      </c>
      <c r="G45" s="18">
        <f t="shared" ca="1" si="11"/>
        <v>42377</v>
      </c>
      <c r="AA45" t="str">
        <f t="shared" ca="1" si="0"/>
        <v/>
      </c>
    </row>
    <row r="46" spans="1:27" x14ac:dyDescent="0.15">
      <c r="A46" s="22" t="str">
        <f t="shared" ca="1" si="12"/>
        <v>AL1602</v>
      </c>
      <c r="B46" s="12">
        <f t="shared" ca="1" si="9"/>
        <v>42051</v>
      </c>
      <c r="C46" s="12">
        <f t="shared" ca="1" si="10"/>
        <v>42415</v>
      </c>
      <c r="D46" s="12">
        <f ca="1">IF(CTP=1,WORKDAY(上海期货交易所!D46,-1,Holiday)+1,WORKDAY(上海期货交易所!D46,0-全局参数,Holiday))</f>
        <v>42369</v>
      </c>
      <c r="E46" s="12">
        <f ca="1">IF(CTP=1,WORKDAY(上海期货交易所!E46,-1,Holiday)+1,WORKDAY(上海期货交易所!E46,0-全局参数,Holiday))</f>
        <v>42398</v>
      </c>
      <c r="F46" s="12">
        <f ca="1">IF(CTP=1,WORKDAY(上海期货交易所!F46,-1,Holiday)+1,WORKDAY(上海期货交易所!F46,0-全局参数,Holiday))</f>
        <v>42410</v>
      </c>
      <c r="G46" s="19">
        <f t="shared" ca="1" si="11"/>
        <v>42408</v>
      </c>
      <c r="AA46" t="str">
        <f t="shared" ca="1" si="0"/>
        <v/>
      </c>
    </row>
    <row r="47" spans="1:27" x14ac:dyDescent="0.15">
      <c r="A47" s="21" t="str">
        <f t="shared" ca="1" si="12"/>
        <v>AL1603</v>
      </c>
      <c r="B47" s="11">
        <f t="shared" ca="1" si="9"/>
        <v>42080</v>
      </c>
      <c r="C47" s="11">
        <f t="shared" ca="1" si="10"/>
        <v>42444</v>
      </c>
      <c r="D47" s="11">
        <f ca="1">IF(CTP=1,WORKDAY(上海期货交易所!D47,-1,Holiday)+1,WORKDAY(上海期货交易所!D47,0-全局参数,Holiday))</f>
        <v>42398</v>
      </c>
      <c r="E47" s="11">
        <f ca="1">IF(CTP=1,WORKDAY(上海期货交易所!E47,-1,Holiday)+1,WORKDAY(上海期货交易所!E47,0-全局参数,Holiday))</f>
        <v>42429</v>
      </c>
      <c r="F47" s="11">
        <f ca="1">IF(CTP=1,WORKDAY(上海期货交易所!F47,-1,Holiday)+1,WORKDAY(上海期货交易所!F47,0-全局参数,Holiday))</f>
        <v>42439</v>
      </c>
      <c r="G47" s="18">
        <f t="shared" ca="1" si="11"/>
        <v>42437</v>
      </c>
      <c r="AA47" t="str">
        <f t="shared" ca="1" si="0"/>
        <v/>
      </c>
    </row>
    <row r="48" spans="1:27" x14ac:dyDescent="0.15">
      <c r="A48" s="22" t="str">
        <f t="shared" ca="1" si="12"/>
        <v>AL1604</v>
      </c>
      <c r="B48" s="12">
        <f t="shared" ca="1" si="9"/>
        <v>42110</v>
      </c>
      <c r="C48" s="12">
        <f t="shared" ca="1" si="10"/>
        <v>42475</v>
      </c>
      <c r="D48" s="12">
        <f ca="1">IF(CTP=1,WORKDAY(上海期货交易所!D48,-1,Holiday)+1,WORKDAY(上海期货交易所!D48,0-全局参数,Holiday))</f>
        <v>42429</v>
      </c>
      <c r="E48" s="12">
        <f ca="1">IF(CTP=1,WORKDAY(上海期货交易所!E48,-1,Holiday)+1,WORKDAY(上海期货交易所!E48,0-全局参数,Holiday))</f>
        <v>42460</v>
      </c>
      <c r="F48" s="12">
        <f ca="1">IF(CTP=1,WORKDAY(上海期货交易所!F48,-1,Holiday)+1,WORKDAY(上海期货交易所!F48,0-全局参数,Holiday))</f>
        <v>42472</v>
      </c>
      <c r="G48" s="19">
        <f t="shared" ca="1" si="11"/>
        <v>42468</v>
      </c>
      <c r="AA48" t="str">
        <f t="shared" ca="1" si="0"/>
        <v/>
      </c>
    </row>
    <row r="49" spans="1:27" x14ac:dyDescent="0.15">
      <c r="A49" s="21" t="str">
        <f t="shared" ca="1" si="12"/>
        <v>AL1605</v>
      </c>
      <c r="B49" s="11">
        <f t="shared" ca="1" si="9"/>
        <v>42142</v>
      </c>
      <c r="C49" s="11">
        <f t="shared" ca="1" si="10"/>
        <v>42506</v>
      </c>
      <c r="D49" s="11">
        <f ca="1">IF(CTP=1,WORKDAY(上海期货交易所!D49,-1,Holiday)+1,WORKDAY(上海期货交易所!D49,0-全局参数,Holiday))</f>
        <v>42460</v>
      </c>
      <c r="E49" s="11">
        <f ca="1">IF(CTP=1,WORKDAY(上海期货交易所!E49,-1,Holiday)+1,WORKDAY(上海期货交易所!E49,0-全局参数,Holiday))</f>
        <v>42489</v>
      </c>
      <c r="F49" s="11">
        <f ca="1">IF(CTP=1,WORKDAY(上海期货交易所!F49,-1,Holiday)+1,WORKDAY(上海期货交易所!F49,0-全局参数,Holiday))</f>
        <v>42501</v>
      </c>
      <c r="G49" s="18">
        <f t="shared" ca="1" si="11"/>
        <v>42499</v>
      </c>
      <c r="AA49" t="str">
        <f t="shared" ca="1" si="0"/>
        <v/>
      </c>
    </row>
    <row r="50" spans="1:27" x14ac:dyDescent="0.15">
      <c r="A50" s="22" t="str">
        <f t="shared" ca="1" si="12"/>
        <v>AL1606</v>
      </c>
      <c r="B50" s="12">
        <f t="shared" ca="1" si="9"/>
        <v>42171</v>
      </c>
      <c r="C50" s="12">
        <f t="shared" ca="1" si="10"/>
        <v>42536</v>
      </c>
      <c r="D50" s="12">
        <f ca="1">IF(CTP=1,WORKDAY(上海期货交易所!D50,-1,Holiday)+1,WORKDAY(上海期货交易所!D50,0-全局参数,Holiday))</f>
        <v>42489</v>
      </c>
      <c r="E50" s="12">
        <f ca="1">IF(CTP=1,WORKDAY(上海期货交易所!E50,-1,Holiday)+1,WORKDAY(上海期货交易所!E50,0-全局参数,Holiday))</f>
        <v>42521</v>
      </c>
      <c r="F50" s="12">
        <f ca="1">IF(CTP=1,WORKDAY(上海期货交易所!F50,-1,Holiday)+1,WORKDAY(上海期货交易所!F50,0-全局参数,Holiday))</f>
        <v>42531</v>
      </c>
      <c r="G50" s="19">
        <f t="shared" ca="1" si="11"/>
        <v>42529</v>
      </c>
      <c r="AA50" t="str">
        <f t="shared" ca="1" si="0"/>
        <v/>
      </c>
    </row>
    <row r="51" spans="1:27" x14ac:dyDescent="0.15">
      <c r="A51" s="21" t="str">
        <f t="shared" ca="1" si="12"/>
        <v>AL1607</v>
      </c>
      <c r="B51" s="11">
        <f t="shared" ca="1" si="9"/>
        <v>42201</v>
      </c>
      <c r="C51" s="11">
        <f t="shared" ca="1" si="10"/>
        <v>42566</v>
      </c>
      <c r="D51" s="11">
        <f ca="1">IF(CTP=1,WORKDAY(上海期货交易所!D51,-1,Holiday)+1,WORKDAY(上海期货交易所!D51,0-全局参数,Holiday))</f>
        <v>42521</v>
      </c>
      <c r="E51" s="11">
        <f ca="1">IF(CTP=1,WORKDAY(上海期货交易所!E51,-1,Holiday)+1,WORKDAY(上海期货交易所!E51,0-全局参数,Holiday))</f>
        <v>42551</v>
      </c>
      <c r="F51" s="11">
        <f ca="1">IF(CTP=1,WORKDAY(上海期货交易所!F51,-1,Holiday)+1,WORKDAY(上海期货交易所!F51,0-全局参数,Holiday))</f>
        <v>42563</v>
      </c>
      <c r="G51" s="18">
        <f t="shared" ca="1" si="11"/>
        <v>42559</v>
      </c>
      <c r="AA51" t="str">
        <f t="shared" ca="1" si="0"/>
        <v/>
      </c>
    </row>
    <row r="52" spans="1:27" x14ac:dyDescent="0.15">
      <c r="A52" s="22" t="str">
        <f t="shared" ca="1" si="12"/>
        <v>AL1608</v>
      </c>
      <c r="B52" s="12">
        <f t="shared" ca="1" si="9"/>
        <v>42234</v>
      </c>
      <c r="C52" s="12">
        <f t="shared" ca="1" si="10"/>
        <v>42597</v>
      </c>
      <c r="D52" s="12">
        <f ca="1">IF(CTP=1,WORKDAY(上海期货交易所!D52,-1,Holiday)+1,WORKDAY(上海期货交易所!D52,0-全局参数,Holiday))</f>
        <v>42551</v>
      </c>
      <c r="E52" s="12">
        <f ca="1">IF(CTP=1,WORKDAY(上海期货交易所!E52,-1,Holiday)+1,WORKDAY(上海期货交易所!E52,0-全局参数,Holiday))</f>
        <v>42580</v>
      </c>
      <c r="F52" s="12">
        <f ca="1">IF(CTP=1,WORKDAY(上海期货交易所!F52,-1,Holiday)+1,WORKDAY(上海期货交易所!F52,0-全局参数,Holiday))</f>
        <v>42592</v>
      </c>
      <c r="G52" s="19">
        <f t="shared" ca="1" si="11"/>
        <v>42590</v>
      </c>
      <c r="AA52" t="str">
        <f t="shared" ca="1" si="0"/>
        <v/>
      </c>
    </row>
    <row r="53" spans="1:27" x14ac:dyDescent="0.15">
      <c r="A53" s="23"/>
      <c r="B53" s="23"/>
      <c r="C53" s="15"/>
      <c r="D53" s="15"/>
      <c r="E53" s="15"/>
      <c r="F53" s="15"/>
      <c r="AA53" t="str">
        <f t="shared" ca="1" si="0"/>
        <v/>
      </c>
    </row>
    <row r="54" spans="1:27" x14ac:dyDescent="0.15">
      <c r="A54" s="23"/>
      <c r="B54" s="23"/>
      <c r="C54" s="15"/>
      <c r="D54" s="15"/>
      <c r="E54" s="15"/>
      <c r="F54" s="15"/>
      <c r="AA54" t="str">
        <f t="shared" ca="1" si="0"/>
        <v/>
      </c>
    </row>
    <row r="55" spans="1:27" x14ac:dyDescent="0.15">
      <c r="A55" s="48" t="str">
        <f>"铅Pb"&amp;TEXT(铅Pb,"#%")</f>
        <v>铅Pb5%</v>
      </c>
      <c r="B55" s="49"/>
      <c r="C55" s="49"/>
      <c r="D55" s="49"/>
      <c r="E55" s="49"/>
      <c r="F55" s="49"/>
      <c r="G55" s="50"/>
      <c r="AA55" t="str">
        <f t="shared" ca="1" si="0"/>
        <v/>
      </c>
    </row>
    <row r="56" spans="1:27" ht="17.25" thickBot="1" x14ac:dyDescent="0.2">
      <c r="A56" s="20"/>
      <c r="B56" s="29" t="s">
        <v>46</v>
      </c>
      <c r="C56" s="9" t="s">
        <v>1</v>
      </c>
      <c r="D56" s="10">
        <v>0.1</v>
      </c>
      <c r="E56" s="10">
        <v>0.15</v>
      </c>
      <c r="F56" s="10">
        <v>0.2</v>
      </c>
      <c r="G56" s="20" t="s">
        <v>73</v>
      </c>
      <c r="AA56" t="str">
        <f t="shared" ca="1" si="0"/>
        <v/>
      </c>
    </row>
    <row r="57" spans="1:27" x14ac:dyDescent="0.15">
      <c r="A57" s="21" t="str">
        <f ca="1">"Pb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Pb1507</v>
      </c>
      <c r="B57" s="11">
        <f t="shared" ref="B57:B70" ca="1" si="13">IF(RIGHT(A57,4)="1602",DATE(2015,2,16),WORKDAY(IF(NETWORKDAYS(DATE("20"&amp;(MID(A57,LEN(A57)-3,2)-1),RIGHT(A57,2),IF(RIGHT(A57,4)="1201","13","15")),DATE("20"&amp;(MID(A57,LEN(A57)-3,2)-1),RIGHT(A57,2),IF(RIGHT(A57,4)="1201","13","15")),Holiday)=0,WORKDAY(DATE("20"&amp;(MID(A57,LEN(A57)-3,2)-1),RIGHT(A57,2),IF(RIGHT(A57,4)="1201","13","15")),1,Holiday),DATE("20"&amp;(MID(A57,LEN(A57)-3,2)-1),RIGHT(A57,2),IF(RIGHT(A57,4)="1201","13","15"))),1,Holiday))</f>
        <v>41836</v>
      </c>
      <c r="C57" s="11">
        <f t="shared" ref="C57:C70" ca="1" si="14">IF(RIGHT(A57,4)="1502",DATE(2015,2,10),IF(NETWORKDAYS(DATE("20"&amp;MID(A57,LEN(A57)-3,2),RIGHT(A57,2),IF(RIGHT(A57,4)="1201","13","15")),DATE("20"&amp;MID(A57,LEN(A57)-3,2),RIGHT(A57,2),IF(RIGHT(A57,4)="1201","13","15")),Holiday)=0,WORKDAY(DATE("20"&amp;MID(A57,LEN(A57)-3,2),RIGHT(A57,2),IF(RIGHT(A57,4)="1201","13","15")),1,Holiday),DATE("20"&amp;MID(A57,LEN(A57)-3,2),RIGHT(A57,2),IF(RIGHT(A57,4)="1201","13","15"))))</f>
        <v>42200</v>
      </c>
      <c r="D57" s="11">
        <f ca="1">IF(CTP=1,WORKDAY(上海期货交易所!D57,-1,Holiday)+1,WORKDAY(上海期货交易所!D57,0-全局参数,Holiday))</f>
        <v>42153</v>
      </c>
      <c r="E57" s="11">
        <f ca="1">IF(CTP=1,WORKDAY(上海期货交易所!E57,-1,Holiday)+1,WORKDAY(上海期货交易所!E57,0-全局参数,Holiday))</f>
        <v>42185</v>
      </c>
      <c r="F57" s="11">
        <f ca="1">IF(CTP=1,WORKDAY(上海期货交易所!F57,-1,Holiday)+1,WORKDAY(上海期货交易所!F57,0-全局参数,Holiday))</f>
        <v>42195</v>
      </c>
      <c r="G57" s="18">
        <f t="shared" ref="G57:G70" ca="1" si="15">WORKDAY(C57,-5,Holiday)</f>
        <v>42193</v>
      </c>
      <c r="AA57" t="str">
        <f t="shared" ca="1" si="0"/>
        <v/>
      </c>
    </row>
    <row r="58" spans="1:27" x14ac:dyDescent="0.15">
      <c r="A58" s="22" t="str">
        <f ca="1">"Pb"&amp;TEXT(DATE("20"&amp;MID(A57,LEN(A57)-3,2),RIGHT(A57,2)+1,"15"),"yymm")</f>
        <v>Pb1508</v>
      </c>
      <c r="B58" s="12">
        <f t="shared" ca="1" si="13"/>
        <v>41869</v>
      </c>
      <c r="C58" s="12">
        <f t="shared" ca="1" si="14"/>
        <v>42233</v>
      </c>
      <c r="D58" s="12">
        <f ca="1">IF(CTP=1,WORKDAY(上海期货交易所!D58,-1,Holiday)+1,WORKDAY(上海期货交易所!D58,0-全局参数,Holiday))</f>
        <v>42185</v>
      </c>
      <c r="E58" s="12">
        <f ca="1">IF(CTP=1,WORKDAY(上海期货交易所!E58,-1,Holiday)+1,WORKDAY(上海期货交易所!E58,0-全局参数,Holiday))</f>
        <v>42216</v>
      </c>
      <c r="F58" s="12">
        <f ca="1">IF(CTP=1,WORKDAY(上海期货交易所!F58,-1,Holiday)+1,WORKDAY(上海期货交易所!F58,0-全局参数,Holiday))</f>
        <v>42228</v>
      </c>
      <c r="G58" s="19">
        <f t="shared" ca="1" si="15"/>
        <v>42226</v>
      </c>
      <c r="AA58" t="str">
        <f t="shared" ca="1" si="0"/>
        <v/>
      </c>
    </row>
    <row r="59" spans="1:27" x14ac:dyDescent="0.15">
      <c r="A59" s="21" t="str">
        <f t="shared" ref="A59:A70" ca="1" si="16">"Pb"&amp;TEXT(DATE("20"&amp;MID(A58,LEN(A58)-3,2),RIGHT(A58,2)+1,"15"),"yymm")</f>
        <v>Pb1509</v>
      </c>
      <c r="B59" s="11">
        <f t="shared" ca="1" si="13"/>
        <v>41898</v>
      </c>
      <c r="C59" s="11">
        <f t="shared" ca="1" si="14"/>
        <v>42262</v>
      </c>
      <c r="D59" s="11">
        <f ca="1">IF(CTP=1,WORKDAY(上海期货交易所!D59,-1,Holiday)+1,WORKDAY(上海期货交易所!D59,0-全局参数,Holiday))</f>
        <v>42216</v>
      </c>
      <c r="E59" s="11">
        <f ca="1">IF(CTP=1,WORKDAY(上海期货交易所!E59,-1,Holiday)+1,WORKDAY(上海期货交易所!E59,0-全局参数,Holiday))</f>
        <v>42247</v>
      </c>
      <c r="F59" s="11">
        <f ca="1">IF(CTP=1,WORKDAY(上海期货交易所!F59,-1,Holiday)+1,WORKDAY(上海期货交易所!F59,0-全局参数,Holiday))</f>
        <v>42257</v>
      </c>
      <c r="G59" s="18">
        <f t="shared" ca="1" si="15"/>
        <v>42255</v>
      </c>
      <c r="AA59" t="str">
        <f t="shared" ca="1" si="0"/>
        <v/>
      </c>
    </row>
    <row r="60" spans="1:27" x14ac:dyDescent="0.15">
      <c r="A60" s="22" t="str">
        <f t="shared" ca="1" si="16"/>
        <v>Pb1510</v>
      </c>
      <c r="B60" s="12">
        <f t="shared" ca="1" si="13"/>
        <v>41928</v>
      </c>
      <c r="C60" s="12">
        <f t="shared" ca="1" si="14"/>
        <v>42292</v>
      </c>
      <c r="D60" s="12">
        <f ca="1">IF(CTP=1,WORKDAY(上海期货交易所!D60,-1,Holiday)+1,WORKDAY(上海期货交易所!D60,0-全局参数,Holiday))</f>
        <v>42247</v>
      </c>
      <c r="E60" s="12">
        <f ca="1">IF(CTP=1,WORKDAY(上海期货交易所!E60,-1,Holiday)+1,WORKDAY(上海期货交易所!E60,0-全局参数,Holiday))</f>
        <v>42277</v>
      </c>
      <c r="F60" s="12">
        <f ca="1">IF(CTP=1,WORKDAY(上海期货交易所!F60,-1,Holiday)+1,WORKDAY(上海期货交易所!F60,0-全局参数,Holiday))</f>
        <v>42289</v>
      </c>
      <c r="G60" s="19">
        <f t="shared" ca="1" si="15"/>
        <v>42285</v>
      </c>
      <c r="AA60" t="str">
        <f t="shared" ca="1" si="0"/>
        <v/>
      </c>
    </row>
    <row r="61" spans="1:27" x14ac:dyDescent="0.15">
      <c r="A61" s="21" t="str">
        <f t="shared" ca="1" si="16"/>
        <v>Pb1511</v>
      </c>
      <c r="B61" s="11">
        <f t="shared" ca="1" si="13"/>
        <v>41961</v>
      </c>
      <c r="C61" s="11">
        <f t="shared" ca="1" si="14"/>
        <v>42324</v>
      </c>
      <c r="D61" s="11">
        <f ca="1">IF(CTP=1,WORKDAY(上海期货交易所!D61,-1,Holiday)+1,WORKDAY(上海期货交易所!D61,0-全局参数,Holiday))</f>
        <v>42277</v>
      </c>
      <c r="E61" s="11">
        <f ca="1">IF(CTP=1,WORKDAY(上海期货交易所!E61,-1,Holiday)+1,WORKDAY(上海期货交易所!E61,0-全局参数,Holiday))</f>
        <v>42307</v>
      </c>
      <c r="F61" s="11">
        <f ca="1">IF(CTP=1,WORKDAY(上海期货交易所!F61,-1,Holiday)+1,WORKDAY(上海期货交易所!F61,0-全局参数,Holiday))</f>
        <v>42319</v>
      </c>
      <c r="G61" s="18">
        <f t="shared" ca="1" si="15"/>
        <v>42317</v>
      </c>
      <c r="AA61" t="str">
        <f t="shared" ca="1" si="0"/>
        <v/>
      </c>
    </row>
    <row r="62" spans="1:27" x14ac:dyDescent="0.15">
      <c r="A62" s="22" t="str">
        <f t="shared" ca="1" si="16"/>
        <v>Pb1512</v>
      </c>
      <c r="B62" s="12">
        <f t="shared" ca="1" si="13"/>
        <v>41989</v>
      </c>
      <c r="C62" s="12">
        <f t="shared" ca="1" si="14"/>
        <v>42353</v>
      </c>
      <c r="D62" s="12">
        <f ca="1">IF(CTP=1,WORKDAY(上海期货交易所!D62,-1,Holiday)+1,WORKDAY(上海期货交易所!D62,0-全局参数,Holiday))</f>
        <v>42307</v>
      </c>
      <c r="E62" s="12">
        <f ca="1">IF(CTP=1,WORKDAY(上海期货交易所!E62,-1,Holiday)+1,WORKDAY(上海期货交易所!E62,0-全局参数,Holiday))</f>
        <v>42338</v>
      </c>
      <c r="F62" s="12">
        <f ca="1">IF(CTP=1,WORKDAY(上海期货交易所!F62,-1,Holiday)+1,WORKDAY(上海期货交易所!F62,0-全局参数,Holiday))</f>
        <v>42348</v>
      </c>
      <c r="G62" s="19">
        <f t="shared" ca="1" si="15"/>
        <v>42346</v>
      </c>
      <c r="AA62" t="str">
        <f t="shared" ca="1" si="0"/>
        <v/>
      </c>
    </row>
    <row r="63" spans="1:27" x14ac:dyDescent="0.15">
      <c r="A63" s="21" t="str">
        <f t="shared" ca="1" si="16"/>
        <v>Pb1601</v>
      </c>
      <c r="B63" s="11">
        <f t="shared" ca="1" si="13"/>
        <v>42020</v>
      </c>
      <c r="C63" s="11">
        <f t="shared" ca="1" si="14"/>
        <v>42384</v>
      </c>
      <c r="D63" s="11">
        <f ca="1">IF(CTP=1,WORKDAY(上海期货交易所!D63,-1,Holiday)+1,WORKDAY(上海期货交易所!D63,0-全局参数,Holiday))</f>
        <v>42338</v>
      </c>
      <c r="E63" s="11">
        <f ca="1">IF(CTP=1,WORKDAY(上海期货交易所!E63,-1,Holiday)+1,WORKDAY(上海期货交易所!E63,0-全局参数,Holiday))</f>
        <v>42369</v>
      </c>
      <c r="F63" s="11">
        <f ca="1">IF(CTP=1,WORKDAY(上海期货交易所!F63,-1,Holiday)+1,WORKDAY(上海期货交易所!F63,0-全局参数,Holiday))</f>
        <v>42381</v>
      </c>
      <c r="G63" s="18">
        <f t="shared" ca="1" si="15"/>
        <v>42377</v>
      </c>
      <c r="AA63" t="str">
        <f t="shared" ca="1" si="0"/>
        <v/>
      </c>
    </row>
    <row r="64" spans="1:27" x14ac:dyDescent="0.15">
      <c r="A64" s="22" t="str">
        <f t="shared" ca="1" si="16"/>
        <v>Pb1602</v>
      </c>
      <c r="B64" s="12">
        <f t="shared" ca="1" si="13"/>
        <v>42051</v>
      </c>
      <c r="C64" s="12">
        <f t="shared" ca="1" si="14"/>
        <v>42415</v>
      </c>
      <c r="D64" s="12">
        <f ca="1">IF(CTP=1,WORKDAY(上海期货交易所!D64,-1,Holiday)+1,WORKDAY(上海期货交易所!D64,0-全局参数,Holiday))</f>
        <v>42369</v>
      </c>
      <c r="E64" s="12">
        <f ca="1">IF(CTP=1,WORKDAY(上海期货交易所!E64,-1,Holiday)+1,WORKDAY(上海期货交易所!E64,0-全局参数,Holiday))</f>
        <v>42398</v>
      </c>
      <c r="F64" s="12">
        <f ca="1">IF(CTP=1,WORKDAY(上海期货交易所!F64,-1,Holiday)+1,WORKDAY(上海期货交易所!F64,0-全局参数,Holiday))</f>
        <v>42410</v>
      </c>
      <c r="G64" s="19">
        <f t="shared" ca="1" si="15"/>
        <v>42408</v>
      </c>
      <c r="AA64" t="str">
        <f t="shared" ca="1" si="0"/>
        <v/>
      </c>
    </row>
    <row r="65" spans="1:27" x14ac:dyDescent="0.15">
      <c r="A65" s="21" t="str">
        <f t="shared" ca="1" si="16"/>
        <v>Pb1603</v>
      </c>
      <c r="B65" s="11">
        <f t="shared" ca="1" si="13"/>
        <v>42080</v>
      </c>
      <c r="C65" s="11">
        <f t="shared" ca="1" si="14"/>
        <v>42444</v>
      </c>
      <c r="D65" s="11">
        <f ca="1">IF(CTP=1,WORKDAY(上海期货交易所!D65,-1,Holiday)+1,WORKDAY(上海期货交易所!D65,0-全局参数,Holiday))</f>
        <v>42398</v>
      </c>
      <c r="E65" s="11">
        <f ca="1">IF(CTP=1,WORKDAY(上海期货交易所!E65,-1,Holiday)+1,WORKDAY(上海期货交易所!E65,0-全局参数,Holiday))</f>
        <v>42429</v>
      </c>
      <c r="F65" s="11">
        <f ca="1">IF(CTP=1,WORKDAY(上海期货交易所!F65,-1,Holiday)+1,WORKDAY(上海期货交易所!F65,0-全局参数,Holiday))</f>
        <v>42439</v>
      </c>
      <c r="G65" s="18">
        <f t="shared" ca="1" si="15"/>
        <v>42437</v>
      </c>
      <c r="AA65" t="str">
        <f t="shared" ca="1" si="0"/>
        <v/>
      </c>
    </row>
    <row r="66" spans="1:27" x14ac:dyDescent="0.15">
      <c r="A66" s="22" t="str">
        <f t="shared" ca="1" si="16"/>
        <v>Pb1604</v>
      </c>
      <c r="B66" s="12">
        <f t="shared" ca="1" si="13"/>
        <v>42110</v>
      </c>
      <c r="C66" s="12">
        <f t="shared" ca="1" si="14"/>
        <v>42475</v>
      </c>
      <c r="D66" s="12">
        <f ca="1">IF(CTP=1,WORKDAY(上海期货交易所!D66,-1,Holiday)+1,WORKDAY(上海期货交易所!D66,0-全局参数,Holiday))</f>
        <v>42429</v>
      </c>
      <c r="E66" s="12">
        <f ca="1">IF(CTP=1,WORKDAY(上海期货交易所!E66,-1,Holiday)+1,WORKDAY(上海期货交易所!E66,0-全局参数,Holiday))</f>
        <v>42460</v>
      </c>
      <c r="F66" s="12">
        <f ca="1">IF(CTP=1,WORKDAY(上海期货交易所!F66,-1,Holiday)+1,WORKDAY(上海期货交易所!F66,0-全局参数,Holiday))</f>
        <v>42472</v>
      </c>
      <c r="G66" s="19">
        <f t="shared" ca="1" si="15"/>
        <v>42468</v>
      </c>
      <c r="AA66" t="str">
        <f t="shared" ref="AA66:AA131" ca="1" si="17">IFERROR(IF(AND(B66+0&gt;TODAY(),B66+0&lt;DATE(YEAR(TODAY()),MONTH(TODAY())+1,DAY(TODAY()))),ROW(),""),"")</f>
        <v/>
      </c>
    </row>
    <row r="67" spans="1:27" x14ac:dyDescent="0.15">
      <c r="A67" s="21" t="str">
        <f t="shared" ca="1" si="16"/>
        <v>Pb1605</v>
      </c>
      <c r="B67" s="11">
        <f t="shared" ca="1" si="13"/>
        <v>42142</v>
      </c>
      <c r="C67" s="11">
        <f t="shared" ca="1" si="14"/>
        <v>42506</v>
      </c>
      <c r="D67" s="11">
        <f ca="1">IF(CTP=1,WORKDAY(上海期货交易所!D67,-1,Holiday)+1,WORKDAY(上海期货交易所!D67,0-全局参数,Holiday))</f>
        <v>42460</v>
      </c>
      <c r="E67" s="11">
        <f ca="1">IF(CTP=1,WORKDAY(上海期货交易所!E67,-1,Holiday)+1,WORKDAY(上海期货交易所!E67,0-全局参数,Holiday))</f>
        <v>42489</v>
      </c>
      <c r="F67" s="11">
        <f ca="1">IF(CTP=1,WORKDAY(上海期货交易所!F67,-1,Holiday)+1,WORKDAY(上海期货交易所!F67,0-全局参数,Holiday))</f>
        <v>42501</v>
      </c>
      <c r="G67" s="18">
        <f t="shared" ca="1" si="15"/>
        <v>42499</v>
      </c>
      <c r="AA67" t="str">
        <f t="shared" ca="1" si="17"/>
        <v/>
      </c>
    </row>
    <row r="68" spans="1:27" x14ac:dyDescent="0.15">
      <c r="A68" s="22" t="str">
        <f t="shared" ca="1" si="16"/>
        <v>Pb1606</v>
      </c>
      <c r="B68" s="12">
        <f t="shared" ca="1" si="13"/>
        <v>42171</v>
      </c>
      <c r="C68" s="12">
        <f t="shared" ca="1" si="14"/>
        <v>42536</v>
      </c>
      <c r="D68" s="12">
        <f ca="1">IF(CTP=1,WORKDAY(上海期货交易所!D68,-1,Holiday)+1,WORKDAY(上海期货交易所!D68,0-全局参数,Holiday))</f>
        <v>42489</v>
      </c>
      <c r="E68" s="12">
        <f ca="1">IF(CTP=1,WORKDAY(上海期货交易所!E68,-1,Holiday)+1,WORKDAY(上海期货交易所!E68,0-全局参数,Holiday))</f>
        <v>42521</v>
      </c>
      <c r="F68" s="12">
        <f ca="1">IF(CTP=1,WORKDAY(上海期货交易所!F68,-1,Holiday)+1,WORKDAY(上海期货交易所!F68,0-全局参数,Holiday))</f>
        <v>42531</v>
      </c>
      <c r="G68" s="19">
        <f t="shared" ca="1" si="15"/>
        <v>42529</v>
      </c>
      <c r="AA68" t="str">
        <f t="shared" ca="1" si="17"/>
        <v/>
      </c>
    </row>
    <row r="69" spans="1:27" x14ac:dyDescent="0.15">
      <c r="A69" s="21" t="str">
        <f t="shared" ca="1" si="16"/>
        <v>Pb1607</v>
      </c>
      <c r="B69" s="11">
        <f t="shared" ca="1" si="13"/>
        <v>42201</v>
      </c>
      <c r="C69" s="11">
        <f t="shared" ca="1" si="14"/>
        <v>42566</v>
      </c>
      <c r="D69" s="11">
        <f ca="1">IF(CTP=1,WORKDAY(上海期货交易所!D69,-1,Holiday)+1,WORKDAY(上海期货交易所!D69,0-全局参数,Holiday))</f>
        <v>42521</v>
      </c>
      <c r="E69" s="11">
        <f ca="1">IF(CTP=1,WORKDAY(上海期货交易所!E69,-1,Holiday)+1,WORKDAY(上海期货交易所!E69,0-全局参数,Holiday))</f>
        <v>42551</v>
      </c>
      <c r="F69" s="11">
        <f ca="1">IF(CTP=1,WORKDAY(上海期货交易所!F69,-1,Holiday)+1,WORKDAY(上海期货交易所!F69,0-全局参数,Holiday))</f>
        <v>42563</v>
      </c>
      <c r="G69" s="18">
        <f t="shared" ca="1" si="15"/>
        <v>42559</v>
      </c>
      <c r="AA69" t="str">
        <f t="shared" ca="1" si="17"/>
        <v/>
      </c>
    </row>
    <row r="70" spans="1:27" x14ac:dyDescent="0.15">
      <c r="A70" s="22" t="str">
        <f t="shared" ca="1" si="16"/>
        <v>Pb1608</v>
      </c>
      <c r="B70" s="12">
        <f t="shared" ca="1" si="13"/>
        <v>42234</v>
      </c>
      <c r="C70" s="12">
        <f t="shared" ca="1" si="14"/>
        <v>42597</v>
      </c>
      <c r="D70" s="12">
        <f ca="1">IF(CTP=1,WORKDAY(上海期货交易所!D70,-1,Holiday)+1,WORKDAY(上海期货交易所!D70,0-全局参数,Holiday))</f>
        <v>42551</v>
      </c>
      <c r="E70" s="12">
        <f ca="1">IF(CTP=1,WORKDAY(上海期货交易所!E70,-1,Holiday)+1,WORKDAY(上海期货交易所!E70,0-全局参数,Holiday))</f>
        <v>42580</v>
      </c>
      <c r="F70" s="12">
        <f ca="1">IF(CTP=1,WORKDAY(上海期货交易所!F70,-1,Holiday)+1,WORKDAY(上海期货交易所!F70,0-全局参数,Holiday))</f>
        <v>42592</v>
      </c>
      <c r="G70" s="19">
        <f t="shared" ca="1" si="15"/>
        <v>42590</v>
      </c>
      <c r="AA70" t="str">
        <f t="shared" ca="1" si="17"/>
        <v/>
      </c>
    </row>
    <row r="71" spans="1:27" x14ac:dyDescent="0.15">
      <c r="AA71" t="str">
        <f t="shared" ca="1" si="17"/>
        <v/>
      </c>
    </row>
    <row r="72" spans="1:27" x14ac:dyDescent="0.15">
      <c r="A72" s="23"/>
      <c r="B72" s="23"/>
      <c r="C72" s="15"/>
      <c r="D72" s="15"/>
      <c r="E72" s="15"/>
      <c r="F72" s="15"/>
      <c r="AA72" t="str">
        <f t="shared" ca="1" si="17"/>
        <v/>
      </c>
    </row>
    <row r="73" spans="1:27" x14ac:dyDescent="0.15">
      <c r="A73" s="48" t="str">
        <f>"黄金Au"&amp;TEXT(黄金Au,"#%")</f>
        <v>黄金Au6%</v>
      </c>
      <c r="B73" s="49"/>
      <c r="C73" s="49"/>
      <c r="D73" s="49"/>
      <c r="E73" s="49"/>
      <c r="F73" s="49"/>
      <c r="G73" s="50"/>
      <c r="AA73" t="str">
        <f t="shared" ca="1" si="17"/>
        <v/>
      </c>
    </row>
    <row r="74" spans="1:27" ht="17.25" thickBot="1" x14ac:dyDescent="0.2">
      <c r="A74" s="20"/>
      <c r="B74" s="29" t="s">
        <v>46</v>
      </c>
      <c r="C74" s="26" t="s">
        <v>1</v>
      </c>
      <c r="D74" s="10">
        <f>MAX(10%,黄金Au)</f>
        <v>0.1</v>
      </c>
      <c r="E74" s="10">
        <v>0.15</v>
      </c>
      <c r="F74" s="10">
        <v>0.2</v>
      </c>
      <c r="G74" s="20" t="s">
        <v>73</v>
      </c>
      <c r="AA74" t="str">
        <f t="shared" ca="1" si="17"/>
        <v/>
      </c>
    </row>
    <row r="75" spans="1:27" x14ac:dyDescent="0.15">
      <c r="A75" s="21" t="str">
        <f ca="1">"Au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Au1507</v>
      </c>
      <c r="B75" s="11">
        <f t="shared" ref="B75:B90" ca="1" si="18">IF(RIGHT(A75,4)="1505",DATE(2015,2,16),IF(RIGHT(A75,4)="1604",DATE(2015,4,16),IF(RIGHT(A75,4)*1&lt;=1408,WORKDAY(IF(NETWORKDAYS(DATE("20"&amp;(MID(A75,LEN(A75)-3,2)-1),RIGHT(A75,2),"15"),DATE("20"&amp;(MID(A75,LEN(A75)-3,2)-1),RIGHT(A75,2),"15"),Holiday)=0,WORKDAY(DATE("20"&amp;(MID(A75,LEN(A75)-3,2)-1),RIGHT(A75,2),"15"),1,Holiday),DATE("20"&amp;(MID(A75,LEN(A75)-3,2)-1),RIGHT(A75,2),"15")),1,Holiday),IF(ISODD(RIGHT(A75,4)),IF(NETWORKDAYS(DATE(20&amp;MID(A75,3,2),RIGHT(A75,2)-3,15),DATE(20&amp;MID(A75,3,2),RIGHT(A75,2)-3,15),Holiday)=0,WORKDAY(DATE(20&amp;MID(A75,3,2),RIGHT(A75,2)-3,15),2,Holiday),WORKDAY(DATE(20&amp;MID(A75,3,2),RIGHT(A75,2)-3,15),1,Holiday)),IF(NETWORKDAYS(DATE(20&amp;MID(A75,3,2),RIGHT(A75,2)-IF(RIGHT(A75,4)*1&lt;1506,12,IF(RIGHT(A75,4)*1&lt;=1604,11,13)),15),DATE(20&amp;MID(A75,3,2),RIGHT(A75,2)-IF(RIGHT(A75,4)*1&lt;1506,12,IF(RIGHT(A75,4)*1&lt;=1604,11,13)),15),Holiday)=0,WORKDAY(DATE(20&amp;MID(A75,3,2),RIGHT(A75,2)-IF(RIGHT(A75,4)*1&lt;1506,12,IF(RIGHT(A75,4)*1&lt;=1604,11,13)),15),2,Holiday),WORKDAY(DATE(20&amp;MID(A75,3,2),RIGHT(A75,2)-IF(RIGHT(A75,4)*1&lt;1506,12,IF(RIGHT(A75,4)*1&lt;=1604,11,13)),15),1,Holiday))))))</f>
        <v>42110</v>
      </c>
      <c r="C75" s="11">
        <f t="shared" ref="C75:C88" ca="1" si="19">IF(RIGHT(A75,4)="1502",DATE(2015,2,10),IF(NETWORKDAYS(DATE("20"&amp;MID(A75,LEN(A75)-3,2),RIGHT(A75,2),IF(RIGHT(A75,4)="1201","13","15")),DATE("20"&amp;MID(A75,LEN(A75)-3,2),RIGHT(A75,2),IF(RIGHT(A75,4)="1201","13","15")),Holiday)=0,WORKDAY(DATE("20"&amp;MID(A75,LEN(A75)-3,2),RIGHT(A75,2),IF(RIGHT(A75,4)="1201","13","15")),1,Holiday),DATE("20"&amp;MID(A75,LEN(A75)-3,2),RIGHT(A75,2),IF(RIGHT(A75,4)="1201","13","15"))))</f>
        <v>42200</v>
      </c>
      <c r="D75" s="11">
        <f ca="1">IF(CTP=1,WORKDAY(上海期货交易所!D75,-1,Holiday)+1,WORKDAY(上海期货交易所!D75,0-全局参数,Holiday))</f>
        <v>42153</v>
      </c>
      <c r="E75" s="11">
        <f ca="1">IF(CTP=1,WORKDAY(上海期货交易所!E75,-1,Holiday)+1,WORKDAY(上海期货交易所!E75,0-全局参数,Holiday))</f>
        <v>42185</v>
      </c>
      <c r="F75" s="18">
        <f ca="1">IF(CTP=1,WORKDAY(上海期货交易所!F75,-1,Holiday)+1,WORKDAY(上海期货交易所!F75,0-全局参数,Holiday))</f>
        <v>42195</v>
      </c>
      <c r="G75" s="18">
        <f t="shared" ref="G75:G88" ca="1" si="20">WORKDAY(C75,-5,Holiday)</f>
        <v>42193</v>
      </c>
      <c r="AA75" t="str">
        <f t="shared" ca="1" si="17"/>
        <v/>
      </c>
    </row>
    <row r="76" spans="1:27" x14ac:dyDescent="0.15">
      <c r="A76" s="22" t="str">
        <f ca="1">"Au"&amp;TEXT(DATE("20"&amp;MID(A75,LEN(A75)-3,2),RIGHT(A75,2)+1,"15"),"yymm")</f>
        <v>Au1508</v>
      </c>
      <c r="B76" s="12">
        <f t="shared" ca="1" si="18"/>
        <v>41898</v>
      </c>
      <c r="C76" s="12">
        <f t="shared" ca="1" si="19"/>
        <v>42233</v>
      </c>
      <c r="D76" s="12">
        <f ca="1">IF(CTP=1,WORKDAY(上海期货交易所!D76,-1,Holiday)+1,WORKDAY(上海期货交易所!D76,0-全局参数,Holiday))</f>
        <v>42185</v>
      </c>
      <c r="E76" s="12">
        <f ca="1">IF(CTP=1,WORKDAY(上海期货交易所!E76,-1,Holiday)+1,WORKDAY(上海期货交易所!E76,0-全局参数,Holiday))</f>
        <v>42216</v>
      </c>
      <c r="F76" s="19">
        <f ca="1">IF(CTP=1,WORKDAY(上海期货交易所!F76,-1,Holiday)+1,WORKDAY(上海期货交易所!F76,0-全局参数,Holiday))</f>
        <v>42228</v>
      </c>
      <c r="G76" s="19">
        <f t="shared" ca="1" si="20"/>
        <v>42226</v>
      </c>
      <c r="AA76" t="str">
        <f t="shared" ca="1" si="17"/>
        <v/>
      </c>
    </row>
    <row r="77" spans="1:27" x14ac:dyDescent="0.15">
      <c r="A77" s="21" t="str">
        <f t="shared" ref="A77:A90" ca="1" si="21">"Au"&amp;TEXT(DATE("20"&amp;MID(A76,LEN(A76)-3,2),RIGHT(A76,2)+1,"15"),"yymm")</f>
        <v>Au1509</v>
      </c>
      <c r="B77" s="11">
        <f t="shared" ca="1" si="18"/>
        <v>42171</v>
      </c>
      <c r="C77" s="11">
        <f t="shared" ca="1" si="19"/>
        <v>42262</v>
      </c>
      <c r="D77" s="11">
        <f ca="1">IF(CTP=1,WORKDAY(上海期货交易所!D77,-1,Holiday)+1,WORKDAY(上海期货交易所!D77,0-全局参数,Holiday))</f>
        <v>42216</v>
      </c>
      <c r="E77" s="11">
        <f ca="1">IF(CTP=1,WORKDAY(上海期货交易所!E77,-1,Holiday)+1,WORKDAY(上海期货交易所!E77,0-全局参数,Holiday))</f>
        <v>42247</v>
      </c>
      <c r="F77" s="18">
        <f ca="1">IF(CTP=1,WORKDAY(上海期货交易所!F77,-1,Holiday)+1,WORKDAY(上海期货交易所!F77,0-全局参数,Holiday))</f>
        <v>42257</v>
      </c>
      <c r="G77" s="18">
        <f t="shared" ca="1" si="20"/>
        <v>42255</v>
      </c>
      <c r="AA77" t="str">
        <f t="shared" ca="1" si="17"/>
        <v/>
      </c>
    </row>
    <row r="78" spans="1:27" x14ac:dyDescent="0.15">
      <c r="A78" s="22" t="str">
        <f t="shared" ca="1" si="21"/>
        <v>Au1510</v>
      </c>
      <c r="B78" s="12">
        <f t="shared" ca="1" si="18"/>
        <v>41961</v>
      </c>
      <c r="C78" s="12">
        <f t="shared" ca="1" si="19"/>
        <v>42292</v>
      </c>
      <c r="D78" s="12">
        <f ca="1">IF(CTP=1,WORKDAY(上海期货交易所!D78,-1,Holiday)+1,WORKDAY(上海期货交易所!D78,0-全局参数,Holiday))</f>
        <v>42247</v>
      </c>
      <c r="E78" s="12">
        <f ca="1">IF(CTP=1,WORKDAY(上海期货交易所!E78,-1,Holiday)+1,WORKDAY(上海期货交易所!E78,0-全局参数,Holiday))</f>
        <v>42277</v>
      </c>
      <c r="F78" s="19">
        <f ca="1">IF(CTP=1,WORKDAY(上海期货交易所!F78,-1,Holiday)+1,WORKDAY(上海期货交易所!F78,0-全局参数,Holiday))</f>
        <v>42289</v>
      </c>
      <c r="G78" s="19">
        <f t="shared" ca="1" si="20"/>
        <v>42285</v>
      </c>
      <c r="AA78" t="str">
        <f t="shared" ca="1" si="17"/>
        <v/>
      </c>
    </row>
    <row r="79" spans="1:27" x14ac:dyDescent="0.15">
      <c r="A79" s="21" t="str">
        <f t="shared" ca="1" si="21"/>
        <v>Au1511</v>
      </c>
      <c r="B79" s="11">
        <f t="shared" ca="1" si="18"/>
        <v>42234</v>
      </c>
      <c r="C79" s="11">
        <f t="shared" ca="1" si="19"/>
        <v>42324</v>
      </c>
      <c r="D79" s="11">
        <f ca="1">IF(CTP=1,WORKDAY(上海期货交易所!D79,-1,Holiday)+1,WORKDAY(上海期货交易所!D79,0-全局参数,Holiday))</f>
        <v>42277</v>
      </c>
      <c r="E79" s="11">
        <f ca="1">IF(CTP=1,WORKDAY(上海期货交易所!E79,-1,Holiday)+1,WORKDAY(上海期货交易所!E79,0-全局参数,Holiday))</f>
        <v>42307</v>
      </c>
      <c r="F79" s="18">
        <f ca="1">IF(CTP=1,WORKDAY(上海期货交易所!F79,-1,Holiday)+1,WORKDAY(上海期货交易所!F79,0-全局参数,Holiday))</f>
        <v>42319</v>
      </c>
      <c r="G79" s="18">
        <f t="shared" ca="1" si="20"/>
        <v>42317</v>
      </c>
      <c r="AA79" t="str">
        <f t="shared" ca="1" si="17"/>
        <v/>
      </c>
    </row>
    <row r="80" spans="1:27" x14ac:dyDescent="0.15">
      <c r="A80" s="22" t="str">
        <f t="shared" ca="1" si="21"/>
        <v>Au1512</v>
      </c>
      <c r="B80" s="12">
        <f t="shared" ca="1" si="18"/>
        <v>42020</v>
      </c>
      <c r="C80" s="12">
        <f t="shared" ca="1" si="19"/>
        <v>42353</v>
      </c>
      <c r="D80" s="12">
        <f ca="1">IF(CTP=1,WORKDAY(上海期货交易所!D80,-1,Holiday)+1,WORKDAY(上海期货交易所!D80,0-全局参数,Holiday))</f>
        <v>42307</v>
      </c>
      <c r="E80" s="12">
        <f ca="1">IF(CTP=1,WORKDAY(上海期货交易所!E80,-1,Holiday)+1,WORKDAY(上海期货交易所!E80,0-全局参数,Holiday))</f>
        <v>42338</v>
      </c>
      <c r="F80" s="19">
        <f ca="1">IF(CTP=1,WORKDAY(上海期货交易所!F80,-1,Holiday)+1,WORKDAY(上海期货交易所!F80,0-全局参数,Holiday))</f>
        <v>42348</v>
      </c>
      <c r="G80" s="19">
        <f t="shared" ca="1" si="20"/>
        <v>42346</v>
      </c>
      <c r="AA80" t="str">
        <f t="shared" ca="1" si="17"/>
        <v/>
      </c>
    </row>
    <row r="81" spans="1:27" x14ac:dyDescent="0.15">
      <c r="A81" s="21" t="str">
        <f t="shared" ca="1" si="21"/>
        <v>Au1601</v>
      </c>
      <c r="B81" s="11">
        <f t="shared" ca="1" si="18"/>
        <v>42293</v>
      </c>
      <c r="C81" s="11">
        <f t="shared" ca="1" si="19"/>
        <v>42384</v>
      </c>
      <c r="D81" s="11">
        <f ca="1">IF(CTP=1,WORKDAY(上海期货交易所!D81,-1,Holiday)+1,WORKDAY(上海期货交易所!D81,0-全局参数,Holiday))</f>
        <v>42338</v>
      </c>
      <c r="E81" s="11">
        <f ca="1">IF(CTP=1,WORKDAY(上海期货交易所!E81,-1,Holiday)+1,WORKDAY(上海期货交易所!E81,0-全局参数,Holiday))</f>
        <v>42369</v>
      </c>
      <c r="F81" s="18">
        <f ca="1">IF(CTP=1,WORKDAY(上海期货交易所!F81,-1,Holiday)+1,WORKDAY(上海期货交易所!F81,0-全局参数,Holiday))</f>
        <v>42381</v>
      </c>
      <c r="G81" s="18">
        <f t="shared" ca="1" si="20"/>
        <v>42377</v>
      </c>
      <c r="AA81" t="str">
        <f t="shared" ca="1" si="17"/>
        <v/>
      </c>
    </row>
    <row r="82" spans="1:27" x14ac:dyDescent="0.15">
      <c r="A82" s="22" t="str">
        <f t="shared" ca="1" si="21"/>
        <v>Au1602</v>
      </c>
      <c r="B82" s="12">
        <f t="shared" ca="1" si="18"/>
        <v>42080</v>
      </c>
      <c r="C82" s="12">
        <f t="shared" ca="1" si="19"/>
        <v>42415</v>
      </c>
      <c r="D82" s="12">
        <f ca="1">IF(CTP=1,WORKDAY(上海期货交易所!D82,-1,Holiday)+1,WORKDAY(上海期货交易所!D82,0-全局参数,Holiday))</f>
        <v>42369</v>
      </c>
      <c r="E82" s="12">
        <f ca="1">IF(CTP=1,WORKDAY(上海期货交易所!E82,-1,Holiday)+1,WORKDAY(上海期货交易所!E82,0-全局参数,Holiday))</f>
        <v>42398</v>
      </c>
      <c r="F82" s="19">
        <f ca="1">IF(CTP=1,WORKDAY(上海期货交易所!F82,-1,Holiday)+1,WORKDAY(上海期货交易所!F82,0-全局参数,Holiday))</f>
        <v>42410</v>
      </c>
      <c r="G82" s="19">
        <f t="shared" ca="1" si="20"/>
        <v>42408</v>
      </c>
      <c r="AA82" t="str">
        <f t="shared" ca="1" si="17"/>
        <v/>
      </c>
    </row>
    <row r="83" spans="1:27" x14ac:dyDescent="0.15">
      <c r="A83" s="21" t="str">
        <f t="shared" ca="1" si="21"/>
        <v>Au1603</v>
      </c>
      <c r="B83" s="11">
        <f t="shared" ca="1" si="18"/>
        <v>42354</v>
      </c>
      <c r="C83" s="11">
        <f t="shared" ca="1" si="19"/>
        <v>42444</v>
      </c>
      <c r="D83" s="11">
        <f ca="1">IF(CTP=1,WORKDAY(上海期货交易所!D83,-1,Holiday)+1,WORKDAY(上海期货交易所!D83,0-全局参数,Holiday))</f>
        <v>42398</v>
      </c>
      <c r="E83" s="11">
        <f ca="1">IF(CTP=1,WORKDAY(上海期货交易所!E83,-1,Holiday)+1,WORKDAY(上海期货交易所!E83,0-全局参数,Holiday))</f>
        <v>42429</v>
      </c>
      <c r="F83" s="18">
        <f ca="1">IF(CTP=1,WORKDAY(上海期货交易所!F83,-1,Holiday)+1,WORKDAY(上海期货交易所!F83,0-全局参数,Holiday))</f>
        <v>42439</v>
      </c>
      <c r="G83" s="18">
        <f t="shared" ca="1" si="20"/>
        <v>42437</v>
      </c>
      <c r="AA83" t="str">
        <f t="shared" ca="1" si="17"/>
        <v/>
      </c>
    </row>
    <row r="84" spans="1:27" x14ac:dyDescent="0.15">
      <c r="A84" s="22" t="str">
        <f t="shared" ca="1" si="21"/>
        <v>Au1604</v>
      </c>
      <c r="B84" s="12">
        <f t="shared" ca="1" si="18"/>
        <v>42110</v>
      </c>
      <c r="C84" s="12">
        <f t="shared" ca="1" si="19"/>
        <v>42475</v>
      </c>
      <c r="D84" s="12">
        <f ca="1">IF(CTP=1,WORKDAY(上海期货交易所!D84,-1,Holiday)+1,WORKDAY(上海期货交易所!D84,0-全局参数,Holiday))</f>
        <v>42429</v>
      </c>
      <c r="E84" s="12">
        <f ca="1">IF(CTP=1,WORKDAY(上海期货交易所!E84,-1,Holiday)+1,WORKDAY(上海期货交易所!E84,0-全局参数,Holiday))</f>
        <v>42460</v>
      </c>
      <c r="F84" s="19">
        <f ca="1">IF(CTP=1,WORKDAY(上海期货交易所!F84,-1,Holiday)+1,WORKDAY(上海期货交易所!F84,0-全局参数,Holiday))</f>
        <v>42472</v>
      </c>
      <c r="G84" s="19">
        <f t="shared" ca="1" si="20"/>
        <v>42468</v>
      </c>
      <c r="AA84" t="str">
        <f t="shared" ca="1" si="17"/>
        <v/>
      </c>
    </row>
    <row r="85" spans="1:27" x14ac:dyDescent="0.15">
      <c r="A85" s="21" t="str">
        <f t="shared" ca="1" si="21"/>
        <v>Au1605</v>
      </c>
      <c r="B85" s="11">
        <f t="shared" ca="1" si="18"/>
        <v>42416</v>
      </c>
      <c r="C85" s="11">
        <f t="shared" ca="1" si="19"/>
        <v>42506</v>
      </c>
      <c r="D85" s="11">
        <f ca="1">IF(CTP=1,WORKDAY(上海期货交易所!D85,-1,Holiday)+1,WORKDAY(上海期货交易所!D85,0-全局参数,Holiday))</f>
        <v>42460</v>
      </c>
      <c r="E85" s="11">
        <f ca="1">IF(CTP=1,WORKDAY(上海期货交易所!E85,-1,Holiday)+1,WORKDAY(上海期货交易所!E85,0-全局参数,Holiday))</f>
        <v>42489</v>
      </c>
      <c r="F85" s="18">
        <f ca="1">IF(CTP=1,WORKDAY(上海期货交易所!F85,-1,Holiday)+1,WORKDAY(上海期货交易所!F85,0-全局参数,Holiday))</f>
        <v>42501</v>
      </c>
      <c r="G85" s="18">
        <f t="shared" ca="1" si="20"/>
        <v>42499</v>
      </c>
      <c r="AA85" t="str">
        <f t="shared" ca="1" si="17"/>
        <v/>
      </c>
    </row>
    <row r="86" spans="1:27" x14ac:dyDescent="0.15">
      <c r="A86" s="22" t="str">
        <f t="shared" ca="1" si="21"/>
        <v>Au1606</v>
      </c>
      <c r="B86" s="12">
        <f t="shared" ca="1" si="18"/>
        <v>42142</v>
      </c>
      <c r="C86" s="12">
        <f t="shared" ca="1" si="19"/>
        <v>42536</v>
      </c>
      <c r="D86" s="12">
        <f ca="1">IF(CTP=1,WORKDAY(上海期货交易所!D86,-1,Holiday)+1,WORKDAY(上海期货交易所!D86,0-全局参数,Holiday))</f>
        <v>42489</v>
      </c>
      <c r="E86" s="12">
        <f ca="1">IF(CTP=1,WORKDAY(上海期货交易所!E86,-1,Holiday)+1,WORKDAY(上海期货交易所!E86,0-全局参数,Holiday))</f>
        <v>42521</v>
      </c>
      <c r="F86" s="19">
        <f ca="1">IF(CTP=1,WORKDAY(上海期货交易所!F86,-1,Holiday)+1,WORKDAY(上海期货交易所!F86,0-全局参数,Holiday))</f>
        <v>42531</v>
      </c>
      <c r="G86" s="19">
        <f t="shared" ca="1" si="20"/>
        <v>42529</v>
      </c>
      <c r="AA86" t="str">
        <f t="shared" ca="1" si="17"/>
        <v/>
      </c>
    </row>
    <row r="87" spans="1:27" x14ac:dyDescent="0.15">
      <c r="A87" s="21" t="str">
        <f t="shared" ca="1" si="21"/>
        <v>Au1607</v>
      </c>
      <c r="B87" s="11">
        <f t="shared" ca="1" si="18"/>
        <v>42478</v>
      </c>
      <c r="C87" s="11">
        <f t="shared" ca="1" si="19"/>
        <v>42566</v>
      </c>
      <c r="D87" s="11">
        <f ca="1">IF(CTP=1,WORKDAY(上海期货交易所!D87,-1,Holiday)+1,WORKDAY(上海期货交易所!D87,0-全局参数,Holiday))</f>
        <v>42521</v>
      </c>
      <c r="E87" s="11">
        <f ca="1">IF(CTP=1,WORKDAY(上海期货交易所!E87,-1,Holiday)+1,WORKDAY(上海期货交易所!E87,0-全局参数,Holiday))</f>
        <v>42551</v>
      </c>
      <c r="F87" s="18">
        <f ca="1">IF(CTP=1,WORKDAY(上海期货交易所!F87,-1,Holiday)+1,WORKDAY(上海期货交易所!F87,0-全局参数,Holiday))</f>
        <v>42563</v>
      </c>
      <c r="G87" s="18">
        <f t="shared" ca="1" si="20"/>
        <v>42559</v>
      </c>
      <c r="AA87" t="str">
        <f t="shared" ca="1" si="17"/>
        <v/>
      </c>
    </row>
    <row r="88" spans="1:27" x14ac:dyDescent="0.15">
      <c r="A88" s="22" t="str">
        <f t="shared" ca="1" si="21"/>
        <v>Au1608</v>
      </c>
      <c r="B88" s="12">
        <f t="shared" ca="1" si="18"/>
        <v>42201</v>
      </c>
      <c r="C88" s="12">
        <f t="shared" ca="1" si="19"/>
        <v>42597</v>
      </c>
      <c r="D88" s="12">
        <f ca="1">IF(CTP=1,WORKDAY(上海期货交易所!D88,-1,Holiday)+1,WORKDAY(上海期货交易所!D88,0-全局参数,Holiday))</f>
        <v>42551</v>
      </c>
      <c r="E88" s="12">
        <f ca="1">IF(CTP=1,WORKDAY(上海期货交易所!E88,-1,Holiday)+1,WORKDAY(上海期货交易所!E88,0-全局参数,Holiday))</f>
        <v>42580</v>
      </c>
      <c r="F88" s="19">
        <f ca="1">IF(CTP=1,WORKDAY(上海期货交易所!F88,-1,Holiday)+1,WORKDAY(上海期货交易所!F88,0-全局参数,Holiday))</f>
        <v>42592</v>
      </c>
      <c r="G88" s="19">
        <f t="shared" ca="1" si="20"/>
        <v>42590</v>
      </c>
      <c r="AA88" t="str">
        <f t="shared" ca="1" si="17"/>
        <v/>
      </c>
    </row>
    <row r="89" spans="1:27" x14ac:dyDescent="0.15">
      <c r="A89" s="21" t="str">
        <f t="shared" ca="1" si="21"/>
        <v>Au1609</v>
      </c>
      <c r="B89" s="11">
        <f t="shared" ca="1" si="18"/>
        <v>42537</v>
      </c>
      <c r="C89" s="11">
        <f t="shared" ref="C89:C90" ca="1" si="22">IF(RIGHT(A89,4)="1502",DATE(2015,2,10),IF(NETWORKDAYS(DATE("20"&amp;MID(A89,LEN(A89)-3,2),RIGHT(A89,2),IF(RIGHT(A89,4)="1201","13","15")),DATE("20"&amp;MID(A89,LEN(A89)-3,2),RIGHT(A89,2),IF(RIGHT(A89,4)="1201","13","15")),Holiday)=0,WORKDAY(DATE("20"&amp;MID(A89,LEN(A89)-3,2),RIGHT(A89,2),IF(RIGHT(A89,4)="1201","13","15")),1,Holiday),DATE("20"&amp;MID(A89,LEN(A89)-3,2),RIGHT(A89,2),IF(RIGHT(A89,4)="1201","13","15"))))</f>
        <v>42628</v>
      </c>
      <c r="D89" s="11">
        <f ca="1">IF(CTP=1,WORKDAY(上海期货交易所!D89,-1,Holiday)+1,WORKDAY(上海期货交易所!D89,0-全局参数,Holiday))</f>
        <v>42580</v>
      </c>
      <c r="E89" s="11">
        <f ca="1">IF(CTP=1,WORKDAY(上海期货交易所!E89,-1,Holiday)+1,WORKDAY(上海期货交易所!E89,0-全局参数,Holiday))</f>
        <v>42613</v>
      </c>
      <c r="F89" s="18">
        <f ca="1">IF(CTP=1,WORKDAY(上海期货交易所!F89,-1,Holiday)+1,WORKDAY(上海期货交易所!F89,0-全局参数,Holiday))</f>
        <v>42625</v>
      </c>
      <c r="G89" s="18">
        <f t="shared" ref="G89:G90" ca="1" si="23">WORKDAY(C89,-5,Holiday)</f>
        <v>42621</v>
      </c>
      <c r="AA89" t="str">
        <f t="shared" ca="1" si="17"/>
        <v/>
      </c>
    </row>
    <row r="90" spans="1:27" x14ac:dyDescent="0.15">
      <c r="A90" s="22" t="str">
        <f t="shared" ca="1" si="21"/>
        <v>Au1610</v>
      </c>
      <c r="B90" s="12">
        <f t="shared" ca="1" si="18"/>
        <v>42263</v>
      </c>
      <c r="C90" s="12">
        <f t="shared" ca="1" si="22"/>
        <v>42660</v>
      </c>
      <c r="D90" s="12">
        <f ca="1">IF(CTP=1,WORKDAY(上海期货交易所!D90,-1,Holiday)+1,WORKDAY(上海期货交易所!D90,0-全局参数,Holiday))</f>
        <v>42613</v>
      </c>
      <c r="E90" s="12">
        <f ca="1">IF(CTP=1,WORKDAY(上海期货交易所!E90,-1,Holiday)+1,WORKDAY(上海期货交易所!E90,0-全局参数,Holiday))</f>
        <v>42643</v>
      </c>
      <c r="F90" s="19">
        <f ca="1">IF(CTP=1,WORKDAY(上海期货交易所!F90,-1,Holiday)+1,WORKDAY(上海期货交易所!F90,0-全局参数,Holiday))</f>
        <v>42655</v>
      </c>
      <c r="G90" s="19">
        <f t="shared" ca="1" si="23"/>
        <v>42653</v>
      </c>
      <c r="AA90" t="str">
        <f t="shared" ca="1" si="17"/>
        <v/>
      </c>
    </row>
    <row r="91" spans="1:27" x14ac:dyDescent="0.15">
      <c r="A91" s="23"/>
      <c r="B91" s="23"/>
      <c r="C91" s="15"/>
      <c r="D91" s="15"/>
      <c r="E91" s="15"/>
      <c r="F91" s="15"/>
      <c r="AA91" t="str">
        <f t="shared" ca="1" si="17"/>
        <v/>
      </c>
    </row>
    <row r="92" spans="1:27" x14ac:dyDescent="0.15">
      <c r="A92" s="38"/>
      <c r="B92" s="38"/>
      <c r="C92" s="15"/>
      <c r="D92" s="15"/>
      <c r="E92" s="15"/>
      <c r="F92" s="15"/>
      <c r="AA92" t="str">
        <f t="shared" ca="1" si="17"/>
        <v/>
      </c>
    </row>
    <row r="93" spans="1:27" x14ac:dyDescent="0.15">
      <c r="A93" s="48" t="str">
        <f>"橡胶Ru"&amp;TEXT(橡胶Ru,"#%")</f>
        <v>橡胶Ru8%</v>
      </c>
      <c r="B93" s="49"/>
      <c r="C93" s="49"/>
      <c r="D93" s="49"/>
      <c r="E93" s="49"/>
      <c r="F93" s="49"/>
      <c r="G93" s="50"/>
      <c r="AA93" t="str">
        <f t="shared" ca="1" si="17"/>
        <v/>
      </c>
    </row>
    <row r="94" spans="1:27" ht="17.25" thickBot="1" x14ac:dyDescent="0.2">
      <c r="A94" s="20"/>
      <c r="B94" s="29" t="s">
        <v>46</v>
      </c>
      <c r="C94" s="9" t="s">
        <v>1</v>
      </c>
      <c r="D94" s="10">
        <f>MAX(10%,橡胶Ru)</f>
        <v>0.1</v>
      </c>
      <c r="E94" s="10">
        <f>MAX(15%,橡胶Ru)</f>
        <v>0.15</v>
      </c>
      <c r="F94" s="10">
        <v>0.2</v>
      </c>
      <c r="G94" s="20" t="s">
        <v>73</v>
      </c>
      <c r="AA94" t="str">
        <f t="shared" ca="1" si="17"/>
        <v/>
      </c>
    </row>
    <row r="95" spans="1:27" x14ac:dyDescent="0.15">
      <c r="A95" s="21" t="str">
        <f ca="1">"Ru"&amp;TEXT(IF(OR(MONTH(TODAY())=2,MONTH(TODAY())=12),DATE(YEAR(TODAY()),MONTH(TODAY())+1,"15"),IF(OR(MONTH(TODAY())=1,MONTH(TODAY())=11),DATE(YEAR(TODAY()),MONTH(TODAY())+IF(TEXT(DAY(TODAY()),"dd")&gt;IF(NETWORKDAYS(DATE(YEAR(TODAY()),MONTH(TODAY()),"15"),DATE(YEAR(TODAY()),MONTH(TODAY()),"15"),Holiday)=1,"15",TEXT(WORKDAY(DATE(YEAR(TODAY()),MONTH(TODAY()),"15"),1,Holiday),"dd")),2,0),"15"),DATE(YEAR(TODAY()),MONTH(TODAY())+IF(TEXT(DAY(TODAY()),"dd")&gt;IF(NETWORKDAYS(DATE(YEAR(TODAY()),MONTH(TODAY()),"15"),DATE(YEAR(TODAY()),MONTH(TODAY()),"15"),Holiday)=1,"15",TEXT(WORKDAY(DATE(YEAR(TODAY()),MONTH(TODAY()),"15"),1,Holiday),"dd")),1,0),"15"))),"yymm")</f>
        <v>Ru1507</v>
      </c>
      <c r="B95" s="11">
        <f t="shared" ref="B95:B106" ca="1" si="24">WORKDAY(IF(NETWORKDAYS(DATE("20"&amp;(MID(A95,LEN(A95)-3,2)-1),RIGHT(A95,2),IF(RIGHT(A95,4)="1201","13","15")),DATE("20"&amp;(MID(A95,LEN(A95)-3,2)-1),RIGHT(A95,2),IF(RIGHT(A95,4)="1201","13","15")),Holiday)=0,WORKDAY(DATE("20"&amp;(MID(A95,LEN(A95)-3,2)-1),RIGHT(A95,2),IF(RIGHT(A95,4)="1201","13","15")),1,Holiday),DATE("20"&amp;(MID(A95,LEN(A95)-3,2)-1),RIGHT(A95,2),IF(RIGHT(A95,4)="1201","13","15"))),1,Holiday)</f>
        <v>41836</v>
      </c>
      <c r="C95" s="11">
        <f ca="1">IF(NETWORKDAYS(DATE("20"&amp;MID(A95,LEN(A95)-3,2),RIGHT(A95,2),IF(RIGHT(A95,4)="1201","13","15")),DATE("20"&amp;MID(A95,LEN(A95)-3,2),RIGHT(A95,2),IF(RIGHT(A95,4)="1201","13","15")),Holiday)=0,WORKDAY(DATE("20"&amp;MID(A95,LEN(A95)-3,2),RIGHT(A95,2),IF(RIGHT(A95,4)="1201","13","15")),1,Holiday),DATE("20"&amp;MID(A95,LEN(A95)-3,2),RIGHT(A95,2),IF(RIGHT(A95,4)="1201","13","15")))</f>
        <v>42200</v>
      </c>
      <c r="D95" s="11">
        <f ca="1">IF(CTP=1,WORKDAY(上海期货交易所!D95,-1,Holiday)+1,WORKDAY(上海期货交易所!D95,0-全局参数,Holiday))</f>
        <v>42153</v>
      </c>
      <c r="E95" s="11">
        <f ca="1">IF(CTP=1,WORKDAY(上海期货交易所!E95,-1,Holiday)+1,WORKDAY(上海期货交易所!E95,0-全局参数,Holiday))</f>
        <v>42185</v>
      </c>
      <c r="F95" s="11">
        <f ca="1">IF(CTP=1,WORKDAY(上海期货交易所!F95,-1,Holiday)+1,WORKDAY(上海期货交易所!F95,0-全局参数,Holiday))</f>
        <v>42195</v>
      </c>
      <c r="G95" s="18">
        <f t="shared" ref="G95:G106" ca="1" si="25">WORKDAY(C95,-5,Holiday)</f>
        <v>42193</v>
      </c>
      <c r="AA95" t="str">
        <f t="shared" ca="1" si="17"/>
        <v/>
      </c>
    </row>
    <row r="96" spans="1:27" x14ac:dyDescent="0.15">
      <c r="A96" s="22" t="str">
        <f t="shared" ref="A96:A106" ca="1" si="26">"Ru"&amp;TEXT(DATE("20"&amp;MID(A95,LEN(A95)-3,2),RIGHT(A95,2)+IF(RIGHT(A95,1)="1",2,1),"15"),"yymm")</f>
        <v>Ru1508</v>
      </c>
      <c r="B96" s="12">
        <f t="shared" ca="1" si="24"/>
        <v>41869</v>
      </c>
      <c r="C96" s="12">
        <f t="shared" ref="C96:C104" ca="1" si="27">IF(NETWORKDAYS(DATE("20"&amp;MID(A96,LEN(A96)-3,2),RIGHT(A96,2),"15"),DATE("20"&amp;MID(A96,LEN(A96)-3,2),RIGHT(A96,2),"15"),Holiday)=0,WORKDAY(DATE("20"&amp;MID(A96,LEN(A96)-3,2),RIGHT(A96,2),"15"),1,Holiday),DATE("20"&amp;MID(A96,LEN(A96)-3,2),RIGHT(A96,2),"15"))</f>
        <v>42233</v>
      </c>
      <c r="D96" s="12">
        <f ca="1">IF(CTP=1,WORKDAY(上海期货交易所!D96,-1,Holiday)+1,WORKDAY(上海期货交易所!D96,0-全局参数,Holiday))</f>
        <v>42185</v>
      </c>
      <c r="E96" s="12">
        <f ca="1">IF(CTP=1,WORKDAY(上海期货交易所!E96,-1,Holiday)+1,WORKDAY(上海期货交易所!E96,0-全局参数,Holiday))</f>
        <v>42216</v>
      </c>
      <c r="F96" s="12">
        <f ca="1">IF(CTP=1,WORKDAY(上海期货交易所!F96,-1,Holiday)+1,WORKDAY(上海期货交易所!F96,0-全局参数,Holiday))</f>
        <v>42228</v>
      </c>
      <c r="G96" s="19">
        <f t="shared" ca="1" si="25"/>
        <v>42226</v>
      </c>
      <c r="AA96" t="str">
        <f t="shared" ca="1" si="17"/>
        <v/>
      </c>
    </row>
    <row r="97" spans="1:27" x14ac:dyDescent="0.15">
      <c r="A97" s="21" t="str">
        <f t="shared" ca="1" si="26"/>
        <v>Ru1509</v>
      </c>
      <c r="B97" s="11">
        <f t="shared" ca="1" si="24"/>
        <v>41898</v>
      </c>
      <c r="C97" s="11">
        <f t="shared" ca="1" si="27"/>
        <v>42262</v>
      </c>
      <c r="D97" s="11">
        <f ca="1">IF(CTP=1,WORKDAY(上海期货交易所!D97,-1,Holiday)+1,WORKDAY(上海期货交易所!D97,0-全局参数,Holiday))</f>
        <v>42216</v>
      </c>
      <c r="E97" s="11">
        <f ca="1">IF(CTP=1,WORKDAY(上海期货交易所!E97,-1,Holiday)+1,WORKDAY(上海期货交易所!E97,0-全局参数,Holiday))</f>
        <v>42247</v>
      </c>
      <c r="F97" s="11">
        <f ca="1">IF(CTP=1,WORKDAY(上海期货交易所!F97,-1,Holiday)+1,WORKDAY(上海期货交易所!F97,0-全局参数,Holiday))</f>
        <v>42257</v>
      </c>
      <c r="G97" s="18">
        <f t="shared" ca="1" si="25"/>
        <v>42255</v>
      </c>
      <c r="AA97" t="str">
        <f t="shared" ca="1" si="17"/>
        <v/>
      </c>
    </row>
    <row r="98" spans="1:27" x14ac:dyDescent="0.15">
      <c r="A98" s="22" t="str">
        <f t="shared" ca="1" si="26"/>
        <v>Ru1510</v>
      </c>
      <c r="B98" s="12">
        <f t="shared" ca="1" si="24"/>
        <v>41928</v>
      </c>
      <c r="C98" s="12">
        <f t="shared" ca="1" si="27"/>
        <v>42292</v>
      </c>
      <c r="D98" s="12">
        <f ca="1">IF(CTP=1,WORKDAY(上海期货交易所!D98,-1,Holiday)+1,WORKDAY(上海期货交易所!D98,0-全局参数,Holiday))</f>
        <v>42247</v>
      </c>
      <c r="E98" s="12">
        <f ca="1">IF(CTP=1,WORKDAY(上海期货交易所!E98,-1,Holiday)+1,WORKDAY(上海期货交易所!E98,0-全局参数,Holiday))</f>
        <v>42277</v>
      </c>
      <c r="F98" s="12">
        <f ca="1">IF(CTP=1,WORKDAY(上海期货交易所!F98,-1,Holiday)+1,WORKDAY(上海期货交易所!F98,0-全局参数,Holiday))</f>
        <v>42289</v>
      </c>
      <c r="G98" s="19">
        <f t="shared" ca="1" si="25"/>
        <v>42285</v>
      </c>
      <c r="AA98" t="str">
        <f t="shared" ca="1" si="17"/>
        <v/>
      </c>
    </row>
    <row r="99" spans="1:27" x14ac:dyDescent="0.15">
      <c r="A99" s="21" t="str">
        <f t="shared" ca="1" si="26"/>
        <v>Ru1511</v>
      </c>
      <c r="B99" s="11">
        <f t="shared" ca="1" si="24"/>
        <v>41961</v>
      </c>
      <c r="C99" s="11">
        <f t="shared" ca="1" si="27"/>
        <v>42324</v>
      </c>
      <c r="D99" s="11">
        <f ca="1">IF(CTP=1,WORKDAY(上海期货交易所!D99,-1,Holiday)+1,WORKDAY(上海期货交易所!D99,0-全局参数,Holiday))</f>
        <v>42277</v>
      </c>
      <c r="E99" s="11">
        <f ca="1">IF(CTP=1,WORKDAY(上海期货交易所!E99,-1,Holiday)+1,WORKDAY(上海期货交易所!E99,0-全局参数,Holiday))</f>
        <v>42307</v>
      </c>
      <c r="F99" s="11">
        <f ca="1">IF(CTP=1,WORKDAY(上海期货交易所!F99,-1,Holiday)+1,WORKDAY(上海期货交易所!F99,0-全局参数,Holiday))</f>
        <v>42319</v>
      </c>
      <c r="G99" s="18">
        <f t="shared" ca="1" si="25"/>
        <v>42317</v>
      </c>
      <c r="AA99" t="str">
        <f t="shared" ca="1" si="17"/>
        <v/>
      </c>
    </row>
    <row r="100" spans="1:27" x14ac:dyDescent="0.15">
      <c r="A100" s="22" t="str">
        <f t="shared" ca="1" si="26"/>
        <v>Ru1601</v>
      </c>
      <c r="B100" s="12">
        <f t="shared" ca="1" si="24"/>
        <v>42020</v>
      </c>
      <c r="C100" s="12">
        <f t="shared" ca="1" si="27"/>
        <v>42384</v>
      </c>
      <c r="D100" s="12">
        <f ca="1">IF(CTP=1,WORKDAY(上海期货交易所!D100,-1,Holiday)+1,WORKDAY(上海期货交易所!D100,0-全局参数,Holiday))</f>
        <v>42338</v>
      </c>
      <c r="E100" s="12">
        <f ca="1">IF(CTP=1,WORKDAY(上海期货交易所!E100,-1,Holiday)+1,WORKDAY(上海期货交易所!E100,0-全局参数,Holiday))</f>
        <v>42369</v>
      </c>
      <c r="F100" s="12">
        <f ca="1">IF(CTP=1,WORKDAY(上海期货交易所!F100,-1,Holiday)+1,WORKDAY(上海期货交易所!F100,0-全局参数,Holiday))</f>
        <v>42381</v>
      </c>
      <c r="G100" s="19">
        <f t="shared" ca="1" si="25"/>
        <v>42377</v>
      </c>
      <c r="AA100" t="str">
        <f t="shared" ca="1" si="17"/>
        <v/>
      </c>
    </row>
    <row r="101" spans="1:27" x14ac:dyDescent="0.15">
      <c r="A101" s="21" t="str">
        <f t="shared" ca="1" si="26"/>
        <v>Ru1603</v>
      </c>
      <c r="B101" s="11">
        <f t="shared" ca="1" si="24"/>
        <v>42080</v>
      </c>
      <c r="C101" s="11">
        <f t="shared" ca="1" si="27"/>
        <v>42444</v>
      </c>
      <c r="D101" s="11">
        <f ca="1">IF(CTP=1,WORKDAY(上海期货交易所!D101,-1,Holiday)+1,WORKDAY(上海期货交易所!D101,0-全局参数,Holiday))</f>
        <v>42398</v>
      </c>
      <c r="E101" s="11">
        <f ca="1">IF(CTP=1,WORKDAY(上海期货交易所!E101,-1,Holiday)+1,WORKDAY(上海期货交易所!E101,0-全局参数,Holiday))</f>
        <v>42429</v>
      </c>
      <c r="F101" s="11">
        <f ca="1">IF(CTP=1,WORKDAY(上海期货交易所!F101,-1,Holiday)+1,WORKDAY(上海期货交易所!F101,0-全局参数,Holiday))</f>
        <v>42439</v>
      </c>
      <c r="G101" s="18">
        <f t="shared" ca="1" si="25"/>
        <v>42437</v>
      </c>
      <c r="AA101" t="str">
        <f t="shared" ca="1" si="17"/>
        <v/>
      </c>
    </row>
    <row r="102" spans="1:27" x14ac:dyDescent="0.15">
      <c r="A102" s="22" t="str">
        <f t="shared" ca="1" si="26"/>
        <v>Ru1604</v>
      </c>
      <c r="B102" s="12">
        <f t="shared" ca="1" si="24"/>
        <v>42110</v>
      </c>
      <c r="C102" s="12">
        <f t="shared" ca="1" si="27"/>
        <v>42475</v>
      </c>
      <c r="D102" s="12">
        <f ca="1">IF(CTP=1,WORKDAY(上海期货交易所!D102,-1,Holiday)+1,WORKDAY(上海期货交易所!D102,0-全局参数,Holiday))</f>
        <v>42429</v>
      </c>
      <c r="E102" s="12">
        <f ca="1">IF(CTP=1,WORKDAY(上海期货交易所!E102,-1,Holiday)+1,WORKDAY(上海期货交易所!E102,0-全局参数,Holiday))</f>
        <v>42460</v>
      </c>
      <c r="F102" s="12">
        <f ca="1">IF(CTP=1,WORKDAY(上海期货交易所!F102,-1,Holiday)+1,WORKDAY(上海期货交易所!F102,0-全局参数,Holiday))</f>
        <v>42472</v>
      </c>
      <c r="G102" s="19">
        <f t="shared" ca="1" si="25"/>
        <v>42468</v>
      </c>
      <c r="AA102" t="str">
        <f t="shared" ca="1" si="17"/>
        <v/>
      </c>
    </row>
    <row r="103" spans="1:27" x14ac:dyDescent="0.15">
      <c r="A103" s="21" t="str">
        <f t="shared" ca="1" si="26"/>
        <v>Ru1605</v>
      </c>
      <c r="B103" s="11">
        <f t="shared" ca="1" si="24"/>
        <v>42142</v>
      </c>
      <c r="C103" s="11">
        <f t="shared" ca="1" si="27"/>
        <v>42506</v>
      </c>
      <c r="D103" s="11">
        <f ca="1">IF(CTP=1,WORKDAY(上海期货交易所!D103,-1,Holiday)+1,WORKDAY(上海期货交易所!D103,0-全局参数,Holiday))</f>
        <v>42460</v>
      </c>
      <c r="E103" s="11">
        <f ca="1">IF(CTP=1,WORKDAY(上海期货交易所!E103,-1,Holiday)+1,WORKDAY(上海期货交易所!E103,0-全局参数,Holiday))</f>
        <v>42489</v>
      </c>
      <c r="F103" s="11">
        <f ca="1">IF(CTP=1,WORKDAY(上海期货交易所!F103,-1,Holiday)+1,WORKDAY(上海期货交易所!F103,0-全局参数,Holiday))</f>
        <v>42501</v>
      </c>
      <c r="G103" s="18">
        <f t="shared" ca="1" si="25"/>
        <v>42499</v>
      </c>
      <c r="AA103" t="str">
        <f t="shared" ca="1" si="17"/>
        <v/>
      </c>
    </row>
    <row r="104" spans="1:27" x14ac:dyDescent="0.15">
      <c r="A104" s="22" t="str">
        <f t="shared" ca="1" si="26"/>
        <v>Ru1606</v>
      </c>
      <c r="B104" s="12">
        <f t="shared" ca="1" si="24"/>
        <v>42171</v>
      </c>
      <c r="C104" s="12">
        <f t="shared" ca="1" si="27"/>
        <v>42536</v>
      </c>
      <c r="D104" s="12">
        <f ca="1">IF(CTP=1,WORKDAY(上海期货交易所!D104,-1,Holiday)+1,WORKDAY(上海期货交易所!D104,0-全局参数,Holiday))</f>
        <v>42489</v>
      </c>
      <c r="E104" s="12">
        <f ca="1">IF(CTP=1,WORKDAY(上海期货交易所!E104,-1,Holiday)+1,WORKDAY(上海期货交易所!E104,0-全局参数,Holiday))</f>
        <v>42521</v>
      </c>
      <c r="F104" s="12">
        <f ca="1">IF(CTP=1,WORKDAY(上海期货交易所!F104,-1,Holiday)+1,WORKDAY(上海期货交易所!F104,0-全局参数,Holiday))</f>
        <v>42531</v>
      </c>
      <c r="G104" s="19">
        <f t="shared" ca="1" si="25"/>
        <v>42529</v>
      </c>
      <c r="AA104" t="str">
        <f t="shared" ca="1" si="17"/>
        <v/>
      </c>
    </row>
    <row r="105" spans="1:27" x14ac:dyDescent="0.15">
      <c r="A105" s="21" t="str">
        <f t="shared" ca="1" si="26"/>
        <v>Ru1607</v>
      </c>
      <c r="B105" s="11">
        <f t="shared" ca="1" si="24"/>
        <v>42201</v>
      </c>
      <c r="C105" s="11">
        <f t="shared" ref="C105:C106" ca="1" si="28">IF(NETWORKDAYS(DATE("20"&amp;MID(A105,LEN(A105)-3,2),RIGHT(A105,2),"15"),DATE("20"&amp;MID(A105,LEN(A105)-3,2),RIGHT(A105,2),"15"),Holiday)=0,WORKDAY(DATE("20"&amp;MID(A105,LEN(A105)-3,2),RIGHT(A105,2),"15"),1,Holiday),DATE("20"&amp;MID(A105,LEN(A105)-3,2),RIGHT(A105,2),"15"))</f>
        <v>42566</v>
      </c>
      <c r="D105" s="11">
        <f ca="1">IF(CTP=1,WORKDAY(上海期货交易所!D105,-1,Holiday)+1,WORKDAY(上海期货交易所!D105,0-全局参数,Holiday))</f>
        <v>42521</v>
      </c>
      <c r="E105" s="11">
        <f ca="1">IF(CTP=1,WORKDAY(上海期货交易所!E105,-1,Holiday)+1,WORKDAY(上海期货交易所!E105,0-全局参数,Holiday))</f>
        <v>42551</v>
      </c>
      <c r="F105" s="11">
        <f ca="1">IF(CTP=1,WORKDAY(上海期货交易所!F105,-1,Holiday)+1,WORKDAY(上海期货交易所!F105,0-全局参数,Holiday))</f>
        <v>42563</v>
      </c>
      <c r="G105" s="18">
        <f t="shared" ca="1" si="25"/>
        <v>42559</v>
      </c>
      <c r="AA105" t="str">
        <f t="shared" ca="1" si="17"/>
        <v/>
      </c>
    </row>
    <row r="106" spans="1:27" x14ac:dyDescent="0.15">
      <c r="A106" s="22" t="str">
        <f t="shared" ca="1" si="26"/>
        <v>Ru1608</v>
      </c>
      <c r="B106" s="12">
        <f t="shared" ca="1" si="24"/>
        <v>42234</v>
      </c>
      <c r="C106" s="12">
        <f t="shared" ca="1" si="28"/>
        <v>42597</v>
      </c>
      <c r="D106" s="12">
        <f ca="1">IF(CTP=1,WORKDAY(上海期货交易所!D106,-1,Holiday)+1,WORKDAY(上海期货交易所!D106,0-全局参数,Holiday))</f>
        <v>42551</v>
      </c>
      <c r="E106" s="12">
        <f ca="1">IF(CTP=1,WORKDAY(上海期货交易所!E106,-1,Holiday)+1,WORKDAY(上海期货交易所!E106,0-全局参数,Holiday))</f>
        <v>42580</v>
      </c>
      <c r="F106" s="12">
        <f ca="1">IF(CTP=1,WORKDAY(上海期货交易所!F106,-1,Holiday)+1,WORKDAY(上海期货交易所!F106,0-全局参数,Holiday))</f>
        <v>42592</v>
      </c>
      <c r="G106" s="19">
        <f t="shared" ca="1" si="25"/>
        <v>42590</v>
      </c>
      <c r="AA106" t="str">
        <f t="shared" ca="1" si="17"/>
        <v/>
      </c>
    </row>
    <row r="107" spans="1:27" x14ac:dyDescent="0.15">
      <c r="AA107" t="str">
        <f t="shared" ca="1" si="17"/>
        <v/>
      </c>
    </row>
    <row r="108" spans="1:27" x14ac:dyDescent="0.15">
      <c r="AA108" t="str">
        <f t="shared" ca="1" si="17"/>
        <v/>
      </c>
    </row>
    <row r="109" spans="1:27" x14ac:dyDescent="0.15">
      <c r="A109" s="48" t="str">
        <f>"螺纹钢Rb"&amp;TEXT(螺纹钢Rb,"#%")</f>
        <v>螺纹钢Rb6%</v>
      </c>
      <c r="B109" s="49"/>
      <c r="C109" s="49"/>
      <c r="D109" s="49"/>
      <c r="E109" s="49"/>
      <c r="F109" s="49"/>
      <c r="G109" s="50"/>
      <c r="AA109" t="str">
        <f t="shared" ca="1" si="17"/>
        <v/>
      </c>
    </row>
    <row r="110" spans="1:27" ht="17.25" thickBot="1" x14ac:dyDescent="0.2">
      <c r="A110" s="20"/>
      <c r="B110" s="29" t="s">
        <v>46</v>
      </c>
      <c r="C110" s="9" t="s">
        <v>1</v>
      </c>
      <c r="D110" s="10">
        <v>0.1</v>
      </c>
      <c r="E110" s="10">
        <v>0.15</v>
      </c>
      <c r="F110" s="10">
        <v>0.2</v>
      </c>
      <c r="G110" s="20" t="s">
        <v>73</v>
      </c>
      <c r="AA110" t="str">
        <f t="shared" ca="1" si="17"/>
        <v/>
      </c>
    </row>
    <row r="111" spans="1:27" x14ac:dyDescent="0.15">
      <c r="A111" s="21" t="str">
        <f ca="1">"Rb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Rb1507</v>
      </c>
      <c r="B111" s="11">
        <f t="shared" ref="B111:B124" ca="1" si="29">IF(RIGHT(A111,4)="1602",DATE(2015,2,16),WORKDAY(IF(NETWORKDAYS(DATE("20"&amp;(MID(A111,LEN(A111)-3,2)-1),RIGHT(A111,2),IF(RIGHT(A111,4)="1201","13","15")),DATE("20"&amp;(MID(A111,LEN(A111)-3,2)-1),RIGHT(A111,2),IF(RIGHT(A111,4)="1201","13","15")),Holiday)=0,WORKDAY(DATE("20"&amp;(MID(A111,LEN(A111)-3,2)-1),RIGHT(A111,2),IF(RIGHT(A111,4)="1201","13","15")),1,Holiday),DATE("20"&amp;(MID(A111,LEN(A111)-3,2)-1),RIGHT(A111,2),IF(RIGHT(A111,4)="1201","13","15"))),1,Holiday))</f>
        <v>41836</v>
      </c>
      <c r="C111" s="11">
        <f t="shared" ref="C111:C124" ca="1" si="30">IF(RIGHT(A111,4)="1502",DATE(2015,2,10),IF(NETWORKDAYS(DATE("20"&amp;MID(A111,LEN(A111)-3,2),RIGHT(A111,2),IF(RIGHT(A111,4)="1201","13","15")),DATE("20"&amp;MID(A111,LEN(A111)-3,2),RIGHT(A111,2),IF(RIGHT(A111,4)="1201","13","15")),Holiday)=0,WORKDAY(DATE("20"&amp;MID(A111,LEN(A111)-3,2),RIGHT(A111,2),IF(RIGHT(A111,4)="1201","13","15")),1,Holiday),DATE("20"&amp;MID(A111,LEN(A111)-3,2),RIGHT(A111,2),IF(RIGHT(A111,4)="1201","13","15"))))</f>
        <v>42200</v>
      </c>
      <c r="D111" s="11">
        <f ca="1">IF(CTP=1,WORKDAY(上海期货交易所!D111,-1,Holiday)+1,WORKDAY(上海期货交易所!D111,0-全局参数,Holiday))</f>
        <v>42153</v>
      </c>
      <c r="E111" s="11">
        <f ca="1">IF(CTP=1,WORKDAY(上海期货交易所!E111,-1,Holiday)+1,WORKDAY(上海期货交易所!E111,0-全局参数,Holiday))</f>
        <v>42185</v>
      </c>
      <c r="F111" s="11">
        <f ca="1">IF(CTP=1,WORKDAY(上海期货交易所!F111,-1,Holiday)+1,WORKDAY(上海期货交易所!F111,0-全局参数,Holiday))</f>
        <v>42195</v>
      </c>
      <c r="G111" s="18">
        <f t="shared" ref="G111:G124" ca="1" si="31">WORKDAY(C111,-5,Holiday)</f>
        <v>42193</v>
      </c>
      <c r="AA111" t="str">
        <f t="shared" ca="1" si="17"/>
        <v/>
      </c>
    </row>
    <row r="112" spans="1:27" x14ac:dyDescent="0.15">
      <c r="A112" s="22" t="str">
        <f ca="1">"Rb"&amp;TEXT(DATE("20"&amp;MID(A111,LEN(A111)-3,2),RIGHT(A111,2)+1,"15"),"yymm")</f>
        <v>Rb1508</v>
      </c>
      <c r="B112" s="12">
        <f t="shared" ca="1" si="29"/>
        <v>41869</v>
      </c>
      <c r="C112" s="12">
        <f t="shared" ca="1" si="30"/>
        <v>42233</v>
      </c>
      <c r="D112" s="12">
        <f ca="1">IF(CTP=1,WORKDAY(上海期货交易所!D112,-1,Holiday)+1,WORKDAY(上海期货交易所!D112,0-全局参数,Holiday))</f>
        <v>42185</v>
      </c>
      <c r="E112" s="12">
        <f ca="1">IF(CTP=1,WORKDAY(上海期货交易所!E112,-1,Holiday)+1,WORKDAY(上海期货交易所!E112,0-全局参数,Holiday))</f>
        <v>42216</v>
      </c>
      <c r="F112" s="12">
        <f ca="1">IF(CTP=1,WORKDAY(上海期货交易所!F112,-1,Holiday)+1,WORKDAY(上海期货交易所!F112,0-全局参数,Holiday))</f>
        <v>42228</v>
      </c>
      <c r="G112" s="19">
        <f t="shared" ca="1" si="31"/>
        <v>42226</v>
      </c>
      <c r="AA112" t="str">
        <f t="shared" ca="1" si="17"/>
        <v/>
      </c>
    </row>
    <row r="113" spans="1:27" x14ac:dyDescent="0.15">
      <c r="A113" s="21" t="str">
        <f t="shared" ref="A113:A124" ca="1" si="32">"Rb"&amp;TEXT(DATE("20"&amp;MID(A112,LEN(A112)-3,2),RIGHT(A112,2)+1,"15"),"yymm")</f>
        <v>Rb1509</v>
      </c>
      <c r="B113" s="11">
        <f t="shared" ca="1" si="29"/>
        <v>41898</v>
      </c>
      <c r="C113" s="11">
        <f t="shared" ca="1" si="30"/>
        <v>42262</v>
      </c>
      <c r="D113" s="11">
        <f ca="1">IF(CTP=1,WORKDAY(上海期货交易所!D113,-1,Holiday)+1,WORKDAY(上海期货交易所!D113,0-全局参数,Holiday))</f>
        <v>42216</v>
      </c>
      <c r="E113" s="11">
        <f ca="1">IF(CTP=1,WORKDAY(上海期货交易所!E113,-1,Holiday)+1,WORKDAY(上海期货交易所!E113,0-全局参数,Holiday))</f>
        <v>42247</v>
      </c>
      <c r="F113" s="11">
        <f ca="1">IF(CTP=1,WORKDAY(上海期货交易所!F113,-1,Holiday)+1,WORKDAY(上海期货交易所!F113,0-全局参数,Holiday))</f>
        <v>42257</v>
      </c>
      <c r="G113" s="18">
        <f t="shared" ca="1" si="31"/>
        <v>42255</v>
      </c>
      <c r="AA113" t="str">
        <f t="shared" ca="1" si="17"/>
        <v/>
      </c>
    </row>
    <row r="114" spans="1:27" x14ac:dyDescent="0.15">
      <c r="A114" s="22" t="str">
        <f t="shared" ca="1" si="32"/>
        <v>Rb1510</v>
      </c>
      <c r="B114" s="12">
        <f t="shared" ca="1" si="29"/>
        <v>41928</v>
      </c>
      <c r="C114" s="12">
        <f t="shared" ca="1" si="30"/>
        <v>42292</v>
      </c>
      <c r="D114" s="12">
        <f ca="1">IF(CTP=1,WORKDAY(上海期货交易所!D114,-1,Holiday)+1,WORKDAY(上海期货交易所!D114,0-全局参数,Holiday))</f>
        <v>42247</v>
      </c>
      <c r="E114" s="12">
        <f ca="1">IF(CTP=1,WORKDAY(上海期货交易所!E114,-1,Holiday)+1,WORKDAY(上海期货交易所!E114,0-全局参数,Holiday))</f>
        <v>42277</v>
      </c>
      <c r="F114" s="12">
        <f ca="1">IF(CTP=1,WORKDAY(上海期货交易所!F114,-1,Holiday)+1,WORKDAY(上海期货交易所!F114,0-全局参数,Holiday))</f>
        <v>42289</v>
      </c>
      <c r="G114" s="19">
        <f t="shared" ca="1" si="31"/>
        <v>42285</v>
      </c>
      <c r="AA114" t="str">
        <f t="shared" ca="1" si="17"/>
        <v/>
      </c>
    </row>
    <row r="115" spans="1:27" x14ac:dyDescent="0.15">
      <c r="A115" s="21" t="str">
        <f t="shared" ca="1" si="32"/>
        <v>Rb1511</v>
      </c>
      <c r="B115" s="11">
        <f t="shared" ca="1" si="29"/>
        <v>41961</v>
      </c>
      <c r="C115" s="11">
        <f t="shared" ca="1" si="30"/>
        <v>42324</v>
      </c>
      <c r="D115" s="11">
        <f ca="1">IF(CTP=1,WORKDAY(上海期货交易所!D115,-1,Holiday)+1,WORKDAY(上海期货交易所!D115,0-全局参数,Holiday))</f>
        <v>42277</v>
      </c>
      <c r="E115" s="11">
        <f ca="1">IF(CTP=1,WORKDAY(上海期货交易所!E115,-1,Holiday)+1,WORKDAY(上海期货交易所!E115,0-全局参数,Holiday))</f>
        <v>42307</v>
      </c>
      <c r="F115" s="11">
        <f ca="1">IF(CTP=1,WORKDAY(上海期货交易所!F115,-1,Holiday)+1,WORKDAY(上海期货交易所!F115,0-全局参数,Holiday))</f>
        <v>42319</v>
      </c>
      <c r="G115" s="18">
        <f t="shared" ca="1" si="31"/>
        <v>42317</v>
      </c>
      <c r="AA115" t="str">
        <f t="shared" ca="1" si="17"/>
        <v/>
      </c>
    </row>
    <row r="116" spans="1:27" x14ac:dyDescent="0.15">
      <c r="A116" s="22" t="str">
        <f t="shared" ca="1" si="32"/>
        <v>Rb1512</v>
      </c>
      <c r="B116" s="12">
        <f t="shared" ca="1" si="29"/>
        <v>41989</v>
      </c>
      <c r="C116" s="12">
        <f t="shared" ca="1" si="30"/>
        <v>42353</v>
      </c>
      <c r="D116" s="12">
        <f ca="1">IF(CTP=1,WORKDAY(上海期货交易所!D116,-1,Holiday)+1,WORKDAY(上海期货交易所!D116,0-全局参数,Holiday))</f>
        <v>42307</v>
      </c>
      <c r="E116" s="12">
        <f ca="1">IF(CTP=1,WORKDAY(上海期货交易所!E116,-1,Holiday)+1,WORKDAY(上海期货交易所!E116,0-全局参数,Holiday))</f>
        <v>42338</v>
      </c>
      <c r="F116" s="12">
        <f ca="1">IF(CTP=1,WORKDAY(上海期货交易所!F116,-1,Holiday)+1,WORKDAY(上海期货交易所!F116,0-全局参数,Holiday))</f>
        <v>42348</v>
      </c>
      <c r="G116" s="19">
        <f t="shared" ca="1" si="31"/>
        <v>42346</v>
      </c>
      <c r="AA116" t="str">
        <f t="shared" ca="1" si="17"/>
        <v/>
      </c>
    </row>
    <row r="117" spans="1:27" x14ac:dyDescent="0.15">
      <c r="A117" s="21" t="str">
        <f t="shared" ca="1" si="32"/>
        <v>Rb1601</v>
      </c>
      <c r="B117" s="11">
        <f t="shared" ca="1" si="29"/>
        <v>42020</v>
      </c>
      <c r="C117" s="11">
        <f t="shared" ca="1" si="30"/>
        <v>42384</v>
      </c>
      <c r="D117" s="11">
        <f ca="1">IF(CTP=1,WORKDAY(上海期货交易所!D117,-1,Holiday)+1,WORKDAY(上海期货交易所!D117,0-全局参数,Holiday))</f>
        <v>42338</v>
      </c>
      <c r="E117" s="11">
        <f ca="1">IF(CTP=1,WORKDAY(上海期货交易所!E117,-1,Holiday)+1,WORKDAY(上海期货交易所!E117,0-全局参数,Holiday))</f>
        <v>42369</v>
      </c>
      <c r="F117" s="11">
        <f ca="1">IF(CTP=1,WORKDAY(上海期货交易所!F117,-1,Holiday)+1,WORKDAY(上海期货交易所!F117,0-全局参数,Holiday))</f>
        <v>42381</v>
      </c>
      <c r="G117" s="18">
        <f t="shared" ca="1" si="31"/>
        <v>42377</v>
      </c>
      <c r="AA117" t="str">
        <f t="shared" ca="1" si="17"/>
        <v/>
      </c>
    </row>
    <row r="118" spans="1:27" x14ac:dyDescent="0.15">
      <c r="A118" s="22" t="str">
        <f t="shared" ca="1" si="32"/>
        <v>Rb1602</v>
      </c>
      <c r="B118" s="12">
        <f t="shared" ca="1" si="29"/>
        <v>42051</v>
      </c>
      <c r="C118" s="12">
        <f t="shared" ca="1" si="30"/>
        <v>42415</v>
      </c>
      <c r="D118" s="12">
        <f ca="1">IF(CTP=1,WORKDAY(上海期货交易所!D118,-1,Holiday)+1,WORKDAY(上海期货交易所!D118,0-全局参数,Holiday))</f>
        <v>42369</v>
      </c>
      <c r="E118" s="12">
        <f ca="1">IF(CTP=1,WORKDAY(上海期货交易所!E118,-1,Holiday)+1,WORKDAY(上海期货交易所!E118,0-全局参数,Holiday))</f>
        <v>42398</v>
      </c>
      <c r="F118" s="12">
        <f ca="1">IF(CTP=1,WORKDAY(上海期货交易所!F118,-1,Holiday)+1,WORKDAY(上海期货交易所!F118,0-全局参数,Holiday))</f>
        <v>42410</v>
      </c>
      <c r="G118" s="19">
        <f t="shared" ca="1" si="31"/>
        <v>42408</v>
      </c>
      <c r="AA118" t="str">
        <f t="shared" ca="1" si="17"/>
        <v/>
      </c>
    </row>
    <row r="119" spans="1:27" x14ac:dyDescent="0.15">
      <c r="A119" s="21" t="str">
        <f t="shared" ca="1" si="32"/>
        <v>Rb1603</v>
      </c>
      <c r="B119" s="11">
        <f t="shared" ca="1" si="29"/>
        <v>42080</v>
      </c>
      <c r="C119" s="11">
        <f t="shared" ca="1" si="30"/>
        <v>42444</v>
      </c>
      <c r="D119" s="11">
        <f ca="1">IF(CTP=1,WORKDAY(上海期货交易所!D119,-1,Holiday)+1,WORKDAY(上海期货交易所!D119,0-全局参数,Holiday))</f>
        <v>42398</v>
      </c>
      <c r="E119" s="11">
        <f ca="1">IF(CTP=1,WORKDAY(上海期货交易所!E119,-1,Holiday)+1,WORKDAY(上海期货交易所!E119,0-全局参数,Holiday))</f>
        <v>42429</v>
      </c>
      <c r="F119" s="11">
        <f ca="1">IF(CTP=1,WORKDAY(上海期货交易所!F119,-1,Holiday)+1,WORKDAY(上海期货交易所!F119,0-全局参数,Holiday))</f>
        <v>42439</v>
      </c>
      <c r="G119" s="18">
        <f t="shared" ca="1" si="31"/>
        <v>42437</v>
      </c>
      <c r="AA119" t="str">
        <f t="shared" ca="1" si="17"/>
        <v/>
      </c>
    </row>
    <row r="120" spans="1:27" x14ac:dyDescent="0.15">
      <c r="A120" s="22" t="str">
        <f t="shared" ca="1" si="32"/>
        <v>Rb1604</v>
      </c>
      <c r="B120" s="12">
        <f t="shared" ca="1" si="29"/>
        <v>42110</v>
      </c>
      <c r="C120" s="12">
        <f t="shared" ca="1" si="30"/>
        <v>42475</v>
      </c>
      <c r="D120" s="12">
        <f ca="1">IF(CTP=1,WORKDAY(上海期货交易所!D120,-1,Holiday)+1,WORKDAY(上海期货交易所!D120,0-全局参数,Holiday))</f>
        <v>42429</v>
      </c>
      <c r="E120" s="12">
        <f ca="1">IF(CTP=1,WORKDAY(上海期货交易所!E120,-1,Holiday)+1,WORKDAY(上海期货交易所!E120,0-全局参数,Holiday))</f>
        <v>42460</v>
      </c>
      <c r="F120" s="12">
        <f ca="1">IF(CTP=1,WORKDAY(上海期货交易所!F120,-1,Holiday)+1,WORKDAY(上海期货交易所!F120,0-全局参数,Holiday))</f>
        <v>42472</v>
      </c>
      <c r="G120" s="19">
        <f t="shared" ca="1" si="31"/>
        <v>42468</v>
      </c>
      <c r="AA120" t="str">
        <f t="shared" ca="1" si="17"/>
        <v/>
      </c>
    </row>
    <row r="121" spans="1:27" x14ac:dyDescent="0.15">
      <c r="A121" s="21" t="str">
        <f t="shared" ca="1" si="32"/>
        <v>Rb1605</v>
      </c>
      <c r="B121" s="11">
        <f t="shared" ca="1" si="29"/>
        <v>42142</v>
      </c>
      <c r="C121" s="11">
        <f t="shared" ca="1" si="30"/>
        <v>42506</v>
      </c>
      <c r="D121" s="11">
        <f ca="1">IF(CTP=1,WORKDAY(上海期货交易所!D121,-1,Holiday)+1,WORKDAY(上海期货交易所!D121,0-全局参数,Holiday))</f>
        <v>42460</v>
      </c>
      <c r="E121" s="11">
        <f ca="1">IF(CTP=1,WORKDAY(上海期货交易所!E121,-1,Holiday)+1,WORKDAY(上海期货交易所!E121,0-全局参数,Holiday))</f>
        <v>42489</v>
      </c>
      <c r="F121" s="11">
        <f ca="1">IF(CTP=1,WORKDAY(上海期货交易所!F121,-1,Holiday)+1,WORKDAY(上海期货交易所!F121,0-全局参数,Holiday))</f>
        <v>42501</v>
      </c>
      <c r="G121" s="18">
        <f t="shared" ca="1" si="31"/>
        <v>42499</v>
      </c>
      <c r="AA121" t="str">
        <f t="shared" ca="1" si="17"/>
        <v/>
      </c>
    </row>
    <row r="122" spans="1:27" x14ac:dyDescent="0.15">
      <c r="A122" s="22" t="str">
        <f t="shared" ca="1" si="32"/>
        <v>Rb1606</v>
      </c>
      <c r="B122" s="12">
        <f t="shared" ca="1" si="29"/>
        <v>42171</v>
      </c>
      <c r="C122" s="12">
        <f t="shared" ca="1" si="30"/>
        <v>42536</v>
      </c>
      <c r="D122" s="12">
        <f ca="1">IF(CTP=1,WORKDAY(上海期货交易所!D122,-1,Holiday)+1,WORKDAY(上海期货交易所!D122,0-全局参数,Holiday))</f>
        <v>42489</v>
      </c>
      <c r="E122" s="12">
        <f ca="1">IF(CTP=1,WORKDAY(上海期货交易所!E122,-1,Holiday)+1,WORKDAY(上海期货交易所!E122,0-全局参数,Holiday))</f>
        <v>42521</v>
      </c>
      <c r="F122" s="12">
        <f ca="1">IF(CTP=1,WORKDAY(上海期货交易所!F122,-1,Holiday)+1,WORKDAY(上海期货交易所!F122,0-全局参数,Holiday))</f>
        <v>42531</v>
      </c>
      <c r="G122" s="19">
        <f t="shared" ca="1" si="31"/>
        <v>42529</v>
      </c>
      <c r="AA122" t="str">
        <f t="shared" ca="1" si="17"/>
        <v/>
      </c>
    </row>
    <row r="123" spans="1:27" x14ac:dyDescent="0.15">
      <c r="A123" s="21" t="str">
        <f t="shared" ca="1" si="32"/>
        <v>Rb1607</v>
      </c>
      <c r="B123" s="11">
        <f t="shared" ca="1" si="29"/>
        <v>42201</v>
      </c>
      <c r="C123" s="11">
        <f t="shared" ca="1" si="30"/>
        <v>42566</v>
      </c>
      <c r="D123" s="11">
        <f ca="1">IF(CTP=1,WORKDAY(上海期货交易所!D123,-1,Holiday)+1,WORKDAY(上海期货交易所!D123,0-全局参数,Holiday))</f>
        <v>42521</v>
      </c>
      <c r="E123" s="11">
        <f ca="1">IF(CTP=1,WORKDAY(上海期货交易所!E123,-1,Holiday)+1,WORKDAY(上海期货交易所!E123,0-全局参数,Holiday))</f>
        <v>42551</v>
      </c>
      <c r="F123" s="11">
        <f ca="1">IF(CTP=1,WORKDAY(上海期货交易所!F123,-1,Holiday)+1,WORKDAY(上海期货交易所!F123,0-全局参数,Holiday))</f>
        <v>42563</v>
      </c>
      <c r="G123" s="18">
        <f t="shared" ca="1" si="31"/>
        <v>42559</v>
      </c>
      <c r="AA123" t="str">
        <f t="shared" ca="1" si="17"/>
        <v/>
      </c>
    </row>
    <row r="124" spans="1:27" x14ac:dyDescent="0.15">
      <c r="A124" s="22" t="str">
        <f t="shared" ca="1" si="32"/>
        <v>Rb1608</v>
      </c>
      <c r="B124" s="12">
        <f t="shared" ca="1" si="29"/>
        <v>42234</v>
      </c>
      <c r="C124" s="12">
        <f t="shared" ca="1" si="30"/>
        <v>42597</v>
      </c>
      <c r="D124" s="12">
        <f ca="1">IF(CTP=1,WORKDAY(上海期货交易所!D124,-1,Holiday)+1,WORKDAY(上海期货交易所!D124,0-全局参数,Holiday))</f>
        <v>42551</v>
      </c>
      <c r="E124" s="12">
        <f ca="1">IF(CTP=1,WORKDAY(上海期货交易所!E124,-1,Holiday)+1,WORKDAY(上海期货交易所!E124,0-全局参数,Holiday))</f>
        <v>42580</v>
      </c>
      <c r="F124" s="12">
        <f ca="1">IF(CTP=1,WORKDAY(上海期货交易所!F124,-1,Holiday)+1,WORKDAY(上海期货交易所!F124,0-全局参数,Holiday))</f>
        <v>42592</v>
      </c>
      <c r="G124" s="19">
        <f t="shared" ca="1" si="31"/>
        <v>42590</v>
      </c>
      <c r="AA124" t="str">
        <f t="shared" ca="1" si="17"/>
        <v/>
      </c>
    </row>
    <row r="125" spans="1:27" x14ac:dyDescent="0.15">
      <c r="A125" s="23"/>
      <c r="B125" s="23"/>
      <c r="C125" s="15"/>
      <c r="D125" s="15"/>
      <c r="E125" s="15"/>
      <c r="F125" s="15"/>
      <c r="AA125" t="str">
        <f t="shared" ca="1" si="17"/>
        <v/>
      </c>
    </row>
    <row r="126" spans="1:27" x14ac:dyDescent="0.15">
      <c r="A126" s="23"/>
      <c r="B126" s="23"/>
      <c r="C126" s="15"/>
      <c r="D126" s="15"/>
      <c r="E126" s="15"/>
      <c r="F126" s="15"/>
      <c r="AA126" t="str">
        <f t="shared" ca="1" si="17"/>
        <v/>
      </c>
    </row>
    <row r="127" spans="1:27" x14ac:dyDescent="0.15">
      <c r="A127" s="48" t="str">
        <f>"线材Wr"&amp;TEXT(线材Wr,"#%")</f>
        <v>线材Wr7%</v>
      </c>
      <c r="B127" s="49"/>
      <c r="C127" s="49"/>
      <c r="D127" s="49"/>
      <c r="E127" s="49"/>
      <c r="F127" s="49"/>
      <c r="G127" s="50"/>
      <c r="AA127" t="str">
        <f t="shared" ca="1" si="17"/>
        <v/>
      </c>
    </row>
    <row r="128" spans="1:27" ht="17.25" thickBot="1" x14ac:dyDescent="0.2">
      <c r="A128" s="20"/>
      <c r="B128" s="29" t="s">
        <v>47</v>
      </c>
      <c r="C128" s="13" t="s">
        <v>1</v>
      </c>
      <c r="D128" s="10">
        <v>0.1</v>
      </c>
      <c r="E128" s="10">
        <v>0.15</v>
      </c>
      <c r="F128" s="10">
        <v>0.2</v>
      </c>
      <c r="G128" s="20" t="s">
        <v>73</v>
      </c>
      <c r="AA128" t="str">
        <f t="shared" ca="1" si="17"/>
        <v/>
      </c>
    </row>
    <row r="129" spans="1:27" x14ac:dyDescent="0.15">
      <c r="A129" s="21" t="str">
        <f ca="1">"Wr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Wr1507</v>
      </c>
      <c r="B129" s="11">
        <f t="shared" ref="B129:B142" ca="1" si="33">IF(RIGHT(A129,4)="1602",DATE(2015,2,16),WORKDAY(IF(NETWORKDAYS(DATE("20"&amp;(MID(A129,LEN(A129)-3,2)-1),RIGHT(A129,2),IF(RIGHT(A129,4)="1201","13","15")),DATE("20"&amp;(MID(A129,LEN(A129)-3,2)-1),RIGHT(A129,2),IF(RIGHT(A129,4)="1201","13","15")),Holiday)=0,WORKDAY(DATE("20"&amp;(MID(A129,LEN(A129)-3,2)-1),RIGHT(A129,2),IF(RIGHT(A129,4)="1201","13","15")),1,Holiday),DATE("20"&amp;(MID(A129,LEN(A129)-3,2)-1),RIGHT(A129,2),IF(RIGHT(A129,4)="1201","13","15"))),1,Holiday))</f>
        <v>41836</v>
      </c>
      <c r="C129" s="11">
        <f t="shared" ref="C129:C142" ca="1" si="34">IF(RIGHT(A129,4)="1502",DATE(2015,2,10),IF(NETWORKDAYS(DATE("20"&amp;MID(A129,LEN(A129)-3,2),RIGHT(A129,2),IF(RIGHT(A129,4)="1201","13","15")),DATE("20"&amp;MID(A129,LEN(A129)-3,2),RIGHT(A129,2),IF(RIGHT(A129,4)="1201","13","15")),Holiday)=0,WORKDAY(DATE("20"&amp;MID(A129,LEN(A129)-3,2),RIGHT(A129,2),IF(RIGHT(A129,4)="1201","13","15")),1,Holiday),DATE("20"&amp;MID(A129,LEN(A129)-3,2),RIGHT(A129,2),IF(RIGHT(A129,4)="1201","13","15"))))</f>
        <v>42200</v>
      </c>
      <c r="D129" s="11">
        <f ca="1">IF(CTP=1,WORKDAY(上海期货交易所!D129,-1,Holiday)+1,WORKDAY(上海期货交易所!D129,0-全局参数,Holiday))</f>
        <v>42153</v>
      </c>
      <c r="E129" s="11">
        <f ca="1">IF(CTP=1,WORKDAY(上海期货交易所!E129,-1,Holiday)+1,WORKDAY(上海期货交易所!E129,0-全局参数,Holiday))</f>
        <v>42185</v>
      </c>
      <c r="F129" s="11">
        <f ca="1">IF(CTP=1,WORKDAY(上海期货交易所!F129,-1,Holiday)+1,WORKDAY(上海期货交易所!F129,0-全局参数,Holiday))</f>
        <v>42195</v>
      </c>
      <c r="G129" s="18">
        <f t="shared" ref="G129:G142" ca="1" si="35">WORKDAY(C129,-5,Holiday)</f>
        <v>42193</v>
      </c>
      <c r="AA129" t="str">
        <f t="shared" ca="1" si="17"/>
        <v/>
      </c>
    </row>
    <row r="130" spans="1:27" x14ac:dyDescent="0.15">
      <c r="A130" s="22" t="str">
        <f ca="1">"Wr"&amp;TEXT(DATE("20"&amp;MID(A129,LEN(A129)-3,2),RIGHT(A129,2)+1,"15"),"yymm")</f>
        <v>Wr1508</v>
      </c>
      <c r="B130" s="12">
        <f t="shared" ca="1" si="33"/>
        <v>41869</v>
      </c>
      <c r="C130" s="12">
        <f t="shared" ca="1" si="34"/>
        <v>42233</v>
      </c>
      <c r="D130" s="12">
        <f ca="1">IF(CTP=1,WORKDAY(上海期货交易所!D130,-1,Holiday)+1,WORKDAY(上海期货交易所!D130,0-全局参数,Holiday))</f>
        <v>42185</v>
      </c>
      <c r="E130" s="12">
        <f ca="1">IF(CTP=1,WORKDAY(上海期货交易所!E130,-1,Holiday)+1,WORKDAY(上海期货交易所!E130,0-全局参数,Holiday))</f>
        <v>42216</v>
      </c>
      <c r="F130" s="12">
        <f ca="1">IF(CTP=1,WORKDAY(上海期货交易所!F130,-1,Holiday)+1,WORKDAY(上海期货交易所!F130,0-全局参数,Holiday))</f>
        <v>42228</v>
      </c>
      <c r="G130" s="19">
        <f t="shared" ca="1" si="35"/>
        <v>42226</v>
      </c>
      <c r="AA130" t="str">
        <f t="shared" ca="1" si="17"/>
        <v/>
      </c>
    </row>
    <row r="131" spans="1:27" x14ac:dyDescent="0.15">
      <c r="A131" s="21" t="str">
        <f t="shared" ref="A131:A142" ca="1" si="36">"Wr"&amp;TEXT(DATE("20"&amp;MID(A130,LEN(A130)-3,2),RIGHT(A130,2)+1,"15"),"yymm")</f>
        <v>Wr1509</v>
      </c>
      <c r="B131" s="11">
        <f t="shared" ca="1" si="33"/>
        <v>41898</v>
      </c>
      <c r="C131" s="11">
        <f t="shared" ca="1" si="34"/>
        <v>42262</v>
      </c>
      <c r="D131" s="11">
        <f ca="1">IF(CTP=1,WORKDAY(上海期货交易所!D131,-1,Holiday)+1,WORKDAY(上海期货交易所!D131,0-全局参数,Holiday))</f>
        <v>42216</v>
      </c>
      <c r="E131" s="11">
        <f ca="1">IF(CTP=1,WORKDAY(上海期货交易所!E131,-1,Holiday)+1,WORKDAY(上海期货交易所!E131,0-全局参数,Holiday))</f>
        <v>42247</v>
      </c>
      <c r="F131" s="11">
        <f ca="1">IF(CTP=1,WORKDAY(上海期货交易所!F131,-1,Holiday)+1,WORKDAY(上海期货交易所!F131,0-全局参数,Holiday))</f>
        <v>42257</v>
      </c>
      <c r="G131" s="18">
        <f t="shared" ca="1" si="35"/>
        <v>42255</v>
      </c>
      <c r="AA131" t="str">
        <f t="shared" ca="1" si="17"/>
        <v/>
      </c>
    </row>
    <row r="132" spans="1:27" x14ac:dyDescent="0.15">
      <c r="A132" s="22" t="str">
        <f t="shared" ca="1" si="36"/>
        <v>Wr1510</v>
      </c>
      <c r="B132" s="12">
        <f t="shared" ca="1" si="33"/>
        <v>41928</v>
      </c>
      <c r="C132" s="12">
        <f t="shared" ca="1" si="34"/>
        <v>42292</v>
      </c>
      <c r="D132" s="12">
        <f ca="1">IF(CTP=1,WORKDAY(上海期货交易所!D132,-1,Holiday)+1,WORKDAY(上海期货交易所!D132,0-全局参数,Holiday))</f>
        <v>42247</v>
      </c>
      <c r="E132" s="12">
        <f ca="1">IF(CTP=1,WORKDAY(上海期货交易所!E132,-1,Holiday)+1,WORKDAY(上海期货交易所!E132,0-全局参数,Holiday))</f>
        <v>42277</v>
      </c>
      <c r="F132" s="12">
        <f ca="1">IF(CTP=1,WORKDAY(上海期货交易所!F132,-1,Holiday)+1,WORKDAY(上海期货交易所!F132,0-全局参数,Holiday))</f>
        <v>42289</v>
      </c>
      <c r="G132" s="19">
        <f t="shared" ca="1" si="35"/>
        <v>42285</v>
      </c>
      <c r="AA132" t="str">
        <f t="shared" ref="AA132:AA195" ca="1" si="37">IFERROR(IF(AND(B132+0&gt;TODAY(),B132+0&lt;DATE(YEAR(TODAY()),MONTH(TODAY())+1,DAY(TODAY()))),ROW(),""),"")</f>
        <v/>
      </c>
    </row>
    <row r="133" spans="1:27" x14ac:dyDescent="0.15">
      <c r="A133" s="21" t="str">
        <f t="shared" ca="1" si="36"/>
        <v>Wr1511</v>
      </c>
      <c r="B133" s="11">
        <f t="shared" ca="1" si="33"/>
        <v>41961</v>
      </c>
      <c r="C133" s="11">
        <f t="shared" ca="1" si="34"/>
        <v>42324</v>
      </c>
      <c r="D133" s="11">
        <f ca="1">IF(CTP=1,WORKDAY(上海期货交易所!D133,-1,Holiday)+1,WORKDAY(上海期货交易所!D133,0-全局参数,Holiday))</f>
        <v>42277</v>
      </c>
      <c r="E133" s="11">
        <f ca="1">IF(CTP=1,WORKDAY(上海期货交易所!E133,-1,Holiday)+1,WORKDAY(上海期货交易所!E133,0-全局参数,Holiday))</f>
        <v>42307</v>
      </c>
      <c r="F133" s="11">
        <f ca="1">IF(CTP=1,WORKDAY(上海期货交易所!F133,-1,Holiday)+1,WORKDAY(上海期货交易所!F133,0-全局参数,Holiday))</f>
        <v>42319</v>
      </c>
      <c r="G133" s="18">
        <f t="shared" ca="1" si="35"/>
        <v>42317</v>
      </c>
      <c r="AA133" t="str">
        <f t="shared" ca="1" si="37"/>
        <v/>
      </c>
    </row>
    <row r="134" spans="1:27" x14ac:dyDescent="0.15">
      <c r="A134" s="22" t="str">
        <f t="shared" ca="1" si="36"/>
        <v>Wr1512</v>
      </c>
      <c r="B134" s="12">
        <f t="shared" ca="1" si="33"/>
        <v>41989</v>
      </c>
      <c r="C134" s="12">
        <f t="shared" ca="1" si="34"/>
        <v>42353</v>
      </c>
      <c r="D134" s="12">
        <f ca="1">IF(CTP=1,WORKDAY(上海期货交易所!D134,-1,Holiday)+1,WORKDAY(上海期货交易所!D134,0-全局参数,Holiday))</f>
        <v>42307</v>
      </c>
      <c r="E134" s="12">
        <f ca="1">IF(CTP=1,WORKDAY(上海期货交易所!E134,-1,Holiday)+1,WORKDAY(上海期货交易所!E134,0-全局参数,Holiday))</f>
        <v>42338</v>
      </c>
      <c r="F134" s="12">
        <f ca="1">IF(CTP=1,WORKDAY(上海期货交易所!F134,-1,Holiday)+1,WORKDAY(上海期货交易所!F134,0-全局参数,Holiday))</f>
        <v>42348</v>
      </c>
      <c r="G134" s="19">
        <f t="shared" ca="1" si="35"/>
        <v>42346</v>
      </c>
      <c r="AA134" t="str">
        <f t="shared" ca="1" si="37"/>
        <v/>
      </c>
    </row>
    <row r="135" spans="1:27" x14ac:dyDescent="0.15">
      <c r="A135" s="21" t="str">
        <f t="shared" ca="1" si="36"/>
        <v>Wr1601</v>
      </c>
      <c r="B135" s="11">
        <f t="shared" ca="1" si="33"/>
        <v>42020</v>
      </c>
      <c r="C135" s="11">
        <f t="shared" ca="1" si="34"/>
        <v>42384</v>
      </c>
      <c r="D135" s="11">
        <f ca="1">IF(CTP=1,WORKDAY(上海期货交易所!D135,-1,Holiday)+1,WORKDAY(上海期货交易所!D135,0-全局参数,Holiday))</f>
        <v>42338</v>
      </c>
      <c r="E135" s="11">
        <f ca="1">IF(CTP=1,WORKDAY(上海期货交易所!E135,-1,Holiday)+1,WORKDAY(上海期货交易所!E135,0-全局参数,Holiday))</f>
        <v>42369</v>
      </c>
      <c r="F135" s="11">
        <f ca="1">IF(CTP=1,WORKDAY(上海期货交易所!F135,-1,Holiday)+1,WORKDAY(上海期货交易所!F135,0-全局参数,Holiday))</f>
        <v>42381</v>
      </c>
      <c r="G135" s="18">
        <f t="shared" ca="1" si="35"/>
        <v>42377</v>
      </c>
      <c r="AA135" t="str">
        <f t="shared" ca="1" si="37"/>
        <v/>
      </c>
    </row>
    <row r="136" spans="1:27" x14ac:dyDescent="0.15">
      <c r="A136" s="22" t="str">
        <f t="shared" ca="1" si="36"/>
        <v>Wr1602</v>
      </c>
      <c r="B136" s="12">
        <f t="shared" ca="1" si="33"/>
        <v>42051</v>
      </c>
      <c r="C136" s="12">
        <f t="shared" ca="1" si="34"/>
        <v>42415</v>
      </c>
      <c r="D136" s="12">
        <f ca="1">IF(CTP=1,WORKDAY(上海期货交易所!D136,-1,Holiday)+1,WORKDAY(上海期货交易所!D136,0-全局参数,Holiday))</f>
        <v>42369</v>
      </c>
      <c r="E136" s="12">
        <f ca="1">IF(CTP=1,WORKDAY(上海期货交易所!E136,-1,Holiday)+1,WORKDAY(上海期货交易所!E136,0-全局参数,Holiday))</f>
        <v>42398</v>
      </c>
      <c r="F136" s="12">
        <f ca="1">IF(CTP=1,WORKDAY(上海期货交易所!F136,-1,Holiday)+1,WORKDAY(上海期货交易所!F136,0-全局参数,Holiday))</f>
        <v>42410</v>
      </c>
      <c r="G136" s="19">
        <f t="shared" ca="1" si="35"/>
        <v>42408</v>
      </c>
      <c r="AA136" t="str">
        <f t="shared" ca="1" si="37"/>
        <v/>
      </c>
    </row>
    <row r="137" spans="1:27" x14ac:dyDescent="0.15">
      <c r="A137" s="21" t="str">
        <f t="shared" ca="1" si="36"/>
        <v>Wr1603</v>
      </c>
      <c r="B137" s="11">
        <f t="shared" ca="1" si="33"/>
        <v>42080</v>
      </c>
      <c r="C137" s="11">
        <f t="shared" ca="1" si="34"/>
        <v>42444</v>
      </c>
      <c r="D137" s="11">
        <f ca="1">IF(CTP=1,WORKDAY(上海期货交易所!D137,-1,Holiday)+1,WORKDAY(上海期货交易所!D137,0-全局参数,Holiday))</f>
        <v>42398</v>
      </c>
      <c r="E137" s="11">
        <f ca="1">IF(CTP=1,WORKDAY(上海期货交易所!E137,-1,Holiday)+1,WORKDAY(上海期货交易所!E137,0-全局参数,Holiday))</f>
        <v>42429</v>
      </c>
      <c r="F137" s="11">
        <f ca="1">IF(CTP=1,WORKDAY(上海期货交易所!F137,-1,Holiday)+1,WORKDAY(上海期货交易所!F137,0-全局参数,Holiday))</f>
        <v>42439</v>
      </c>
      <c r="G137" s="18">
        <f t="shared" ca="1" si="35"/>
        <v>42437</v>
      </c>
      <c r="AA137" t="str">
        <f t="shared" ca="1" si="37"/>
        <v/>
      </c>
    </row>
    <row r="138" spans="1:27" x14ac:dyDescent="0.15">
      <c r="A138" s="22" t="str">
        <f t="shared" ca="1" si="36"/>
        <v>Wr1604</v>
      </c>
      <c r="B138" s="12">
        <f t="shared" ca="1" si="33"/>
        <v>42110</v>
      </c>
      <c r="C138" s="12">
        <f t="shared" ca="1" si="34"/>
        <v>42475</v>
      </c>
      <c r="D138" s="12">
        <f ca="1">IF(CTP=1,WORKDAY(上海期货交易所!D138,-1,Holiday)+1,WORKDAY(上海期货交易所!D138,0-全局参数,Holiday))</f>
        <v>42429</v>
      </c>
      <c r="E138" s="12">
        <f ca="1">IF(CTP=1,WORKDAY(上海期货交易所!E138,-1,Holiday)+1,WORKDAY(上海期货交易所!E138,0-全局参数,Holiday))</f>
        <v>42460</v>
      </c>
      <c r="F138" s="12">
        <f ca="1">IF(CTP=1,WORKDAY(上海期货交易所!F138,-1,Holiday)+1,WORKDAY(上海期货交易所!F138,0-全局参数,Holiday))</f>
        <v>42472</v>
      </c>
      <c r="G138" s="19">
        <f t="shared" ca="1" si="35"/>
        <v>42468</v>
      </c>
      <c r="AA138" t="str">
        <f t="shared" ca="1" si="37"/>
        <v/>
      </c>
    </row>
    <row r="139" spans="1:27" x14ac:dyDescent="0.15">
      <c r="A139" s="21" t="str">
        <f t="shared" ca="1" si="36"/>
        <v>Wr1605</v>
      </c>
      <c r="B139" s="11">
        <f t="shared" ca="1" si="33"/>
        <v>42142</v>
      </c>
      <c r="C139" s="11">
        <f t="shared" ca="1" si="34"/>
        <v>42506</v>
      </c>
      <c r="D139" s="11">
        <f ca="1">IF(CTP=1,WORKDAY(上海期货交易所!D139,-1,Holiday)+1,WORKDAY(上海期货交易所!D139,0-全局参数,Holiday))</f>
        <v>42460</v>
      </c>
      <c r="E139" s="11">
        <f ca="1">IF(CTP=1,WORKDAY(上海期货交易所!E139,-1,Holiday)+1,WORKDAY(上海期货交易所!E139,0-全局参数,Holiday))</f>
        <v>42489</v>
      </c>
      <c r="F139" s="11">
        <f ca="1">IF(CTP=1,WORKDAY(上海期货交易所!F139,-1,Holiday)+1,WORKDAY(上海期货交易所!F139,0-全局参数,Holiday))</f>
        <v>42501</v>
      </c>
      <c r="G139" s="18">
        <f t="shared" ca="1" si="35"/>
        <v>42499</v>
      </c>
      <c r="AA139" t="str">
        <f t="shared" ca="1" si="37"/>
        <v/>
      </c>
    </row>
    <row r="140" spans="1:27" x14ac:dyDescent="0.15">
      <c r="A140" s="22" t="str">
        <f t="shared" ca="1" si="36"/>
        <v>Wr1606</v>
      </c>
      <c r="B140" s="12">
        <f t="shared" ca="1" si="33"/>
        <v>42171</v>
      </c>
      <c r="C140" s="12">
        <f t="shared" ca="1" si="34"/>
        <v>42536</v>
      </c>
      <c r="D140" s="12">
        <f ca="1">IF(CTP=1,WORKDAY(上海期货交易所!D140,-1,Holiday)+1,WORKDAY(上海期货交易所!D140,0-全局参数,Holiday))</f>
        <v>42489</v>
      </c>
      <c r="E140" s="12">
        <f ca="1">IF(CTP=1,WORKDAY(上海期货交易所!E140,-1,Holiday)+1,WORKDAY(上海期货交易所!E140,0-全局参数,Holiday))</f>
        <v>42521</v>
      </c>
      <c r="F140" s="12">
        <f ca="1">IF(CTP=1,WORKDAY(上海期货交易所!F140,-1,Holiday)+1,WORKDAY(上海期货交易所!F140,0-全局参数,Holiday))</f>
        <v>42531</v>
      </c>
      <c r="G140" s="19">
        <f t="shared" ca="1" si="35"/>
        <v>42529</v>
      </c>
      <c r="AA140" t="str">
        <f t="shared" ca="1" si="37"/>
        <v/>
      </c>
    </row>
    <row r="141" spans="1:27" x14ac:dyDescent="0.15">
      <c r="A141" s="21" t="str">
        <f t="shared" ca="1" si="36"/>
        <v>Wr1607</v>
      </c>
      <c r="B141" s="11">
        <f t="shared" ca="1" si="33"/>
        <v>42201</v>
      </c>
      <c r="C141" s="11">
        <f t="shared" ca="1" si="34"/>
        <v>42566</v>
      </c>
      <c r="D141" s="11">
        <f ca="1">IF(CTP=1,WORKDAY(上海期货交易所!D141,-1,Holiday)+1,WORKDAY(上海期货交易所!D141,0-全局参数,Holiday))</f>
        <v>42521</v>
      </c>
      <c r="E141" s="11">
        <f ca="1">IF(CTP=1,WORKDAY(上海期货交易所!E141,-1,Holiday)+1,WORKDAY(上海期货交易所!E141,0-全局参数,Holiday))</f>
        <v>42551</v>
      </c>
      <c r="F141" s="11">
        <f ca="1">IF(CTP=1,WORKDAY(上海期货交易所!F141,-1,Holiday)+1,WORKDAY(上海期货交易所!F141,0-全局参数,Holiday))</f>
        <v>42563</v>
      </c>
      <c r="G141" s="18">
        <f t="shared" ca="1" si="35"/>
        <v>42559</v>
      </c>
      <c r="AA141" t="str">
        <f t="shared" ca="1" si="37"/>
        <v/>
      </c>
    </row>
    <row r="142" spans="1:27" x14ac:dyDescent="0.15">
      <c r="A142" s="22" t="str">
        <f t="shared" ca="1" si="36"/>
        <v>Wr1608</v>
      </c>
      <c r="B142" s="12">
        <f t="shared" ca="1" si="33"/>
        <v>42234</v>
      </c>
      <c r="C142" s="12">
        <f t="shared" ca="1" si="34"/>
        <v>42597</v>
      </c>
      <c r="D142" s="12">
        <f ca="1">IF(CTP=1,WORKDAY(上海期货交易所!D142,-1,Holiday)+1,WORKDAY(上海期货交易所!D142,0-全局参数,Holiday))</f>
        <v>42551</v>
      </c>
      <c r="E142" s="12">
        <f ca="1">IF(CTP=1,WORKDAY(上海期货交易所!E142,-1,Holiday)+1,WORKDAY(上海期货交易所!E142,0-全局参数,Holiday))</f>
        <v>42580</v>
      </c>
      <c r="F142" s="12">
        <f ca="1">IF(CTP=1,WORKDAY(上海期货交易所!F142,-1,Holiday)+1,WORKDAY(上海期货交易所!F142,0-全局参数,Holiday))</f>
        <v>42592</v>
      </c>
      <c r="G142" s="19">
        <f t="shared" ca="1" si="35"/>
        <v>42590</v>
      </c>
      <c r="AA142" t="str">
        <f t="shared" ca="1" si="37"/>
        <v/>
      </c>
    </row>
    <row r="143" spans="1:27" x14ac:dyDescent="0.15">
      <c r="A143" s="23"/>
      <c r="B143" s="23"/>
      <c r="C143" s="15"/>
      <c r="D143" s="15"/>
      <c r="E143" s="15"/>
      <c r="F143" s="15"/>
      <c r="AA143" t="str">
        <f t="shared" ca="1" si="37"/>
        <v/>
      </c>
    </row>
    <row r="144" spans="1:27" x14ac:dyDescent="0.15">
      <c r="A144" s="23"/>
      <c r="B144" s="23"/>
      <c r="C144" s="15"/>
      <c r="D144" s="15"/>
      <c r="E144" s="15"/>
      <c r="F144" s="15"/>
      <c r="AA144" t="str">
        <f t="shared" ca="1" si="37"/>
        <v/>
      </c>
    </row>
    <row r="145" spans="1:27" x14ac:dyDescent="0.15">
      <c r="A145" s="48" t="str">
        <f>"燃料油Fu"&amp;TEXT(燃料油Fu,"#%")</f>
        <v>燃料油Fu8%</v>
      </c>
      <c r="B145" s="49"/>
      <c r="C145" s="49"/>
      <c r="D145" s="49"/>
      <c r="E145" s="49"/>
      <c r="F145" s="49"/>
      <c r="G145" s="50"/>
      <c r="AA145" t="str">
        <f t="shared" ca="1" si="37"/>
        <v/>
      </c>
    </row>
    <row r="146" spans="1:27" ht="17.25" thickBot="1" x14ac:dyDescent="0.2">
      <c r="A146" s="20"/>
      <c r="B146" s="29" t="s">
        <v>46</v>
      </c>
      <c r="C146" s="9" t="s">
        <v>1</v>
      </c>
      <c r="D146" s="10">
        <f>MAX(10%,燃料油Fu)</f>
        <v>0.1</v>
      </c>
      <c r="E146" s="10">
        <f>MAX(15%,燃料油Fu)</f>
        <v>0.15</v>
      </c>
      <c r="F146" s="10">
        <v>0.2</v>
      </c>
      <c r="G146" s="20" t="s">
        <v>73</v>
      </c>
      <c r="AA146" t="str">
        <f t="shared" ca="1" si="37"/>
        <v/>
      </c>
    </row>
    <row r="147" spans="1:27" x14ac:dyDescent="0.15">
      <c r="A147" s="21" t="str">
        <f t="array" aca="1" ref="A147" ca="1">"Fu"&amp;TEXT(IF(MONTH(DATE(YEAR(TODAY()),MONTH(TODAY())+1,"1"))=INDEX(春节月份!$C$1:$C$23,MATCH(YEAR(DATE(YEAR(TODAY()),MONTH(TODAY())+1,"1")),春节月份!$B$1:$B$23,0)),DATE(YEAR(TODAY()),MONTH(TODAY())+2,"1"),DATE(YEAR(TODAY()),MONTH(TODAY())+1,"1")),"yymm")</f>
        <v>Fu1507</v>
      </c>
      <c r="B147" s="11">
        <f t="shared" ref="B147:B160" ca="1" si="38">WORKDAY(DATE("20"&amp;(MID(A147,3,2)-1),RIGHT(A147,2),0),1,Holiday)</f>
        <v>41821</v>
      </c>
      <c r="C147" s="11">
        <f t="shared" ref="C147:C158" ca="1" si="39">IF(NETWORKDAYS(DATE("20"&amp;MID(A147,LEN(A147)-3,2),RIGHT(A147,2),0),DATE("20"&amp;MID(A147,LEN(A147)-3,2),RIGHT(A147,2),0),Holiday)=0,WORKDAY(DATE("20"&amp;MID(A147,LEN(A147)-3,2),RIGHT(A147,2),0),-1,Holiday),DATE("20"&amp;MID(A147,LEN(A147)-3,2),RIGHT(A147,2),0))</f>
        <v>42185</v>
      </c>
      <c r="D147" s="11">
        <f ca="1">IF(CTP=1,WORKDAY(上海期货交易所!D147,-1,Holiday)+1,WORKDAY(上海期货交易所!D147,0-全局参数,Holiday))</f>
        <v>42138</v>
      </c>
      <c r="E147" s="11">
        <f ca="1">IF(CTP=1,WORKDAY(上海期货交易所!E147,-1,Holiday)+1,WORKDAY(上海期货交易所!E147,0-全局参数,Holiday))</f>
        <v>42166</v>
      </c>
      <c r="F147" s="11">
        <f ca="1">IF(CTP=1,WORKDAY(上海期货交易所!F147,-1,Holiday)+1,WORKDAY(上海期货交易所!F147,0-全局参数,Holiday))</f>
        <v>42180</v>
      </c>
      <c r="G147" s="18">
        <f t="shared" ref="G147:G160" ca="1" si="40">WORKDAY(C147,-5,Holiday)</f>
        <v>42178</v>
      </c>
      <c r="AA147" t="str">
        <f t="shared" ca="1" si="37"/>
        <v/>
      </c>
    </row>
    <row r="148" spans="1:27" x14ac:dyDescent="0.15">
      <c r="A148" s="22" t="str">
        <f t="array" aca="1" ref="A148" ca="1">"Fu"&amp;TEXT(IF(MONTH(DATE("20"&amp;MID(A147,3,2),RIGHT(A147,2)+1,"1"))=INDEX(春节月份!$C$1:$C$23,MATCH(YEAR(DATE("20"&amp;MID(A147,3,2),RIGHT(A147,2)+1,"1")),春节月份!$B$1:$B$23,0)),DATE("20"&amp;MID(A147,3,2),RIGHT(A147,2)+2,"1"),DATE("20"&amp;MID(A147,3,2),RIGHT(A147,2)+1,"1")),"yymm")</f>
        <v>Fu1508</v>
      </c>
      <c r="B148" s="12">
        <f t="shared" ca="1" si="38"/>
        <v>41852</v>
      </c>
      <c r="C148" s="12">
        <f t="shared" ca="1" si="39"/>
        <v>42216</v>
      </c>
      <c r="D148" s="12">
        <f ca="1">IF(CTP=1,WORKDAY(上海期货交易所!D148,-1,Holiday)+1,WORKDAY(上海期货交易所!D148,0-全局参数,Holiday))</f>
        <v>42166</v>
      </c>
      <c r="E148" s="12">
        <f ca="1">IF(CTP=1,WORKDAY(上海期货交易所!E148,-1,Holiday)+1,WORKDAY(上海期货交易所!E148,0-全局参数,Holiday))</f>
        <v>42198</v>
      </c>
      <c r="F148" s="12">
        <f ca="1">IF(CTP=1,WORKDAY(上海期货交易所!F148,-1,Holiday)+1,WORKDAY(上海期货交易所!F148,0-全局参数,Holiday))</f>
        <v>42213</v>
      </c>
      <c r="G148" s="19">
        <f t="shared" ca="1" si="40"/>
        <v>42209</v>
      </c>
      <c r="AA148" t="str">
        <f t="shared" ca="1" si="37"/>
        <v/>
      </c>
    </row>
    <row r="149" spans="1:27" x14ac:dyDescent="0.15">
      <c r="A149" s="21" t="str">
        <f t="array" aca="1" ref="A149" ca="1">"Fu"&amp;TEXT(IF(MONTH(DATE("20"&amp;MID(A148,3,2),RIGHT(A148,2)+1,"1"))=INDEX(春节月份!$C$1:$C$23,MATCH(YEAR(DATE("20"&amp;MID(A148,3,2),RIGHT(A148,2)+1,"1")),春节月份!$B$1:$B$23,0)),DATE("20"&amp;MID(A148,3,2),RIGHT(A148,2)+2,"1"),DATE("20"&amp;MID(A148,3,2),RIGHT(A148,2)+1,"1")),"yymm")</f>
        <v>Fu1509</v>
      </c>
      <c r="B149" s="11">
        <f t="shared" ca="1" si="38"/>
        <v>41883</v>
      </c>
      <c r="C149" s="11">
        <f t="shared" ca="1" si="39"/>
        <v>42247</v>
      </c>
      <c r="D149" s="11">
        <f ca="1">IF(CTP=1,WORKDAY(上海期货交易所!D149,-1,Holiday)+1,WORKDAY(上海期货交易所!D149,0-全局参数,Holiday))</f>
        <v>42198</v>
      </c>
      <c r="E149" s="11">
        <f ca="1">IF(CTP=1,WORKDAY(上海期货交易所!E149,-1,Holiday)+1,WORKDAY(上海期货交易所!E149,0-全局参数,Holiday))</f>
        <v>42229</v>
      </c>
      <c r="F149" s="11">
        <f ca="1">IF(CTP=1,WORKDAY(上海期货交易所!F149,-1,Holiday)+1,WORKDAY(上海期货交易所!F149,0-全局参数,Holiday))</f>
        <v>42242</v>
      </c>
      <c r="G149" s="18">
        <f t="shared" ca="1" si="40"/>
        <v>42240</v>
      </c>
      <c r="AA149" t="str">
        <f t="shared" ca="1" si="37"/>
        <v/>
      </c>
    </row>
    <row r="150" spans="1:27" x14ac:dyDescent="0.15">
      <c r="A150" s="22" t="str">
        <f t="array" aca="1" ref="A150" ca="1">"Fu"&amp;TEXT(IF(MONTH(DATE("20"&amp;MID(A149,3,2),RIGHT(A149,2)+1,"1"))=INDEX(春节月份!$C$1:$C$23,MATCH(YEAR(DATE("20"&amp;MID(A149,3,2),RIGHT(A149,2)+1,"1")),春节月份!$B$1:$B$23,0)),DATE("20"&amp;MID(A149,3,2),RIGHT(A149,2)+2,"1"),DATE("20"&amp;MID(A149,3,2),RIGHT(A149,2)+1,"1")),"yymm")</f>
        <v>Fu1510</v>
      </c>
      <c r="B150" s="12">
        <f t="shared" ca="1" si="38"/>
        <v>41920</v>
      </c>
      <c r="C150" s="12">
        <f t="shared" ca="1" si="39"/>
        <v>42277</v>
      </c>
      <c r="D150" s="12">
        <f ca="1">IF(CTP=1,WORKDAY(上海期货交易所!D150,-1,Holiday)+1,WORKDAY(上海期货交易所!D150,0-全局参数,Holiday))</f>
        <v>42229</v>
      </c>
      <c r="E150" s="12">
        <f ca="1">IF(CTP=1,WORKDAY(上海期货交易所!E150,-1,Holiday)+1,WORKDAY(上海期货交易所!E150,0-全局参数,Holiday))</f>
        <v>42262</v>
      </c>
      <c r="F150" s="12">
        <f ca="1">IF(CTP=1,WORKDAY(上海期货交易所!F150,-1,Holiday)+1,WORKDAY(上海期货交易所!F150,0-全局参数,Holiday))</f>
        <v>42272</v>
      </c>
      <c r="G150" s="19">
        <f t="shared" ca="1" si="40"/>
        <v>42270</v>
      </c>
      <c r="AA150" t="str">
        <f t="shared" ca="1" si="37"/>
        <v/>
      </c>
    </row>
    <row r="151" spans="1:27" x14ac:dyDescent="0.15">
      <c r="A151" s="21" t="str">
        <f t="array" aca="1" ref="A151" ca="1">"Fu"&amp;TEXT(IF(MONTH(DATE("20"&amp;MID(A150,3,2),RIGHT(A150,2)+1,"1"))=INDEX(春节月份!$C$1:$C$23,MATCH(YEAR(DATE("20"&amp;MID(A150,3,2),RIGHT(A150,2)+1,"1")),春节月份!$B$1:$B$23,0)),DATE("20"&amp;MID(A150,3,2),RIGHT(A150,2)+2,"1"),DATE("20"&amp;MID(A150,3,2),RIGHT(A150,2)+1,"1")),"yymm")</f>
        <v>Fu1511</v>
      </c>
      <c r="B151" s="11">
        <f t="shared" ca="1" si="38"/>
        <v>41946</v>
      </c>
      <c r="C151" s="11">
        <f t="shared" ca="1" si="39"/>
        <v>42307</v>
      </c>
      <c r="D151" s="11">
        <f ca="1">IF(CTP=1,WORKDAY(上海期货交易所!D151,-1,Holiday)+1,WORKDAY(上海期货交易所!D151,0-全局参数,Holiday))</f>
        <v>42262</v>
      </c>
      <c r="E151" s="11">
        <f ca="1">IF(CTP=1,WORKDAY(上海期货交易所!E151,-1,Holiday)+1,WORKDAY(上海期货交易所!E151,0-全局参数,Holiday))</f>
        <v>42297</v>
      </c>
      <c r="F151" s="11">
        <f ca="1">IF(CTP=1,WORKDAY(上海期货交易所!F151,-1,Holiday)+1,WORKDAY(上海期货交易所!F151,0-全局参数,Holiday))</f>
        <v>42304</v>
      </c>
      <c r="G151" s="18">
        <f t="shared" ca="1" si="40"/>
        <v>42300</v>
      </c>
      <c r="AA151" t="str">
        <f t="shared" ca="1" si="37"/>
        <v/>
      </c>
    </row>
    <row r="152" spans="1:27" x14ac:dyDescent="0.15">
      <c r="A152" s="22" t="str">
        <f t="array" aca="1" ref="A152" ca="1">"Fu"&amp;TEXT(IF(MONTH(DATE("20"&amp;MID(A151,3,2),RIGHT(A151,2)+1,"1"))=INDEX(春节月份!$C$1:$C$23,MATCH(YEAR(DATE("20"&amp;MID(A151,3,2),RIGHT(A151,2)+1,"1")),春节月份!$B$1:$B$23,0)),DATE("20"&amp;MID(A151,3,2),RIGHT(A151,2)+2,"1"),DATE("20"&amp;MID(A151,3,2),RIGHT(A151,2)+1,"1")),"yymm")</f>
        <v>Fu1512</v>
      </c>
      <c r="B152" s="12">
        <f t="shared" ca="1" si="38"/>
        <v>41974</v>
      </c>
      <c r="C152" s="12">
        <f t="shared" ca="1" si="39"/>
        <v>42338</v>
      </c>
      <c r="D152" s="12">
        <f ca="1">IF(CTP=1,WORKDAY(上海期货交易所!D152,-1,Holiday)+1,WORKDAY(上海期货交易所!D152,0-全局参数,Holiday))</f>
        <v>42297</v>
      </c>
      <c r="E152" s="12">
        <f ca="1">IF(CTP=1,WORKDAY(上海期货交易所!E152,-1,Holiday)+1,WORKDAY(上海期货交易所!E152,0-全局参数,Holiday))</f>
        <v>42320</v>
      </c>
      <c r="F152" s="12">
        <f ca="1">IF(CTP=1,WORKDAY(上海期货交易所!F152,-1,Holiday)+1,WORKDAY(上海期货交易所!F152,0-全局参数,Holiday))</f>
        <v>42333</v>
      </c>
      <c r="G152" s="19">
        <f t="shared" ca="1" si="40"/>
        <v>42331</v>
      </c>
      <c r="AA152" t="str">
        <f t="shared" ca="1" si="37"/>
        <v/>
      </c>
    </row>
    <row r="153" spans="1:27" x14ac:dyDescent="0.15">
      <c r="A153" s="21" t="str">
        <f t="array" aca="1" ref="A153" ca="1">"Fu"&amp;TEXT(IF(MONTH(DATE("20"&amp;MID(A152,3,2),RIGHT(A152,2)+1,"1"))=INDEX(春节月份!$C$1:$C$23,MATCH(YEAR(DATE("20"&amp;MID(A152,3,2),RIGHT(A152,2)+1,"1")),春节月份!$B$1:$B$23,0)),DATE("20"&amp;MID(A152,3,2),RIGHT(A152,2)+2,"1"),DATE("20"&amp;MID(A152,3,2),RIGHT(A152,2)+1,"1")),"yymm")</f>
        <v>Fu1601</v>
      </c>
      <c r="B153" s="11">
        <f t="shared" ca="1" si="38"/>
        <v>42009</v>
      </c>
      <c r="C153" s="11">
        <f t="shared" ca="1" si="39"/>
        <v>42369</v>
      </c>
      <c r="D153" s="11">
        <f ca="1">IF(CTP=1,WORKDAY(上海期货交易所!D153,-1,Holiday)+1,WORKDAY(上海期货交易所!D153,0-全局参数,Holiday))</f>
        <v>42320</v>
      </c>
      <c r="E153" s="11">
        <f ca="1">IF(CTP=1,WORKDAY(上海期货交易所!E153,-1,Holiday)+1,WORKDAY(上海期货交易所!E153,0-全局参数,Holiday))</f>
        <v>42349</v>
      </c>
      <c r="F153" s="11">
        <f ca="1">IF(CTP=1,WORKDAY(上海期货交易所!F153,-1,Holiday)+1,WORKDAY(上海期货交易所!F153,0-全局参数,Holiday))</f>
        <v>42366</v>
      </c>
      <c r="G153" s="18">
        <f t="shared" ca="1" si="40"/>
        <v>42362</v>
      </c>
      <c r="AA153" t="str">
        <f t="shared" ca="1" si="37"/>
        <v/>
      </c>
    </row>
    <row r="154" spans="1:27" x14ac:dyDescent="0.15">
      <c r="A154" s="22" t="str">
        <f t="array" aca="1" ref="A154" ca="1">"Fu"&amp;TEXT(IF(MONTH(DATE("20"&amp;MID(A153,3,2),RIGHT(A153,2)+1,"1"))=INDEX(春节月份!$C$1:$C$23,MATCH(YEAR(DATE("20"&amp;MID(A153,3,2),RIGHT(A153,2)+1,"1")),春节月份!$B$1:$B$23,0)),DATE("20"&amp;MID(A153,3,2),RIGHT(A153,2)+2,"1"),DATE("20"&amp;MID(A153,3,2),RIGHT(A153,2)+1,"1")),"yymm")</f>
        <v>Fu1603</v>
      </c>
      <c r="B154" s="12">
        <f t="shared" ca="1" si="38"/>
        <v>42065</v>
      </c>
      <c r="C154" s="12">
        <f t="shared" ca="1" si="39"/>
        <v>42429</v>
      </c>
      <c r="D154" s="12">
        <f ca="1">IF(CTP=1,WORKDAY(上海期货交易所!D154,-1,Holiday)+1,WORKDAY(上海期货交易所!D154,0-全局参数,Holiday))</f>
        <v>42382</v>
      </c>
      <c r="E154" s="12">
        <f ca="1">IF(CTP=1,WORKDAY(上海期货交易所!E154,-1,Holiday)+1,WORKDAY(上海期货交易所!E154,0-全局参数,Holiday))</f>
        <v>42411</v>
      </c>
      <c r="F154" s="12">
        <f ca="1">IF(CTP=1,WORKDAY(上海期货交易所!F154,-1,Holiday)+1,WORKDAY(上海期货交易所!F154,0-全局参数,Holiday))</f>
        <v>42424</v>
      </c>
      <c r="G154" s="19">
        <f t="shared" ca="1" si="40"/>
        <v>42422</v>
      </c>
      <c r="AA154" t="str">
        <f t="shared" ca="1" si="37"/>
        <v/>
      </c>
    </row>
    <row r="155" spans="1:27" x14ac:dyDescent="0.15">
      <c r="A155" s="21" t="str">
        <f t="array" aca="1" ref="A155" ca="1">"Fu"&amp;TEXT(IF(MONTH(DATE("20"&amp;MID(A154,3,2),RIGHT(A154,2)+1,"1"))=INDEX(春节月份!$C$1:$C$23,MATCH(YEAR(DATE("20"&amp;MID(A154,3,2),RIGHT(A154,2)+1,"1")),春节月份!$B$1:$B$23,0)),DATE("20"&amp;MID(A154,3,2),RIGHT(A154,2)+2,"1"),DATE("20"&amp;MID(A154,3,2),RIGHT(A154,2)+1,"1")),"yymm")</f>
        <v>Fu1604</v>
      </c>
      <c r="B155" s="11">
        <f t="shared" ca="1" si="38"/>
        <v>42095</v>
      </c>
      <c r="C155" s="11">
        <f t="shared" ca="1" si="39"/>
        <v>42460</v>
      </c>
      <c r="D155" s="11">
        <f ca="1">IF(CTP=1,WORKDAY(上海期货交易所!D155,-1,Holiday)+1,WORKDAY(上海期货交易所!D155,0-全局参数,Holiday))</f>
        <v>42411</v>
      </c>
      <c r="E155" s="11">
        <f ca="1">IF(CTP=1,WORKDAY(上海期货交易所!E155,-1,Holiday)+1,WORKDAY(上海期货交易所!E155,0-全局参数,Holiday))</f>
        <v>42440</v>
      </c>
      <c r="F155" s="11">
        <f ca="1">IF(CTP=1,WORKDAY(上海期货交易所!F155,-1,Holiday)+1,WORKDAY(上海期货交易所!F155,0-全局参数,Holiday))</f>
        <v>42457</v>
      </c>
      <c r="G155" s="18">
        <f t="shared" ca="1" si="40"/>
        <v>42453</v>
      </c>
      <c r="AA155" t="str">
        <f t="shared" ca="1" si="37"/>
        <v/>
      </c>
    </row>
    <row r="156" spans="1:27" x14ac:dyDescent="0.15">
      <c r="A156" s="22" t="str">
        <f t="array" aca="1" ref="A156" ca="1">"Fu"&amp;TEXT(IF(MONTH(DATE("20"&amp;MID(A155,3,2),RIGHT(A155,2)+1,"1"))=INDEX(春节月份!$C$1:$C$23,MATCH(YEAR(DATE("20"&amp;MID(A155,3,2),RIGHT(A155,2)+1,"1")),春节月份!$B$1:$B$23,0)),DATE("20"&amp;MID(A155,3,2),RIGHT(A155,2)+2,"1"),DATE("20"&amp;MID(A155,3,2),RIGHT(A155,2)+1,"1")),"yymm")</f>
        <v>Fu1605</v>
      </c>
      <c r="B156" s="12">
        <f t="shared" ca="1" si="38"/>
        <v>42128</v>
      </c>
      <c r="C156" s="12">
        <f t="shared" ca="1" si="39"/>
        <v>42489</v>
      </c>
      <c r="D156" s="12">
        <f ca="1">IF(CTP=1,WORKDAY(上海期货交易所!D156,-1,Holiday)+1,WORKDAY(上海期货交易所!D156,0-全局参数,Holiday))</f>
        <v>42440</v>
      </c>
      <c r="E156" s="12">
        <f ca="1">IF(CTP=1,WORKDAY(上海期货交易所!E156,-1,Holiday)+1,WORKDAY(上海期货交易所!E156,0-全局参数,Holiday))</f>
        <v>42473</v>
      </c>
      <c r="F156" s="12">
        <f ca="1">IF(CTP=1,WORKDAY(上海期货交易所!F156,-1,Holiday)+1,WORKDAY(上海期货交易所!F156,0-全局参数,Holiday))</f>
        <v>42486</v>
      </c>
      <c r="G156" s="19">
        <f t="shared" ca="1" si="40"/>
        <v>42482</v>
      </c>
      <c r="AA156" t="str">
        <f t="shared" ca="1" si="37"/>
        <v/>
      </c>
    </row>
    <row r="157" spans="1:27" x14ac:dyDescent="0.15">
      <c r="A157" s="21" t="str">
        <f t="array" aca="1" ref="A157" ca="1">"Fu"&amp;TEXT(IF(MONTH(DATE("20"&amp;MID(A156,3,2),RIGHT(A156,2)+1,"1"))=INDEX(春节月份!$C$1:$C$23,MATCH(YEAR(DATE("20"&amp;MID(A156,3,2),RIGHT(A156,2)+1,"1")),春节月份!$B$1:$B$23,0)),DATE("20"&amp;MID(A156,3,2),RIGHT(A156,2)+2,"1"),DATE("20"&amp;MID(A156,3,2),RIGHT(A156,2)+1,"1")),"yymm")</f>
        <v>Fu1606</v>
      </c>
      <c r="B157" s="11">
        <f t="shared" ca="1" si="38"/>
        <v>42156</v>
      </c>
      <c r="C157" s="11">
        <f t="shared" ca="1" si="39"/>
        <v>42521</v>
      </c>
      <c r="D157" s="11">
        <f ca="1">IF(CTP=1,WORKDAY(上海期货交易所!D157,-1,Holiday)+1,WORKDAY(上海期货交易所!D157,0-全局参数,Holiday))</f>
        <v>42473</v>
      </c>
      <c r="E157" s="11">
        <f ca="1">IF(CTP=1,WORKDAY(上海期货交易所!E157,-1,Holiday)+1,WORKDAY(上海期货交易所!E157,0-全局参数,Holiday))</f>
        <v>42502</v>
      </c>
      <c r="F157" s="11">
        <f ca="1">IF(CTP=1,WORKDAY(上海期货交易所!F157,-1,Holiday)+1,WORKDAY(上海期货交易所!F157,0-全局参数,Holiday))</f>
        <v>42516</v>
      </c>
      <c r="G157" s="18">
        <f t="shared" ca="1" si="40"/>
        <v>42514</v>
      </c>
      <c r="AA157" t="str">
        <f t="shared" ca="1" si="37"/>
        <v/>
      </c>
    </row>
    <row r="158" spans="1:27" x14ac:dyDescent="0.15">
      <c r="A158" s="22" t="str">
        <f t="array" aca="1" ref="A158" ca="1">"Fu"&amp;TEXT(IF(MONTH(DATE("20"&amp;MID(A157,3,2),RIGHT(A157,2)+1,"1"))=INDEX(春节月份!$C$1:$C$23,MATCH(YEAR(DATE("20"&amp;MID(A157,3,2),RIGHT(A157,2)+1,"1")),春节月份!$B$1:$B$23,0)),DATE("20"&amp;MID(A157,3,2),RIGHT(A157,2)+2,"1"),DATE("20"&amp;MID(A157,3,2),RIGHT(A157,2)+1,"1")),"yymm")</f>
        <v>Fu1607</v>
      </c>
      <c r="B158" s="12">
        <f t="shared" ca="1" si="38"/>
        <v>42186</v>
      </c>
      <c r="C158" s="12">
        <f t="shared" ca="1" si="39"/>
        <v>42551</v>
      </c>
      <c r="D158" s="12">
        <f ca="1">IF(CTP=1,WORKDAY(上海期货交易所!D158,-1,Holiday)+1,WORKDAY(上海期货交易所!D158,0-全局参数,Holiday))</f>
        <v>42502</v>
      </c>
      <c r="E158" s="12">
        <f ca="1">IF(CTP=1,WORKDAY(上海期货交易所!E158,-1,Holiday)+1,WORKDAY(上海期货交易所!E158,0-全局参数,Holiday))</f>
        <v>42534</v>
      </c>
      <c r="F158" s="12">
        <f ca="1">IF(CTP=1,WORKDAY(上海期货交易所!F158,-1,Holiday)+1,WORKDAY(上海期货交易所!F158,0-全局参数,Holiday))</f>
        <v>42548</v>
      </c>
      <c r="G158" s="19">
        <f t="shared" ca="1" si="40"/>
        <v>42544</v>
      </c>
      <c r="AA158">
        <f t="shared" ca="1" si="37"/>
        <v>158</v>
      </c>
    </row>
    <row r="159" spans="1:27" x14ac:dyDescent="0.15">
      <c r="A159" s="21" t="str">
        <f t="array" aca="1" ref="A159" ca="1">"Fu"&amp;TEXT(IF(MONTH(DATE("20"&amp;MID(A158,3,2),RIGHT(A158,2)+1,"1"))=INDEX(春节月份!$C$1:$C$23,MATCH(YEAR(DATE("20"&amp;MID(A158,3,2),RIGHT(A158,2)+1,"1")),春节月份!$B$1:$B$23,0)),DATE("20"&amp;MID(A158,3,2),RIGHT(A158,2)+2,"1"),DATE("20"&amp;MID(A158,3,2),RIGHT(A158,2)+1,"1")),"yymm")</f>
        <v>Fu1608</v>
      </c>
      <c r="B159" s="11">
        <f t="shared" ca="1" si="38"/>
        <v>42219</v>
      </c>
      <c r="C159" s="11">
        <f t="shared" ref="C159:C160" ca="1" si="41">IF(NETWORKDAYS(DATE("20"&amp;MID(A159,LEN(A159)-3,2),RIGHT(A159,2),0),DATE("20"&amp;MID(A159,LEN(A159)-3,2),RIGHT(A159,2),0),Holiday)=0,WORKDAY(DATE("20"&amp;MID(A159,LEN(A159)-3,2),RIGHT(A159,2),0),-1,Holiday),DATE("20"&amp;MID(A159,LEN(A159)-3,2),RIGHT(A159,2),0))</f>
        <v>42580</v>
      </c>
      <c r="D159" s="11">
        <f ca="1">IF(CTP=1,WORKDAY(上海期货交易所!D159,-1,Holiday)+1,WORKDAY(上海期货交易所!D159,0-全局参数,Holiday))</f>
        <v>42534</v>
      </c>
      <c r="E159" s="11">
        <f ca="1">IF(CTP=1,WORKDAY(上海期货交易所!E159,-1,Holiday)+1,WORKDAY(上海期货交易所!E159,0-全局参数,Holiday))</f>
        <v>42564</v>
      </c>
      <c r="F159" s="11">
        <f ca="1">IF(CTP=1,WORKDAY(上海期货交易所!F159,-1,Holiday)+1,WORKDAY(上海期货交易所!F159,0-全局参数,Holiday))</f>
        <v>42577</v>
      </c>
      <c r="G159" s="18">
        <f t="shared" ca="1" si="40"/>
        <v>42573</v>
      </c>
      <c r="AA159" t="str">
        <f t="shared" ca="1" si="37"/>
        <v/>
      </c>
    </row>
    <row r="160" spans="1:27" x14ac:dyDescent="0.15">
      <c r="A160" s="22" t="str">
        <f t="array" aca="1" ref="A160" ca="1">"Fu"&amp;TEXT(IF(MONTH(DATE("20"&amp;MID(A159,3,2),RIGHT(A159,2)+1,"1"))=INDEX(春节月份!$C$1:$C$23,MATCH(YEAR(DATE("20"&amp;MID(A159,3,2),RIGHT(A159,2)+1,"1")),春节月份!$B$1:$B$23,0)),DATE("20"&amp;MID(A159,3,2),RIGHT(A159,2)+2,"1"),DATE("20"&amp;MID(A159,3,2),RIGHT(A159,2)+1,"1")),"yymm")</f>
        <v>Fu1609</v>
      </c>
      <c r="B160" s="12">
        <f t="shared" ca="1" si="38"/>
        <v>42248</v>
      </c>
      <c r="C160" s="12">
        <f t="shared" ca="1" si="41"/>
        <v>42613</v>
      </c>
      <c r="D160" s="12">
        <f ca="1">IF(CTP=1,WORKDAY(上海期货交易所!D160,-1,Holiday)+1,WORKDAY(上海期货交易所!D160,0-全局参数,Holiday))</f>
        <v>42564</v>
      </c>
      <c r="E160" s="12">
        <f ca="1">IF(CTP=1,WORKDAY(上海期货交易所!E160,-1,Holiday)+1,WORKDAY(上海期货交易所!E160,0-全局参数,Holiday))</f>
        <v>42593</v>
      </c>
      <c r="F160" s="12">
        <f ca="1">IF(CTP=1,WORKDAY(上海期货交易所!F160,-1,Holiday)+1,WORKDAY(上海期货交易所!F160,0-全局参数,Holiday))</f>
        <v>42608</v>
      </c>
      <c r="G160" s="19">
        <f t="shared" ca="1" si="40"/>
        <v>42606</v>
      </c>
      <c r="AA160" t="str">
        <f t="shared" ca="1" si="37"/>
        <v/>
      </c>
    </row>
    <row r="161" spans="1:27" x14ac:dyDescent="0.15">
      <c r="AA161" t="str">
        <f t="shared" ca="1" si="37"/>
        <v/>
      </c>
    </row>
    <row r="162" spans="1:27" x14ac:dyDescent="0.15">
      <c r="AA162" t="str">
        <f t="shared" ca="1" si="37"/>
        <v/>
      </c>
    </row>
    <row r="163" spans="1:27" x14ac:dyDescent="0.15">
      <c r="A163" s="48" t="str">
        <f>"白银Ag"&amp;TEXT(白银Ag,"#%")</f>
        <v>白银Ag8%</v>
      </c>
      <c r="B163" s="49"/>
      <c r="C163" s="49"/>
      <c r="D163" s="49"/>
      <c r="E163" s="49"/>
      <c r="F163" s="49"/>
      <c r="G163" s="50"/>
      <c r="AA163" t="str">
        <f t="shared" ca="1" si="37"/>
        <v/>
      </c>
    </row>
    <row r="164" spans="1:27" ht="17.25" thickBot="1" x14ac:dyDescent="0.2">
      <c r="A164" s="20"/>
      <c r="B164" s="29" t="s">
        <v>46</v>
      </c>
      <c r="C164" s="26" t="s">
        <v>1</v>
      </c>
      <c r="D164" s="10">
        <f>MAX(10%,燃料油Fu)</f>
        <v>0.1</v>
      </c>
      <c r="E164" s="10">
        <f>MAX(15%,燃料油Fu)</f>
        <v>0.15</v>
      </c>
      <c r="F164" s="10">
        <v>0.2</v>
      </c>
      <c r="G164" s="20" t="s">
        <v>73</v>
      </c>
      <c r="AA164" t="str">
        <f t="shared" ca="1" si="37"/>
        <v/>
      </c>
    </row>
    <row r="165" spans="1:27" x14ac:dyDescent="0.15">
      <c r="A165" s="21" t="str">
        <f ca="1">"Ag"&amp;IF(TODAY()&gt;IF(NETWORKDAYS("2012/09/15","2012/09/15",Holiday)=1,DATE("2012","09","15"),WORKDAY("2012/09/15",1,Holiday)),TEXT(DATE(YEAR(TODAY()),MONTH(TODAY())+IF(TODAY()&gt;DATE(YEAR(TODAY()),MONTH(TODAY()),IF(NETWORKDAYS(DATE(YEAR(TODAY()),MONTH(TODAY()),"15"),DATE(YEAR(TODAY()),MONTH(TODAY()),"15"),Holiday)=1,"15",TEXT(WORKDAY(DATE(YEAR(TODAY()),MONTH(TODAY()),"15"),1,Holiday),"DD"))),1,0),"15"),"YYMM"),"1209")</f>
        <v>Ag1507</v>
      </c>
      <c r="B165" s="11">
        <f t="shared" ref="B165:B178" ca="1" si="42">IF(RIGHT(A165,4)="1602",DATE(2015,2,16),WORKDAY(IF(NETWORKDAYS(DATE("20"&amp;(MID(A165,LEN(A165)-3,2)-1),RIGHT(A165,2),"15"),DATE("20"&amp;(MID(A165,LEN(A165)-3,2)-1),RIGHT(A165,2),"15"),Holiday)=0,WORKDAY(DATE("20"&amp;(MID(A165,LEN(A165)-3,2)-1),RIGHT(A165,2),"15"),1,Holiday),DATE("20"&amp;(MID(A165,LEN(A165)-3,2)-1),RIGHT(A165,2),"15")),1,Holiday))</f>
        <v>41836</v>
      </c>
      <c r="C165" s="11">
        <f t="shared" ref="C165:C178" ca="1" si="43">IF(RIGHT(A165,4)="1502",DATE(2015,2,10),IF(NETWORKDAYS(DATE("20"&amp;MID(A165,LEN(A165)-3,2),RIGHT(A165,2),"15"),DATE("20"&amp;MID(A165,LEN(A165)-3,2),RIGHT(A165,2),"15"),Holiday)=0,WORKDAY(DATE("20"&amp;MID(A165,LEN(A165)-3,2),RIGHT(A165,2),"15"),1,Holiday),DATE("20"&amp;MID(A165,LEN(A165)-3,2),RIGHT(A165,2),"15")))</f>
        <v>42200</v>
      </c>
      <c r="D165" s="11">
        <f ca="1">IF(CTP=1,WORKDAY(上海期货交易所!D165,-1,Holiday)+1,WORKDAY(上海期货交易所!D165,0-全局参数,Holiday))</f>
        <v>42153</v>
      </c>
      <c r="E165" s="11">
        <f ca="1">IF(CTP=1,WORKDAY(上海期货交易所!E165,-1,Holiday)+1,WORKDAY(上海期货交易所!E165,0-全局参数,Holiday))</f>
        <v>42185</v>
      </c>
      <c r="F165" s="11">
        <f ca="1">IF(CTP=1,WORKDAY(上海期货交易所!F165,-1,Holiday)+1,WORKDAY(上海期货交易所!F165,0-全局参数,Holiday))</f>
        <v>42195</v>
      </c>
      <c r="G165" s="18">
        <f t="shared" ref="G165:G178" ca="1" si="44">WORKDAY(C165,-5,Holiday)</f>
        <v>42193</v>
      </c>
      <c r="AA165" t="str">
        <f t="shared" ca="1" si="37"/>
        <v/>
      </c>
    </row>
    <row r="166" spans="1:27" x14ac:dyDescent="0.15">
      <c r="A166" s="22" t="str">
        <f ca="1">"Ag"&amp;TEXT(DATE("20"&amp;MID(A165,LEN(A165)-3,2),RIGHT(A165,2)+1,"15"),"yymm")</f>
        <v>Ag1508</v>
      </c>
      <c r="B166" s="12">
        <f t="shared" ca="1" si="42"/>
        <v>41869</v>
      </c>
      <c r="C166" s="12">
        <f t="shared" ca="1" si="43"/>
        <v>42233</v>
      </c>
      <c r="D166" s="12">
        <f ca="1">IF(CTP=1,WORKDAY(上海期货交易所!D166,-1,Holiday)+1,WORKDAY(上海期货交易所!D166,0-全局参数,Holiday))</f>
        <v>42185</v>
      </c>
      <c r="E166" s="12">
        <f ca="1">IF(CTP=1,WORKDAY(上海期货交易所!E166,-1,Holiday)+1,WORKDAY(上海期货交易所!E166,0-全局参数,Holiday))</f>
        <v>42216</v>
      </c>
      <c r="F166" s="12">
        <f ca="1">IF(CTP=1,WORKDAY(上海期货交易所!F166,-1,Holiday)+1,WORKDAY(上海期货交易所!F166,0-全局参数,Holiday))</f>
        <v>42228</v>
      </c>
      <c r="G166" s="19">
        <f t="shared" ca="1" si="44"/>
        <v>42226</v>
      </c>
      <c r="AA166" t="str">
        <f t="shared" ca="1" si="37"/>
        <v/>
      </c>
    </row>
    <row r="167" spans="1:27" x14ac:dyDescent="0.15">
      <c r="A167" s="21" t="str">
        <f t="shared" ref="A167:A178" ca="1" si="45">"Ag"&amp;TEXT(DATE("20"&amp;MID(A166,LEN(A166)-3,2),RIGHT(A166,2)+1,"15"),"yymm")</f>
        <v>Ag1509</v>
      </c>
      <c r="B167" s="11">
        <f t="shared" ca="1" si="42"/>
        <v>41898</v>
      </c>
      <c r="C167" s="11">
        <f t="shared" ca="1" si="43"/>
        <v>42262</v>
      </c>
      <c r="D167" s="11">
        <f ca="1">IF(CTP=1,WORKDAY(上海期货交易所!D167,-1,Holiday)+1,WORKDAY(上海期货交易所!D167,0-全局参数,Holiday))</f>
        <v>42216</v>
      </c>
      <c r="E167" s="11">
        <f ca="1">IF(CTP=1,WORKDAY(上海期货交易所!E167,-1,Holiday)+1,WORKDAY(上海期货交易所!E167,0-全局参数,Holiday))</f>
        <v>42247</v>
      </c>
      <c r="F167" s="11">
        <f ca="1">IF(CTP=1,WORKDAY(上海期货交易所!F167,-1,Holiday)+1,WORKDAY(上海期货交易所!F167,0-全局参数,Holiday))</f>
        <v>42257</v>
      </c>
      <c r="G167" s="18">
        <f t="shared" ca="1" si="44"/>
        <v>42255</v>
      </c>
      <c r="AA167" t="str">
        <f t="shared" ca="1" si="37"/>
        <v/>
      </c>
    </row>
    <row r="168" spans="1:27" x14ac:dyDescent="0.15">
      <c r="A168" s="22" t="str">
        <f t="shared" ca="1" si="45"/>
        <v>Ag1510</v>
      </c>
      <c r="B168" s="12">
        <f t="shared" ca="1" si="42"/>
        <v>41928</v>
      </c>
      <c r="C168" s="12">
        <f t="shared" ca="1" si="43"/>
        <v>42292</v>
      </c>
      <c r="D168" s="12">
        <f ca="1">IF(CTP=1,WORKDAY(上海期货交易所!D168,-1,Holiday)+1,WORKDAY(上海期货交易所!D168,0-全局参数,Holiday))</f>
        <v>42247</v>
      </c>
      <c r="E168" s="12">
        <f ca="1">IF(CTP=1,WORKDAY(上海期货交易所!E168,-1,Holiday)+1,WORKDAY(上海期货交易所!E168,0-全局参数,Holiday))</f>
        <v>42277</v>
      </c>
      <c r="F168" s="12">
        <f ca="1">IF(CTP=1,WORKDAY(上海期货交易所!F168,-1,Holiday)+1,WORKDAY(上海期货交易所!F168,0-全局参数,Holiday))</f>
        <v>42289</v>
      </c>
      <c r="G168" s="19">
        <f t="shared" ca="1" si="44"/>
        <v>42285</v>
      </c>
      <c r="AA168" t="str">
        <f t="shared" ca="1" si="37"/>
        <v/>
      </c>
    </row>
    <row r="169" spans="1:27" x14ac:dyDescent="0.15">
      <c r="A169" s="21" t="str">
        <f t="shared" ca="1" si="45"/>
        <v>Ag1511</v>
      </c>
      <c r="B169" s="11">
        <f t="shared" ca="1" si="42"/>
        <v>41961</v>
      </c>
      <c r="C169" s="11">
        <f t="shared" ca="1" si="43"/>
        <v>42324</v>
      </c>
      <c r="D169" s="11">
        <f ca="1">IF(CTP=1,WORKDAY(上海期货交易所!D169,-1,Holiday)+1,WORKDAY(上海期货交易所!D169,0-全局参数,Holiday))</f>
        <v>42277</v>
      </c>
      <c r="E169" s="11">
        <f ca="1">IF(CTP=1,WORKDAY(上海期货交易所!E169,-1,Holiday)+1,WORKDAY(上海期货交易所!E169,0-全局参数,Holiday))</f>
        <v>42307</v>
      </c>
      <c r="F169" s="11">
        <f ca="1">IF(CTP=1,WORKDAY(上海期货交易所!F169,-1,Holiday)+1,WORKDAY(上海期货交易所!F169,0-全局参数,Holiday))</f>
        <v>42319</v>
      </c>
      <c r="G169" s="18">
        <f t="shared" ca="1" si="44"/>
        <v>42317</v>
      </c>
      <c r="AA169" t="str">
        <f t="shared" ca="1" si="37"/>
        <v/>
      </c>
    </row>
    <row r="170" spans="1:27" x14ac:dyDescent="0.15">
      <c r="A170" s="22" t="str">
        <f t="shared" ca="1" si="45"/>
        <v>Ag1512</v>
      </c>
      <c r="B170" s="12">
        <f t="shared" ca="1" si="42"/>
        <v>41989</v>
      </c>
      <c r="C170" s="12">
        <f t="shared" ca="1" si="43"/>
        <v>42353</v>
      </c>
      <c r="D170" s="12">
        <f ca="1">IF(CTP=1,WORKDAY(上海期货交易所!D170,-1,Holiday)+1,WORKDAY(上海期货交易所!D170,0-全局参数,Holiday))</f>
        <v>42307</v>
      </c>
      <c r="E170" s="12">
        <f ca="1">IF(CTP=1,WORKDAY(上海期货交易所!E170,-1,Holiday)+1,WORKDAY(上海期货交易所!E170,0-全局参数,Holiday))</f>
        <v>42338</v>
      </c>
      <c r="F170" s="12">
        <f ca="1">IF(CTP=1,WORKDAY(上海期货交易所!F170,-1,Holiday)+1,WORKDAY(上海期货交易所!F170,0-全局参数,Holiday))</f>
        <v>42348</v>
      </c>
      <c r="G170" s="19">
        <f t="shared" ca="1" si="44"/>
        <v>42346</v>
      </c>
      <c r="AA170" t="str">
        <f t="shared" ca="1" si="37"/>
        <v/>
      </c>
    </row>
    <row r="171" spans="1:27" x14ac:dyDescent="0.15">
      <c r="A171" s="21" t="str">
        <f t="shared" ca="1" si="45"/>
        <v>Ag1601</v>
      </c>
      <c r="B171" s="11">
        <f t="shared" ca="1" si="42"/>
        <v>42020</v>
      </c>
      <c r="C171" s="11">
        <f t="shared" ca="1" si="43"/>
        <v>42384</v>
      </c>
      <c r="D171" s="11">
        <f ca="1">IF(CTP=1,WORKDAY(上海期货交易所!D171,-1,Holiday)+1,WORKDAY(上海期货交易所!D171,0-全局参数,Holiday))</f>
        <v>42338</v>
      </c>
      <c r="E171" s="11">
        <f ca="1">IF(CTP=1,WORKDAY(上海期货交易所!E171,-1,Holiday)+1,WORKDAY(上海期货交易所!E171,0-全局参数,Holiday))</f>
        <v>42369</v>
      </c>
      <c r="F171" s="11">
        <f ca="1">IF(CTP=1,WORKDAY(上海期货交易所!F171,-1,Holiday)+1,WORKDAY(上海期货交易所!F171,0-全局参数,Holiday))</f>
        <v>42381</v>
      </c>
      <c r="G171" s="18">
        <f t="shared" ca="1" si="44"/>
        <v>42377</v>
      </c>
      <c r="AA171" t="str">
        <f t="shared" ca="1" si="37"/>
        <v/>
      </c>
    </row>
    <row r="172" spans="1:27" x14ac:dyDescent="0.15">
      <c r="A172" s="22" t="str">
        <f t="shared" ca="1" si="45"/>
        <v>Ag1602</v>
      </c>
      <c r="B172" s="12">
        <f t="shared" ca="1" si="42"/>
        <v>42051</v>
      </c>
      <c r="C172" s="12">
        <f t="shared" ca="1" si="43"/>
        <v>42415</v>
      </c>
      <c r="D172" s="12">
        <f ca="1">IF(CTP=1,WORKDAY(上海期货交易所!D172,-1,Holiday)+1,WORKDAY(上海期货交易所!D172,0-全局参数,Holiday))</f>
        <v>42369</v>
      </c>
      <c r="E172" s="12">
        <f ca="1">IF(CTP=1,WORKDAY(上海期货交易所!E172,-1,Holiday)+1,WORKDAY(上海期货交易所!E172,0-全局参数,Holiday))</f>
        <v>42398</v>
      </c>
      <c r="F172" s="12">
        <f ca="1">IF(CTP=1,WORKDAY(上海期货交易所!F172,-1,Holiday)+1,WORKDAY(上海期货交易所!F172,0-全局参数,Holiday))</f>
        <v>42410</v>
      </c>
      <c r="G172" s="19">
        <f t="shared" ca="1" si="44"/>
        <v>42408</v>
      </c>
      <c r="AA172" t="str">
        <f t="shared" ca="1" si="37"/>
        <v/>
      </c>
    </row>
    <row r="173" spans="1:27" x14ac:dyDescent="0.15">
      <c r="A173" s="21" t="str">
        <f t="shared" ca="1" si="45"/>
        <v>Ag1603</v>
      </c>
      <c r="B173" s="11">
        <f t="shared" ca="1" si="42"/>
        <v>42080</v>
      </c>
      <c r="C173" s="11">
        <f t="shared" ca="1" si="43"/>
        <v>42444</v>
      </c>
      <c r="D173" s="11">
        <f ca="1">IF(CTP=1,WORKDAY(上海期货交易所!D173,-1,Holiday)+1,WORKDAY(上海期货交易所!D173,0-全局参数,Holiday))</f>
        <v>42398</v>
      </c>
      <c r="E173" s="11">
        <f ca="1">IF(CTP=1,WORKDAY(上海期货交易所!E173,-1,Holiday)+1,WORKDAY(上海期货交易所!E173,0-全局参数,Holiday))</f>
        <v>42429</v>
      </c>
      <c r="F173" s="11">
        <f ca="1">IF(CTP=1,WORKDAY(上海期货交易所!F173,-1,Holiday)+1,WORKDAY(上海期货交易所!F173,0-全局参数,Holiday))</f>
        <v>42439</v>
      </c>
      <c r="G173" s="18">
        <f t="shared" ca="1" si="44"/>
        <v>42437</v>
      </c>
      <c r="AA173" t="str">
        <f t="shared" ca="1" si="37"/>
        <v/>
      </c>
    </row>
    <row r="174" spans="1:27" x14ac:dyDescent="0.15">
      <c r="A174" s="22" t="str">
        <f t="shared" ca="1" si="45"/>
        <v>Ag1604</v>
      </c>
      <c r="B174" s="12">
        <f t="shared" ca="1" si="42"/>
        <v>42110</v>
      </c>
      <c r="C174" s="12">
        <f t="shared" ca="1" si="43"/>
        <v>42475</v>
      </c>
      <c r="D174" s="12">
        <f ca="1">IF(CTP=1,WORKDAY(上海期货交易所!D174,-1,Holiday)+1,WORKDAY(上海期货交易所!D174,0-全局参数,Holiday))</f>
        <v>42429</v>
      </c>
      <c r="E174" s="12">
        <f ca="1">IF(CTP=1,WORKDAY(上海期货交易所!E174,-1,Holiday)+1,WORKDAY(上海期货交易所!E174,0-全局参数,Holiday))</f>
        <v>42460</v>
      </c>
      <c r="F174" s="12">
        <f ca="1">IF(CTP=1,WORKDAY(上海期货交易所!F174,-1,Holiday)+1,WORKDAY(上海期货交易所!F174,0-全局参数,Holiday))</f>
        <v>42472</v>
      </c>
      <c r="G174" s="19">
        <f t="shared" ca="1" si="44"/>
        <v>42468</v>
      </c>
      <c r="AA174" t="str">
        <f t="shared" ca="1" si="37"/>
        <v/>
      </c>
    </row>
    <row r="175" spans="1:27" x14ac:dyDescent="0.15">
      <c r="A175" s="21" t="str">
        <f t="shared" ca="1" si="45"/>
        <v>Ag1605</v>
      </c>
      <c r="B175" s="11">
        <f t="shared" ca="1" si="42"/>
        <v>42142</v>
      </c>
      <c r="C175" s="11">
        <f t="shared" ca="1" si="43"/>
        <v>42506</v>
      </c>
      <c r="D175" s="11">
        <f ca="1">IF(CTP=1,WORKDAY(上海期货交易所!D175,-1,Holiday)+1,WORKDAY(上海期货交易所!D175,0-全局参数,Holiday))</f>
        <v>42460</v>
      </c>
      <c r="E175" s="11">
        <f ca="1">IF(CTP=1,WORKDAY(上海期货交易所!E175,-1,Holiday)+1,WORKDAY(上海期货交易所!E175,0-全局参数,Holiday))</f>
        <v>42489</v>
      </c>
      <c r="F175" s="11">
        <f ca="1">IF(CTP=1,WORKDAY(上海期货交易所!F175,-1,Holiday)+1,WORKDAY(上海期货交易所!F175,0-全局参数,Holiday))</f>
        <v>42501</v>
      </c>
      <c r="G175" s="18">
        <f t="shared" ca="1" si="44"/>
        <v>42499</v>
      </c>
      <c r="AA175" t="str">
        <f t="shared" ca="1" si="37"/>
        <v/>
      </c>
    </row>
    <row r="176" spans="1:27" x14ac:dyDescent="0.15">
      <c r="A176" s="22" t="str">
        <f t="shared" ca="1" si="45"/>
        <v>Ag1606</v>
      </c>
      <c r="B176" s="12">
        <f t="shared" ca="1" si="42"/>
        <v>42171</v>
      </c>
      <c r="C176" s="12">
        <f t="shared" ca="1" si="43"/>
        <v>42536</v>
      </c>
      <c r="D176" s="12">
        <f ca="1">IF(CTP=1,WORKDAY(上海期货交易所!D176,-1,Holiday)+1,WORKDAY(上海期货交易所!D176,0-全局参数,Holiday))</f>
        <v>42489</v>
      </c>
      <c r="E176" s="12">
        <f ca="1">IF(CTP=1,WORKDAY(上海期货交易所!E176,-1,Holiday)+1,WORKDAY(上海期货交易所!E176,0-全局参数,Holiday))</f>
        <v>42521</v>
      </c>
      <c r="F176" s="12">
        <f ca="1">IF(CTP=1,WORKDAY(上海期货交易所!F176,-1,Holiday)+1,WORKDAY(上海期货交易所!F176,0-全局参数,Holiday))</f>
        <v>42531</v>
      </c>
      <c r="G176" s="19">
        <f t="shared" ca="1" si="44"/>
        <v>42529</v>
      </c>
      <c r="AA176" t="str">
        <f t="shared" ca="1" si="37"/>
        <v/>
      </c>
    </row>
    <row r="177" spans="1:27" x14ac:dyDescent="0.15">
      <c r="A177" s="21" t="str">
        <f t="shared" ca="1" si="45"/>
        <v>Ag1607</v>
      </c>
      <c r="B177" s="11">
        <f t="shared" ca="1" si="42"/>
        <v>42201</v>
      </c>
      <c r="C177" s="11">
        <f t="shared" ca="1" si="43"/>
        <v>42566</v>
      </c>
      <c r="D177" s="11">
        <f ca="1">IF(CTP=1,WORKDAY(上海期货交易所!D177,-1,Holiday)+1,WORKDAY(上海期货交易所!D177,0-全局参数,Holiday))</f>
        <v>42521</v>
      </c>
      <c r="E177" s="11">
        <f ca="1">IF(CTP=1,WORKDAY(上海期货交易所!E177,-1,Holiday)+1,WORKDAY(上海期货交易所!E177,0-全局参数,Holiday))</f>
        <v>42551</v>
      </c>
      <c r="F177" s="11">
        <f ca="1">IF(CTP=1,WORKDAY(上海期货交易所!F177,-1,Holiday)+1,WORKDAY(上海期货交易所!F177,0-全局参数,Holiday))</f>
        <v>42563</v>
      </c>
      <c r="G177" s="18">
        <f t="shared" ca="1" si="44"/>
        <v>42559</v>
      </c>
      <c r="AA177" t="str">
        <f t="shared" ca="1" si="37"/>
        <v/>
      </c>
    </row>
    <row r="178" spans="1:27" x14ac:dyDescent="0.15">
      <c r="A178" s="22" t="str">
        <f t="shared" ca="1" si="45"/>
        <v>Ag1608</v>
      </c>
      <c r="B178" s="12">
        <f t="shared" ca="1" si="42"/>
        <v>42234</v>
      </c>
      <c r="C178" s="12">
        <f t="shared" ca="1" si="43"/>
        <v>42597</v>
      </c>
      <c r="D178" s="12">
        <f ca="1">IF(CTP=1,WORKDAY(上海期货交易所!D178,-1,Holiday)+1,WORKDAY(上海期货交易所!D178,0-全局参数,Holiday))</f>
        <v>42551</v>
      </c>
      <c r="E178" s="12">
        <f ca="1">IF(CTP=1,WORKDAY(上海期货交易所!E178,-1,Holiday)+1,WORKDAY(上海期货交易所!E178,0-全局参数,Holiday))</f>
        <v>42580</v>
      </c>
      <c r="F178" s="12">
        <f ca="1">IF(CTP=1,WORKDAY(上海期货交易所!F178,-1,Holiday)+1,WORKDAY(上海期货交易所!F178,0-全局参数,Holiday))</f>
        <v>42592</v>
      </c>
      <c r="G178" s="19">
        <f t="shared" ca="1" si="44"/>
        <v>42590</v>
      </c>
      <c r="AA178" t="str">
        <f t="shared" ca="1" si="37"/>
        <v/>
      </c>
    </row>
    <row r="179" spans="1:27" x14ac:dyDescent="0.15">
      <c r="AA179" t="str">
        <f t="shared" ca="1" si="37"/>
        <v/>
      </c>
    </row>
    <row r="180" spans="1:27" x14ac:dyDescent="0.15">
      <c r="AA180" t="str">
        <f t="shared" ca="1" si="37"/>
        <v/>
      </c>
    </row>
    <row r="181" spans="1:27" x14ac:dyDescent="0.15">
      <c r="A181" s="48" t="str">
        <f>"石油沥青Bu"&amp;TEXT(石油沥青BU,"#%")</f>
        <v>石油沥青Bu7%</v>
      </c>
      <c r="B181" s="49"/>
      <c r="C181" s="49"/>
      <c r="D181" s="49"/>
      <c r="E181" s="49"/>
      <c r="F181" s="49"/>
      <c r="G181" s="50"/>
      <c r="AA181" t="str">
        <f t="shared" ca="1" si="37"/>
        <v/>
      </c>
    </row>
    <row r="182" spans="1:27" ht="17.25" thickBot="1" x14ac:dyDescent="0.2">
      <c r="A182" s="20"/>
      <c r="B182" s="33" t="s">
        <v>46</v>
      </c>
      <c r="C182" s="33" t="s">
        <v>1</v>
      </c>
      <c r="D182" s="10">
        <f>MAX(10%,燃料油Fu)</f>
        <v>0.1</v>
      </c>
      <c r="E182" s="10">
        <f>MAX(15%,燃料油Fu)</f>
        <v>0.15</v>
      </c>
      <c r="F182" s="10">
        <v>0.2</v>
      </c>
      <c r="G182" s="20" t="s">
        <v>73</v>
      </c>
      <c r="AA182" t="str">
        <f t="shared" ca="1" si="37"/>
        <v/>
      </c>
    </row>
    <row r="183" spans="1:27" x14ac:dyDescent="0.15">
      <c r="A183" s="21" t="str">
        <f ca="1">"Bu"&amp;IF(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*1&lt;=1402,"1402"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Bu1507</v>
      </c>
      <c r="B183" s="11">
        <f ca="1">IF(RIGHT(A183,4)="1508",DATE(2015,2,16),IF(ISERROR(VLOOKUP(RIGHT(A183,4),{"1402";"1403";"1406";"1409";"1412";"1503";"1506";"1509"},1,FALSE)),IF(OR(RIGHT(A183,2)*1=3,RIGHT(A183,2)*1=6,RIGHT(A183,2)*1=9,RIGHT(A183,2)*1=12),IF(NETWORKDAYS(DATE("20"&amp;MID(A183,3,2),RIGHT(A183,2)-24,15),DATE("20"&amp;MID(A183,3,2),RIGHT(A183,2)-24,15),Holiday)=1,WORKDAY(DATE("20"&amp;MID(A183,3,2),RIGHT(A183,2)-24,15),1,Holiday),WORKDAY(DATE("20"&amp;MID(A183,3,2),RIGHT(A183,2)-24,15),2,Holiday)),IF(NETWORKDAYS(DATE("20"&amp;MID(A183,3,2),RIGHT(A183,2)-6,15),DATE("20"&amp;MID(A183,3,2),RIGHT(A183,2)-6,15),Holiday)=1,WORKDAY(DATE("20"&amp;MID(A183,3,2),RIGHT(A183,2)-6,15),1,Holiday),WORKDAY(DATE("20"&amp;MID(A183,3,2),RIGHT(A183,2)-6,15),2,Holiday))),DATE(2013,10,9)))</f>
        <v>42020</v>
      </c>
      <c r="C183" s="11">
        <f t="shared" ref="C183:C208" ca="1" si="46">IF(RIGHT(A183,4)="1502",DATE(2015,2,10),IF(NETWORKDAYS(DATE("20"&amp;MID(A183,LEN(A183)-3,2),RIGHT(A183,2),"15"),DATE("20"&amp;MID(A183,LEN(A183)-3,2),RIGHT(A183,2),"15"),Holiday)=0,WORKDAY(DATE("20"&amp;MID(A183,LEN(A183)-3,2),RIGHT(A183,2),"15"),1,Holiday),DATE("20"&amp;MID(A183,LEN(A183)-3,2),RIGHT(A183,2),"15")))</f>
        <v>42200</v>
      </c>
      <c r="D183" s="11">
        <f ca="1">IF(CTP=1,WORKDAY(上海期货交易所!D183,-1,Holiday)+1,WORKDAY(上海期货交易所!D183,0-全局参数,Holiday))</f>
        <v>42153</v>
      </c>
      <c r="E183" s="11">
        <f ca="1">IF(CTP=1,WORKDAY(上海期货交易所!E183,-1,Holiday)+1,WORKDAY(上海期货交易所!E183,0-全局参数,Holiday))</f>
        <v>42185</v>
      </c>
      <c r="F183" s="11">
        <f ca="1">IF(CTP=1,WORKDAY(上海期货交易所!F183,-1,Holiday)+1,WORKDAY(上海期货交易所!F183,0-全局参数,Holiday))</f>
        <v>42195</v>
      </c>
      <c r="G183" s="18">
        <f t="shared" ref="G183:G208" ca="1" si="47">WORKDAY(C183,-5,Holiday)</f>
        <v>42193</v>
      </c>
      <c r="AA183" t="str">
        <f t="shared" ca="1" si="37"/>
        <v/>
      </c>
    </row>
    <row r="184" spans="1:27" x14ac:dyDescent="0.15">
      <c r="A184" s="22" t="str">
        <f ca="1">"Bu"&amp;TEXT(DATE("20"&amp;MID(A183,LEN(A183)-3,2),RIGHT(A183,2)+1,"15"),"yymm")</f>
        <v>Bu1508</v>
      </c>
      <c r="B184" s="12">
        <f ca="1">IF(RIGHT(A184,4)="1508",DATE(2015,2,16),IF(ISERROR(VLOOKUP(RIGHT(A184,4),{"1402";"1403";"1406";"1409";"1412";"1503";"1506";"1509"},1,FALSE)),IF(OR(RIGHT(A184,2)*1=3,RIGHT(A184,2)*1=6,RIGHT(A184,2)*1=9,RIGHT(A184,2)*1=12),IF(NETWORKDAYS(DATE("20"&amp;MID(A184,3,2),RIGHT(A184,2)-24,15),DATE("20"&amp;MID(A184,3,2),RIGHT(A184,2)-24,15),Holiday)=1,WORKDAY(DATE("20"&amp;MID(A184,3,2),RIGHT(A184,2)-24,15),1,Holiday),WORKDAY(DATE("20"&amp;MID(A184,3,2),RIGHT(A184,2)-24,15),2,Holiday)),IF(NETWORKDAYS(DATE("20"&amp;MID(A184,3,2),RIGHT(A184,2)-6,15),DATE("20"&amp;MID(A184,3,2),RIGHT(A184,2)-6,15),Holiday)=1,WORKDAY(DATE("20"&amp;MID(A184,3,2),RIGHT(A184,2)-6,15),1,Holiday),WORKDAY(DATE("20"&amp;MID(A184,3,2),RIGHT(A184,2)-6,15),2,Holiday))),DATE(2013,10,9)))</f>
        <v>42051</v>
      </c>
      <c r="C184" s="12">
        <f t="shared" ca="1" si="46"/>
        <v>42233</v>
      </c>
      <c r="D184" s="12">
        <f ca="1">IF(CTP=1,WORKDAY(上海期货交易所!D184,-1,Holiday)+1,WORKDAY(上海期货交易所!D184,0-全局参数,Holiday))</f>
        <v>42185</v>
      </c>
      <c r="E184" s="12">
        <f ca="1">IF(CTP=1,WORKDAY(上海期货交易所!E184,-1,Holiday)+1,WORKDAY(上海期货交易所!E184,0-全局参数,Holiday))</f>
        <v>42216</v>
      </c>
      <c r="F184" s="12">
        <f ca="1">IF(CTP=1,WORKDAY(上海期货交易所!F184,-1,Holiday)+1,WORKDAY(上海期货交易所!F184,0-全局参数,Holiday))</f>
        <v>42228</v>
      </c>
      <c r="G184" s="19">
        <f t="shared" ca="1" si="47"/>
        <v>42226</v>
      </c>
      <c r="AA184" t="str">
        <f t="shared" ca="1" si="37"/>
        <v/>
      </c>
    </row>
    <row r="185" spans="1:27" x14ac:dyDescent="0.15">
      <c r="A185" s="21" t="str">
        <f t="shared" ref="A185:A208" ca="1" si="48">"Bu"&amp;TEXT(DATE("20"&amp;MID(A184,LEN(A184)-3,2),RIGHT(A184,2)+1,"15"),"yymm")</f>
        <v>Bu1509</v>
      </c>
      <c r="B185" s="11">
        <f ca="1">IF(RIGHT(A185,4)="1508",DATE(2015,2,16),IF(ISERROR(VLOOKUP(RIGHT(A185,4),{"1402";"1403";"1406";"1409";"1412";"1503";"1506";"1509"},1,FALSE)),IF(OR(RIGHT(A185,2)*1=3,RIGHT(A185,2)*1=6,RIGHT(A185,2)*1=9,RIGHT(A185,2)*1=12),IF(NETWORKDAYS(DATE("20"&amp;MID(A185,3,2),RIGHT(A185,2)-24,15),DATE("20"&amp;MID(A185,3,2),RIGHT(A185,2)-24,15),Holiday)=1,WORKDAY(DATE("20"&amp;MID(A185,3,2),RIGHT(A185,2)-24,15),1,Holiday),WORKDAY(DATE("20"&amp;MID(A185,3,2),RIGHT(A185,2)-24,15),2,Holiday)),IF(NETWORKDAYS(DATE("20"&amp;MID(A185,3,2),RIGHT(A185,2)-6,15),DATE("20"&amp;MID(A185,3,2),RIGHT(A185,2)-6,15),Holiday)=1,WORKDAY(DATE("20"&amp;MID(A185,3,2),RIGHT(A185,2)-6,15),1,Holiday),WORKDAY(DATE("20"&amp;MID(A185,3,2),RIGHT(A185,2)-6,15),2,Holiday))),DATE(2013,10,9)))</f>
        <v>41556</v>
      </c>
      <c r="C185" s="11">
        <f t="shared" ca="1" si="46"/>
        <v>42262</v>
      </c>
      <c r="D185" s="11">
        <f ca="1">IF(CTP=1,WORKDAY(上海期货交易所!D185,-1,Holiday)+1,WORKDAY(上海期货交易所!D185,0-全局参数,Holiday))</f>
        <v>42216</v>
      </c>
      <c r="E185" s="11">
        <f ca="1">IF(CTP=1,WORKDAY(上海期货交易所!E185,-1,Holiday)+1,WORKDAY(上海期货交易所!E185,0-全局参数,Holiday))</f>
        <v>42247</v>
      </c>
      <c r="F185" s="11">
        <f ca="1">IF(CTP=1,WORKDAY(上海期货交易所!F185,-1,Holiday)+1,WORKDAY(上海期货交易所!F185,0-全局参数,Holiday))</f>
        <v>42257</v>
      </c>
      <c r="G185" s="18">
        <f t="shared" ca="1" si="47"/>
        <v>42255</v>
      </c>
      <c r="AA185" t="str">
        <f t="shared" ca="1" si="37"/>
        <v/>
      </c>
    </row>
    <row r="186" spans="1:27" x14ac:dyDescent="0.15">
      <c r="A186" s="22" t="str">
        <f t="shared" ca="1" si="48"/>
        <v>Bu1510</v>
      </c>
      <c r="B186" s="12">
        <f ca="1">IF(RIGHT(A186,4)="1508",DATE(2015,2,16),IF(ISERROR(VLOOKUP(RIGHT(A186,4),{"1402";"1403";"1406";"1409";"1412";"1503";"1506";"1509"},1,FALSE)),IF(OR(RIGHT(A186,2)*1=3,RIGHT(A186,2)*1=6,RIGHT(A186,2)*1=9,RIGHT(A186,2)*1=12),IF(NETWORKDAYS(DATE("20"&amp;MID(A186,3,2),RIGHT(A186,2)-24,15),DATE("20"&amp;MID(A186,3,2),RIGHT(A186,2)-24,15),Holiday)=1,WORKDAY(DATE("20"&amp;MID(A186,3,2),RIGHT(A186,2)-24,15),1,Holiday),WORKDAY(DATE("20"&amp;MID(A186,3,2),RIGHT(A186,2)-24,15),2,Holiday)),IF(NETWORKDAYS(DATE("20"&amp;MID(A186,3,2),RIGHT(A186,2)-6,15),DATE("20"&amp;MID(A186,3,2),RIGHT(A186,2)-6,15),Holiday)=1,WORKDAY(DATE("20"&amp;MID(A186,3,2),RIGHT(A186,2)-6,15),1,Holiday),WORKDAY(DATE("20"&amp;MID(A186,3,2),RIGHT(A186,2)-6,15),2,Holiday))),DATE(2013,10,9)))</f>
        <v>42110</v>
      </c>
      <c r="C186" s="12">
        <f t="shared" ca="1" si="46"/>
        <v>42292</v>
      </c>
      <c r="D186" s="12">
        <f ca="1">IF(CTP=1,WORKDAY(上海期货交易所!D186,-1,Holiday)+1,WORKDAY(上海期货交易所!D186,0-全局参数,Holiday))</f>
        <v>42247</v>
      </c>
      <c r="E186" s="12">
        <f ca="1">IF(CTP=1,WORKDAY(上海期货交易所!E186,-1,Holiday)+1,WORKDAY(上海期货交易所!E186,0-全局参数,Holiday))</f>
        <v>42277</v>
      </c>
      <c r="F186" s="12">
        <f ca="1">IF(CTP=1,WORKDAY(上海期货交易所!F186,-1,Holiday)+1,WORKDAY(上海期货交易所!F186,0-全局参数,Holiday))</f>
        <v>42289</v>
      </c>
      <c r="G186" s="19">
        <f t="shared" ca="1" si="47"/>
        <v>42285</v>
      </c>
      <c r="AA186" t="str">
        <f t="shared" ca="1" si="37"/>
        <v/>
      </c>
    </row>
    <row r="187" spans="1:27" x14ac:dyDescent="0.15">
      <c r="A187" s="21" t="str">
        <f t="shared" ca="1" si="48"/>
        <v>Bu1511</v>
      </c>
      <c r="B187" s="11">
        <f ca="1">IF(RIGHT(A187,4)="1508",DATE(2015,2,16),IF(ISERROR(VLOOKUP(RIGHT(A187,4),{"1402";"1403";"1406";"1409";"1412";"1503";"1506";"1509"},1,FALSE)),IF(OR(RIGHT(A187,2)*1=3,RIGHT(A187,2)*1=6,RIGHT(A187,2)*1=9,RIGHT(A187,2)*1=12),IF(NETWORKDAYS(DATE("20"&amp;MID(A187,3,2),RIGHT(A187,2)-24,15),DATE("20"&amp;MID(A187,3,2),RIGHT(A187,2)-24,15),Holiday)=1,WORKDAY(DATE("20"&amp;MID(A187,3,2),RIGHT(A187,2)-24,15),1,Holiday),WORKDAY(DATE("20"&amp;MID(A187,3,2),RIGHT(A187,2)-24,15),2,Holiday)),IF(NETWORKDAYS(DATE("20"&amp;MID(A187,3,2),RIGHT(A187,2)-6,15),DATE("20"&amp;MID(A187,3,2),RIGHT(A187,2)-6,15),Holiday)=1,WORKDAY(DATE("20"&amp;MID(A187,3,2),RIGHT(A187,2)-6,15),1,Holiday),WORKDAY(DATE("20"&amp;MID(A187,3,2),RIGHT(A187,2)-6,15),2,Holiday))),DATE(2013,10,9)))</f>
        <v>42142</v>
      </c>
      <c r="C187" s="11">
        <f t="shared" ca="1" si="46"/>
        <v>42324</v>
      </c>
      <c r="D187" s="11">
        <f ca="1">IF(CTP=1,WORKDAY(上海期货交易所!D187,-1,Holiday)+1,WORKDAY(上海期货交易所!D187,0-全局参数,Holiday))</f>
        <v>42277</v>
      </c>
      <c r="E187" s="11">
        <f ca="1">IF(CTP=1,WORKDAY(上海期货交易所!E187,-1,Holiday)+1,WORKDAY(上海期货交易所!E187,0-全局参数,Holiday))</f>
        <v>42307</v>
      </c>
      <c r="F187" s="11">
        <f ca="1">IF(CTP=1,WORKDAY(上海期货交易所!F187,-1,Holiday)+1,WORKDAY(上海期货交易所!F187,0-全局参数,Holiday))</f>
        <v>42319</v>
      </c>
      <c r="G187" s="18">
        <f t="shared" ca="1" si="47"/>
        <v>42317</v>
      </c>
      <c r="AA187" t="str">
        <f t="shared" ca="1" si="37"/>
        <v/>
      </c>
    </row>
    <row r="188" spans="1:27" x14ac:dyDescent="0.15">
      <c r="A188" s="22" t="str">
        <f t="shared" ca="1" si="48"/>
        <v>Bu1512</v>
      </c>
      <c r="B188" s="12">
        <f ca="1">IF(RIGHT(A188,4)="1508",DATE(2015,2,16),IF(ISERROR(VLOOKUP(RIGHT(A188,4),{"1402";"1403";"1406";"1409";"1412";"1503";"1506";"1509"},1,FALSE)),IF(OR(RIGHT(A188,2)*1=3,RIGHT(A188,2)*1=6,RIGHT(A188,2)*1=9,RIGHT(A188,2)*1=12),IF(NETWORKDAYS(DATE("20"&amp;MID(A188,3,2),RIGHT(A188,2)-24,15),DATE("20"&amp;MID(A188,3,2),RIGHT(A188,2)-24,15),Holiday)=1,WORKDAY(DATE("20"&amp;MID(A188,3,2),RIGHT(A188,2)-24,15),1,Holiday),WORKDAY(DATE("20"&amp;MID(A188,3,2),RIGHT(A188,2)-24,15),2,Holiday)),IF(NETWORKDAYS(DATE("20"&amp;MID(A188,3,2),RIGHT(A188,2)-6,15),DATE("20"&amp;MID(A188,3,2),RIGHT(A188,2)-6,15),Holiday)=1,WORKDAY(DATE("20"&amp;MID(A188,3,2),RIGHT(A188,2)-6,15),1,Holiday),WORKDAY(DATE("20"&amp;MID(A188,3,2),RIGHT(A188,2)-6,15),2,Holiday))),DATE(2013,10,9)))</f>
        <v>41625</v>
      </c>
      <c r="C188" s="12">
        <f t="shared" ca="1" si="46"/>
        <v>42353</v>
      </c>
      <c r="D188" s="12">
        <f ca="1">IF(CTP=1,WORKDAY(上海期货交易所!D188,-1,Holiday)+1,WORKDAY(上海期货交易所!D188,0-全局参数,Holiday))</f>
        <v>42307</v>
      </c>
      <c r="E188" s="12">
        <f ca="1">IF(CTP=1,WORKDAY(上海期货交易所!E188,-1,Holiday)+1,WORKDAY(上海期货交易所!E188,0-全局参数,Holiday))</f>
        <v>42338</v>
      </c>
      <c r="F188" s="12">
        <f ca="1">IF(CTP=1,WORKDAY(上海期货交易所!F188,-1,Holiday)+1,WORKDAY(上海期货交易所!F188,0-全局参数,Holiday))</f>
        <v>42348</v>
      </c>
      <c r="G188" s="19">
        <f t="shared" ca="1" si="47"/>
        <v>42346</v>
      </c>
      <c r="AA188" t="str">
        <f t="shared" ca="1" si="37"/>
        <v/>
      </c>
    </row>
    <row r="189" spans="1:27" x14ac:dyDescent="0.15">
      <c r="A189" s="21" t="str">
        <f t="shared" ca="1" si="48"/>
        <v>Bu1601</v>
      </c>
      <c r="B189" s="11">
        <f ca="1">IF(RIGHT(A189,4)="1508",DATE(2015,2,16),IF(ISERROR(VLOOKUP(RIGHT(A189,4),{"1402";"1403";"1406";"1409";"1412";"1503";"1506";"1509"},1,FALSE)),IF(OR(RIGHT(A189,2)*1=3,RIGHT(A189,2)*1=6,RIGHT(A189,2)*1=9,RIGHT(A189,2)*1=12),IF(NETWORKDAYS(DATE("20"&amp;MID(A189,3,2),RIGHT(A189,2)-24,15),DATE("20"&amp;MID(A189,3,2),RIGHT(A189,2)-24,15),Holiday)=1,WORKDAY(DATE("20"&amp;MID(A189,3,2),RIGHT(A189,2)-24,15),1,Holiday),WORKDAY(DATE("20"&amp;MID(A189,3,2),RIGHT(A189,2)-24,15),2,Holiday)),IF(NETWORKDAYS(DATE("20"&amp;MID(A189,3,2),RIGHT(A189,2)-6,15),DATE("20"&amp;MID(A189,3,2),RIGHT(A189,2)-6,15),Holiday)=1,WORKDAY(DATE("20"&amp;MID(A189,3,2),RIGHT(A189,2)-6,15),1,Holiday),WORKDAY(DATE("20"&amp;MID(A189,3,2),RIGHT(A189,2)-6,15),2,Holiday))),DATE(2013,10,9)))</f>
        <v>42201</v>
      </c>
      <c r="C189" s="11">
        <f t="shared" ca="1" si="46"/>
        <v>42384</v>
      </c>
      <c r="D189" s="11">
        <f ca="1">IF(CTP=1,WORKDAY(上海期货交易所!D189,-1,Holiday)+1,WORKDAY(上海期货交易所!D189,0-全局参数,Holiday))</f>
        <v>42338</v>
      </c>
      <c r="E189" s="11">
        <f ca="1">IF(CTP=1,WORKDAY(上海期货交易所!E189,-1,Holiday)+1,WORKDAY(上海期货交易所!E189,0-全局参数,Holiday))</f>
        <v>42369</v>
      </c>
      <c r="F189" s="11">
        <f ca="1">IF(CTP=1,WORKDAY(上海期货交易所!F189,-1,Holiday)+1,WORKDAY(上海期货交易所!F189,0-全局参数,Holiday))</f>
        <v>42381</v>
      </c>
      <c r="G189" s="18">
        <f t="shared" ca="1" si="47"/>
        <v>42377</v>
      </c>
      <c r="AA189" t="str">
        <f t="shared" ca="1" si="37"/>
        <v/>
      </c>
    </row>
    <row r="190" spans="1:27" x14ac:dyDescent="0.15">
      <c r="A190" s="22" t="str">
        <f t="shared" ca="1" si="48"/>
        <v>Bu1602</v>
      </c>
      <c r="B190" s="12">
        <f ca="1">IF(RIGHT(A190,4)="1508",DATE(2015,2,16),IF(ISERROR(VLOOKUP(RIGHT(A190,4),{"1402";"1403";"1406";"1409";"1412";"1503";"1506";"1509"},1,FALSE)),IF(OR(RIGHT(A190,2)*1=3,RIGHT(A190,2)*1=6,RIGHT(A190,2)*1=9,RIGHT(A190,2)*1=12),IF(NETWORKDAYS(DATE("20"&amp;MID(A190,3,2),RIGHT(A190,2)-24,15),DATE("20"&amp;MID(A190,3,2),RIGHT(A190,2)-24,15),Holiday)=1,WORKDAY(DATE("20"&amp;MID(A190,3,2),RIGHT(A190,2)-24,15),1,Holiday),WORKDAY(DATE("20"&amp;MID(A190,3,2),RIGHT(A190,2)-24,15),2,Holiday)),IF(NETWORKDAYS(DATE("20"&amp;MID(A190,3,2),RIGHT(A190,2)-6,15),DATE("20"&amp;MID(A190,3,2),RIGHT(A190,2)-6,15),Holiday)=1,WORKDAY(DATE("20"&amp;MID(A190,3,2),RIGHT(A190,2)-6,15),1,Holiday),WORKDAY(DATE("20"&amp;MID(A190,3,2),RIGHT(A190,2)-6,15),2,Holiday))),DATE(2013,10,9)))</f>
        <v>42234</v>
      </c>
      <c r="C190" s="12">
        <f t="shared" ca="1" si="46"/>
        <v>42415</v>
      </c>
      <c r="D190" s="12">
        <f ca="1">IF(CTP=1,WORKDAY(上海期货交易所!D190,-1,Holiday)+1,WORKDAY(上海期货交易所!D190,0-全局参数,Holiday))</f>
        <v>42369</v>
      </c>
      <c r="E190" s="12">
        <f ca="1">IF(CTP=1,WORKDAY(上海期货交易所!E190,-1,Holiday)+1,WORKDAY(上海期货交易所!E190,0-全局参数,Holiday))</f>
        <v>42398</v>
      </c>
      <c r="F190" s="12">
        <f ca="1">IF(CTP=1,WORKDAY(上海期货交易所!F190,-1,Holiday)+1,WORKDAY(上海期货交易所!F190,0-全局参数,Holiday))</f>
        <v>42410</v>
      </c>
      <c r="G190" s="19">
        <f t="shared" ca="1" si="47"/>
        <v>42408</v>
      </c>
      <c r="AA190" t="str">
        <f t="shared" ca="1" si="37"/>
        <v/>
      </c>
    </row>
    <row r="191" spans="1:27" x14ac:dyDescent="0.15">
      <c r="A191" s="21" t="str">
        <f t="shared" ca="1" si="48"/>
        <v>Bu1603</v>
      </c>
      <c r="B191" s="11">
        <f ca="1">IF(RIGHT(A191,4)="1508",DATE(2015,2,16),IF(ISERROR(VLOOKUP(RIGHT(A191,4),{"1402";"1403";"1406";"1409";"1412";"1503";"1506";"1509"},1,FALSE)),IF(OR(RIGHT(A191,2)*1=3,RIGHT(A191,2)*1=6,RIGHT(A191,2)*1=9,RIGHT(A191,2)*1=12),IF(NETWORKDAYS(DATE("20"&amp;MID(A191,3,2),RIGHT(A191,2)-24,15),DATE("20"&amp;MID(A191,3,2),RIGHT(A191,2)-24,15),Holiday)=1,WORKDAY(DATE("20"&amp;MID(A191,3,2),RIGHT(A191,2)-24,15),1,Holiday),WORKDAY(DATE("20"&amp;MID(A191,3,2),RIGHT(A191,2)-24,15),2,Holiday)),IF(NETWORKDAYS(DATE("20"&amp;MID(A191,3,2),RIGHT(A191,2)-6,15),DATE("20"&amp;MID(A191,3,2),RIGHT(A191,2)-6,15),Holiday)=1,WORKDAY(DATE("20"&amp;MID(A191,3,2),RIGHT(A191,2)-6,15),1,Holiday),WORKDAY(DATE("20"&amp;MID(A191,3,2),RIGHT(A191,2)-6,15),2,Holiday))),DATE(2013,10,9)))</f>
        <v>41716</v>
      </c>
      <c r="C191" s="11">
        <f t="shared" ca="1" si="46"/>
        <v>42444</v>
      </c>
      <c r="D191" s="11">
        <f ca="1">IF(CTP=1,WORKDAY(上海期货交易所!D191,-1,Holiday)+1,WORKDAY(上海期货交易所!D191,0-全局参数,Holiday))</f>
        <v>42398</v>
      </c>
      <c r="E191" s="11">
        <f ca="1">IF(CTP=1,WORKDAY(上海期货交易所!E191,-1,Holiday)+1,WORKDAY(上海期货交易所!E191,0-全局参数,Holiday))</f>
        <v>42429</v>
      </c>
      <c r="F191" s="11">
        <f ca="1">IF(CTP=1,WORKDAY(上海期货交易所!F191,-1,Holiday)+1,WORKDAY(上海期货交易所!F191,0-全局参数,Holiday))</f>
        <v>42439</v>
      </c>
      <c r="G191" s="18">
        <f t="shared" ca="1" si="47"/>
        <v>42437</v>
      </c>
      <c r="AA191" t="str">
        <f t="shared" ca="1" si="37"/>
        <v/>
      </c>
    </row>
    <row r="192" spans="1:27" x14ac:dyDescent="0.15">
      <c r="A192" s="22" t="str">
        <f t="shared" ca="1" si="48"/>
        <v>Bu1604</v>
      </c>
      <c r="B192" s="12">
        <f ca="1">IF(RIGHT(A192,4)="1508",DATE(2015,2,16),IF(ISERROR(VLOOKUP(RIGHT(A192,4),{"1402";"1403";"1406";"1409";"1412";"1503";"1506";"1509"},1,FALSE)),IF(OR(RIGHT(A192,2)*1=3,RIGHT(A192,2)*1=6,RIGHT(A192,2)*1=9,RIGHT(A192,2)*1=12),IF(NETWORKDAYS(DATE("20"&amp;MID(A192,3,2),RIGHT(A192,2)-24,15),DATE("20"&amp;MID(A192,3,2),RIGHT(A192,2)-24,15),Holiday)=1,WORKDAY(DATE("20"&amp;MID(A192,3,2),RIGHT(A192,2)-24,15),1,Holiday),WORKDAY(DATE("20"&amp;MID(A192,3,2),RIGHT(A192,2)-24,15),2,Holiday)),IF(NETWORKDAYS(DATE("20"&amp;MID(A192,3,2),RIGHT(A192,2)-6,15),DATE("20"&amp;MID(A192,3,2),RIGHT(A192,2)-6,15),Holiday)=1,WORKDAY(DATE("20"&amp;MID(A192,3,2),RIGHT(A192,2)-6,15),1,Holiday),WORKDAY(DATE("20"&amp;MID(A192,3,2),RIGHT(A192,2)-6,15),2,Holiday))),DATE(2013,10,9)))</f>
        <v>42293</v>
      </c>
      <c r="C192" s="12">
        <f t="shared" ca="1" si="46"/>
        <v>42475</v>
      </c>
      <c r="D192" s="12">
        <f ca="1">IF(CTP=1,WORKDAY(上海期货交易所!D192,-1,Holiday)+1,WORKDAY(上海期货交易所!D192,0-全局参数,Holiday))</f>
        <v>42429</v>
      </c>
      <c r="E192" s="12">
        <f ca="1">IF(CTP=1,WORKDAY(上海期货交易所!E192,-1,Holiday)+1,WORKDAY(上海期货交易所!E192,0-全局参数,Holiday))</f>
        <v>42460</v>
      </c>
      <c r="F192" s="12">
        <f ca="1">IF(CTP=1,WORKDAY(上海期货交易所!F192,-1,Holiday)+1,WORKDAY(上海期货交易所!F192,0-全局参数,Holiday))</f>
        <v>42472</v>
      </c>
      <c r="G192" s="19">
        <f t="shared" ca="1" si="47"/>
        <v>42468</v>
      </c>
      <c r="AA192" t="str">
        <f t="shared" ca="1" si="37"/>
        <v/>
      </c>
    </row>
    <row r="193" spans="1:27" x14ac:dyDescent="0.15">
      <c r="A193" s="21" t="str">
        <f t="shared" ca="1" si="48"/>
        <v>Bu1605</v>
      </c>
      <c r="B193" s="11">
        <f ca="1">IF(RIGHT(A193,4)="1508",DATE(2015,2,16),IF(ISERROR(VLOOKUP(RIGHT(A193,4),{"1402";"1403";"1406";"1409";"1412";"1503";"1506";"1509"},1,FALSE)),IF(OR(RIGHT(A193,2)*1=3,RIGHT(A193,2)*1=6,RIGHT(A193,2)*1=9,RIGHT(A193,2)*1=12),IF(NETWORKDAYS(DATE("20"&amp;MID(A193,3,2),RIGHT(A193,2)-24,15),DATE("20"&amp;MID(A193,3,2),RIGHT(A193,2)-24,15),Holiday)=1,WORKDAY(DATE("20"&amp;MID(A193,3,2),RIGHT(A193,2)-24,15),1,Holiday),WORKDAY(DATE("20"&amp;MID(A193,3,2),RIGHT(A193,2)-24,15),2,Holiday)),IF(NETWORKDAYS(DATE("20"&amp;MID(A193,3,2),RIGHT(A193,2)-6,15),DATE("20"&amp;MID(A193,3,2),RIGHT(A193,2)-6,15),Holiday)=1,WORKDAY(DATE("20"&amp;MID(A193,3,2),RIGHT(A193,2)-6,15),1,Holiday),WORKDAY(DATE("20"&amp;MID(A193,3,2),RIGHT(A193,2)-6,15),2,Holiday))),DATE(2013,10,9)))</f>
        <v>42325</v>
      </c>
      <c r="C193" s="11">
        <f t="shared" ca="1" si="46"/>
        <v>42506</v>
      </c>
      <c r="D193" s="11">
        <f ca="1">IF(CTP=1,WORKDAY(上海期货交易所!D193,-1,Holiday)+1,WORKDAY(上海期货交易所!D193,0-全局参数,Holiday))</f>
        <v>42460</v>
      </c>
      <c r="E193" s="11">
        <f ca="1">IF(CTP=1,WORKDAY(上海期货交易所!E193,-1,Holiday)+1,WORKDAY(上海期货交易所!E193,0-全局参数,Holiday))</f>
        <v>42489</v>
      </c>
      <c r="F193" s="11">
        <f ca="1">IF(CTP=1,WORKDAY(上海期货交易所!F193,-1,Holiday)+1,WORKDAY(上海期货交易所!F193,0-全局参数,Holiday))</f>
        <v>42501</v>
      </c>
      <c r="G193" s="18">
        <f t="shared" ca="1" si="47"/>
        <v>42499</v>
      </c>
      <c r="AA193" t="str">
        <f t="shared" ca="1" si="37"/>
        <v/>
      </c>
    </row>
    <row r="194" spans="1:27" x14ac:dyDescent="0.15">
      <c r="A194" s="22" t="str">
        <f t="shared" ca="1" si="48"/>
        <v>Bu1606</v>
      </c>
      <c r="B194" s="12">
        <f ca="1">IF(RIGHT(A194,4)="1508",DATE(2015,2,16),IF(ISERROR(VLOOKUP(RIGHT(A194,4),{"1402";"1403";"1406";"1409";"1412";"1503";"1506";"1509"},1,FALSE)),IF(OR(RIGHT(A194,2)*1=3,RIGHT(A194,2)*1=6,RIGHT(A194,2)*1=9,RIGHT(A194,2)*1=12),IF(NETWORKDAYS(DATE("20"&amp;MID(A194,3,2),RIGHT(A194,2)-24,15),DATE("20"&amp;MID(A194,3,2),RIGHT(A194,2)-24,15),Holiday)=1,WORKDAY(DATE("20"&amp;MID(A194,3,2),RIGHT(A194,2)-24,15),1,Holiday),WORKDAY(DATE("20"&amp;MID(A194,3,2),RIGHT(A194,2)-24,15),2,Holiday)),IF(NETWORKDAYS(DATE("20"&amp;MID(A194,3,2),RIGHT(A194,2)-6,15),DATE("20"&amp;MID(A194,3,2),RIGHT(A194,2)-6,15),Holiday)=1,WORKDAY(DATE("20"&amp;MID(A194,3,2),RIGHT(A194,2)-6,15),1,Holiday),WORKDAY(DATE("20"&amp;MID(A194,3,2),RIGHT(A194,2)-6,15),2,Holiday))),DATE(2013,10,9)))</f>
        <v>41807</v>
      </c>
      <c r="C194" s="12">
        <f t="shared" ca="1" si="46"/>
        <v>42536</v>
      </c>
      <c r="D194" s="12">
        <f ca="1">IF(CTP=1,WORKDAY(上海期货交易所!D194,-1,Holiday)+1,WORKDAY(上海期货交易所!D194,0-全局参数,Holiday))</f>
        <v>42489</v>
      </c>
      <c r="E194" s="12">
        <f ca="1">IF(CTP=1,WORKDAY(上海期货交易所!E194,-1,Holiday)+1,WORKDAY(上海期货交易所!E194,0-全局参数,Holiday))</f>
        <v>42521</v>
      </c>
      <c r="F194" s="12">
        <f ca="1">IF(CTP=1,WORKDAY(上海期货交易所!F194,-1,Holiday)+1,WORKDAY(上海期货交易所!F194,0-全局参数,Holiday))</f>
        <v>42531</v>
      </c>
      <c r="G194" s="19">
        <f t="shared" ca="1" si="47"/>
        <v>42529</v>
      </c>
      <c r="AA194" t="str">
        <f t="shared" ca="1" si="37"/>
        <v/>
      </c>
    </row>
    <row r="195" spans="1:27" x14ac:dyDescent="0.15">
      <c r="A195" s="21" t="str">
        <f t="shared" ca="1" si="48"/>
        <v>Bu1607</v>
      </c>
      <c r="B195" s="11">
        <f ca="1">IF(RIGHT(A195,4)="1508",DATE(2015,2,16),IF(ISERROR(VLOOKUP(RIGHT(A195,4),{"1402";"1403";"1406";"1409";"1412";"1503";"1506";"1509"},1,FALSE)),IF(OR(RIGHT(A195,2)*1=3,RIGHT(A195,2)*1=6,RIGHT(A195,2)*1=9,RIGHT(A195,2)*1=12),IF(NETWORKDAYS(DATE("20"&amp;MID(A195,3,2),RIGHT(A195,2)-24,15),DATE("20"&amp;MID(A195,3,2),RIGHT(A195,2)-24,15),Holiday)=1,WORKDAY(DATE("20"&amp;MID(A195,3,2),RIGHT(A195,2)-24,15),1,Holiday),WORKDAY(DATE("20"&amp;MID(A195,3,2),RIGHT(A195,2)-24,15),2,Holiday)),IF(NETWORKDAYS(DATE("20"&amp;MID(A195,3,2),RIGHT(A195,2)-6,15),DATE("20"&amp;MID(A195,3,2),RIGHT(A195,2)-6,15),Holiday)=1,WORKDAY(DATE("20"&amp;MID(A195,3,2),RIGHT(A195,2)-6,15),1,Holiday),WORKDAY(DATE("20"&amp;MID(A195,3,2),RIGHT(A195,2)-6,15),2,Holiday))),DATE(2013,10,9)))</f>
        <v>42387</v>
      </c>
      <c r="C195" s="11">
        <f t="shared" ca="1" si="46"/>
        <v>42566</v>
      </c>
      <c r="D195" s="11">
        <f ca="1">IF(CTP=1,WORKDAY(上海期货交易所!D195,-1,Holiday)+1,WORKDAY(上海期货交易所!D195,0-全局参数,Holiday))</f>
        <v>42521</v>
      </c>
      <c r="E195" s="11">
        <f ca="1">IF(CTP=1,WORKDAY(上海期货交易所!E195,-1,Holiday)+1,WORKDAY(上海期货交易所!E195,0-全局参数,Holiday))</f>
        <v>42551</v>
      </c>
      <c r="F195" s="11">
        <f ca="1">IF(CTP=1,WORKDAY(上海期货交易所!F195,-1,Holiday)+1,WORKDAY(上海期货交易所!F195,0-全局参数,Holiday))</f>
        <v>42563</v>
      </c>
      <c r="G195" s="18">
        <f t="shared" ca="1" si="47"/>
        <v>42559</v>
      </c>
      <c r="AA195" t="str">
        <f t="shared" ca="1" si="37"/>
        <v/>
      </c>
    </row>
    <row r="196" spans="1:27" x14ac:dyDescent="0.15">
      <c r="A196" s="22" t="str">
        <f t="shared" ca="1" si="48"/>
        <v>Bu1608</v>
      </c>
      <c r="B196" s="12">
        <f ca="1">IF(RIGHT(A196,4)="1508",DATE(2015,2,16),IF(ISERROR(VLOOKUP(RIGHT(A196,4),{"1402";"1403";"1406";"1409";"1412";"1503";"1506";"1509"},1,FALSE)),IF(OR(RIGHT(A196,2)*1=3,RIGHT(A196,2)*1=6,RIGHT(A196,2)*1=9,RIGHT(A196,2)*1=12),IF(NETWORKDAYS(DATE("20"&amp;MID(A196,3,2),RIGHT(A196,2)-24,15),DATE("20"&amp;MID(A196,3,2),RIGHT(A196,2)-24,15),Holiday)=1,WORKDAY(DATE("20"&amp;MID(A196,3,2),RIGHT(A196,2)-24,15),1,Holiday),WORKDAY(DATE("20"&amp;MID(A196,3,2),RIGHT(A196,2)-24,15),2,Holiday)),IF(NETWORKDAYS(DATE("20"&amp;MID(A196,3,2),RIGHT(A196,2)-6,15),DATE("20"&amp;MID(A196,3,2),RIGHT(A196,2)-6,15),Holiday)=1,WORKDAY(DATE("20"&amp;MID(A196,3,2),RIGHT(A196,2)-6,15),1,Holiday),WORKDAY(DATE("20"&amp;MID(A196,3,2),RIGHT(A196,2)-6,15),2,Holiday))),DATE(2013,10,9)))</f>
        <v>42416</v>
      </c>
      <c r="C196" s="12">
        <f t="shared" ca="1" si="46"/>
        <v>42597</v>
      </c>
      <c r="D196" s="12">
        <f ca="1">IF(CTP=1,WORKDAY(上海期货交易所!D196,-1,Holiday)+1,WORKDAY(上海期货交易所!D196,0-全局参数,Holiday))</f>
        <v>42551</v>
      </c>
      <c r="E196" s="12">
        <f ca="1">IF(CTP=1,WORKDAY(上海期货交易所!E196,-1,Holiday)+1,WORKDAY(上海期货交易所!E196,0-全局参数,Holiday))</f>
        <v>42580</v>
      </c>
      <c r="F196" s="12">
        <f ca="1">IF(CTP=1,WORKDAY(上海期货交易所!F196,-1,Holiday)+1,WORKDAY(上海期货交易所!F196,0-全局参数,Holiday))</f>
        <v>42592</v>
      </c>
      <c r="G196" s="19">
        <f t="shared" ca="1" si="47"/>
        <v>42590</v>
      </c>
      <c r="AA196" t="str">
        <f t="shared" ref="AA196:AA259" ca="1" si="49">IFERROR(IF(AND(B196+0&gt;TODAY(),B196+0&lt;DATE(YEAR(TODAY()),MONTH(TODAY())+1,DAY(TODAY()))),ROW(),""),"")</f>
        <v/>
      </c>
    </row>
    <row r="197" spans="1:27" x14ac:dyDescent="0.15">
      <c r="A197" s="21" t="str">
        <f t="shared" ca="1" si="48"/>
        <v>Bu1609</v>
      </c>
      <c r="B197" s="11">
        <f ca="1">IF(RIGHT(A197,4)="1508",DATE(2015,2,16),IF(ISERROR(VLOOKUP(RIGHT(A197,4),{"1402";"1403";"1406";"1409";"1412";"1503";"1506";"1509"},1,FALSE)),IF(OR(RIGHT(A197,2)*1=3,RIGHT(A197,2)*1=6,RIGHT(A197,2)*1=9,RIGHT(A197,2)*1=12),IF(NETWORKDAYS(DATE("20"&amp;MID(A197,3,2),RIGHT(A197,2)-24,15),DATE("20"&amp;MID(A197,3,2),RIGHT(A197,2)-24,15),Holiday)=1,WORKDAY(DATE("20"&amp;MID(A197,3,2),RIGHT(A197,2)-24,15),1,Holiday),WORKDAY(DATE("20"&amp;MID(A197,3,2),RIGHT(A197,2)-24,15),2,Holiday)),IF(NETWORKDAYS(DATE("20"&amp;MID(A197,3,2),RIGHT(A197,2)-6,15),DATE("20"&amp;MID(A197,3,2),RIGHT(A197,2)-6,15),Holiday)=1,WORKDAY(DATE("20"&amp;MID(A197,3,2),RIGHT(A197,2)-6,15),1,Holiday),WORKDAY(DATE("20"&amp;MID(A197,3,2),RIGHT(A197,2)-6,15),2,Holiday))),DATE(2013,10,9)))</f>
        <v>41898</v>
      </c>
      <c r="C197" s="11">
        <f t="shared" ca="1" si="46"/>
        <v>42628</v>
      </c>
      <c r="D197" s="11">
        <f ca="1">IF(CTP=1,WORKDAY(上海期货交易所!D197,-1,Holiday)+1,WORKDAY(上海期货交易所!D197,0-全局参数,Holiday))</f>
        <v>42580</v>
      </c>
      <c r="E197" s="11">
        <f ca="1">IF(CTP=1,WORKDAY(上海期货交易所!E197,-1,Holiday)+1,WORKDAY(上海期货交易所!E197,0-全局参数,Holiday))</f>
        <v>42613</v>
      </c>
      <c r="F197" s="11">
        <f ca="1">IF(CTP=1,WORKDAY(上海期货交易所!F197,-1,Holiday)+1,WORKDAY(上海期货交易所!F197,0-全局参数,Holiday))</f>
        <v>42625</v>
      </c>
      <c r="G197" s="18">
        <f t="shared" ca="1" si="47"/>
        <v>42621</v>
      </c>
      <c r="AA197" t="str">
        <f t="shared" ca="1" si="49"/>
        <v/>
      </c>
    </row>
    <row r="198" spans="1:27" x14ac:dyDescent="0.15">
      <c r="A198" s="22" t="str">
        <f t="shared" ca="1" si="48"/>
        <v>Bu1610</v>
      </c>
      <c r="B198" s="12">
        <f ca="1">IF(RIGHT(A198,4)="1508",DATE(2015,2,16),IF(ISERROR(VLOOKUP(RIGHT(A198,4),{"1402";"1403";"1406";"1409";"1412";"1503";"1506";"1509"},1,FALSE)),IF(OR(RIGHT(A198,2)*1=3,RIGHT(A198,2)*1=6,RIGHT(A198,2)*1=9,RIGHT(A198,2)*1=12),IF(NETWORKDAYS(DATE("20"&amp;MID(A198,3,2),RIGHT(A198,2)-24,15),DATE("20"&amp;MID(A198,3,2),RIGHT(A198,2)-24,15),Holiday)=1,WORKDAY(DATE("20"&amp;MID(A198,3,2),RIGHT(A198,2)-24,15),1,Holiday),WORKDAY(DATE("20"&amp;MID(A198,3,2),RIGHT(A198,2)-24,15),2,Holiday)),IF(NETWORKDAYS(DATE("20"&amp;MID(A198,3,2),RIGHT(A198,2)-6,15),DATE("20"&amp;MID(A198,3,2),RIGHT(A198,2)-6,15),Holiday)=1,WORKDAY(DATE("20"&amp;MID(A198,3,2),RIGHT(A198,2)-6,15),1,Holiday),WORKDAY(DATE("20"&amp;MID(A198,3,2),RIGHT(A198,2)-6,15),2,Holiday))),DATE(2013,10,9)))</f>
        <v>42478</v>
      </c>
      <c r="C198" s="12">
        <f t="shared" ca="1" si="46"/>
        <v>42660</v>
      </c>
      <c r="D198" s="12">
        <f ca="1">IF(CTP=1,WORKDAY(上海期货交易所!D198,-1,Holiday)+1,WORKDAY(上海期货交易所!D198,0-全局参数,Holiday))</f>
        <v>42613</v>
      </c>
      <c r="E198" s="12">
        <f ca="1">IF(CTP=1,WORKDAY(上海期货交易所!E198,-1,Holiday)+1,WORKDAY(上海期货交易所!E198,0-全局参数,Holiday))</f>
        <v>42643</v>
      </c>
      <c r="F198" s="12">
        <f ca="1">IF(CTP=1,WORKDAY(上海期货交易所!F198,-1,Holiday)+1,WORKDAY(上海期货交易所!F198,0-全局参数,Holiday))</f>
        <v>42655</v>
      </c>
      <c r="G198" s="19">
        <f t="shared" ca="1" si="47"/>
        <v>42653</v>
      </c>
      <c r="AA198" t="str">
        <f t="shared" ca="1" si="49"/>
        <v/>
      </c>
    </row>
    <row r="199" spans="1:27" x14ac:dyDescent="0.15">
      <c r="A199" s="21" t="str">
        <f t="shared" ca="1" si="48"/>
        <v>Bu1611</v>
      </c>
      <c r="B199" s="11">
        <f ca="1">IF(RIGHT(A199,4)="1508",DATE(2015,2,16),IF(ISERROR(VLOOKUP(RIGHT(A199,4),{"1402";"1403";"1406";"1409";"1412";"1503";"1506";"1509"},1,FALSE)),IF(OR(RIGHT(A199,2)*1=3,RIGHT(A199,2)*1=6,RIGHT(A199,2)*1=9,RIGHT(A199,2)*1=12),IF(NETWORKDAYS(DATE("20"&amp;MID(A199,3,2),RIGHT(A199,2)-24,15),DATE("20"&amp;MID(A199,3,2),RIGHT(A199,2)-24,15),Holiday)=1,WORKDAY(DATE("20"&amp;MID(A199,3,2),RIGHT(A199,2)-24,15),1,Holiday),WORKDAY(DATE("20"&amp;MID(A199,3,2),RIGHT(A199,2)-24,15),2,Holiday)),IF(NETWORKDAYS(DATE("20"&amp;MID(A199,3,2),RIGHT(A199,2)-6,15),DATE("20"&amp;MID(A199,3,2),RIGHT(A199,2)-6,15),Holiday)=1,WORKDAY(DATE("20"&amp;MID(A199,3,2),RIGHT(A199,2)-6,15),1,Holiday),WORKDAY(DATE("20"&amp;MID(A199,3,2),RIGHT(A199,2)-6,15),2,Holiday))),DATE(2013,10,9)))</f>
        <v>42507</v>
      </c>
      <c r="C199" s="11">
        <f t="shared" ca="1" si="46"/>
        <v>42689</v>
      </c>
      <c r="D199" s="11">
        <f ca="1">IF(CTP=1,WORKDAY(上海期货交易所!D199,-1,Holiday)+1,WORKDAY(上海期货交易所!D199,0-全局参数,Holiday))</f>
        <v>42643</v>
      </c>
      <c r="E199" s="11">
        <f ca="1">IF(CTP=1,WORKDAY(上海期货交易所!E199,-1,Holiday)+1,WORKDAY(上海期货交易所!E199,0-全局参数,Holiday))</f>
        <v>42674</v>
      </c>
      <c r="F199" s="11">
        <f ca="1">IF(CTP=1,WORKDAY(上海期货交易所!F199,-1,Holiday)+1,WORKDAY(上海期货交易所!F199,0-全局参数,Holiday))</f>
        <v>42684</v>
      </c>
      <c r="G199" s="18">
        <f t="shared" ca="1" si="47"/>
        <v>42682</v>
      </c>
      <c r="AA199" t="str">
        <f t="shared" ca="1" si="49"/>
        <v/>
      </c>
    </row>
    <row r="200" spans="1:27" x14ac:dyDescent="0.15">
      <c r="A200" s="22" t="str">
        <f t="shared" ca="1" si="48"/>
        <v>Bu1612</v>
      </c>
      <c r="B200" s="12">
        <f ca="1">IF(RIGHT(A200,4)="1508",DATE(2015,2,16),IF(ISERROR(VLOOKUP(RIGHT(A200,4),{"1402";"1403";"1406";"1409";"1412";"1503";"1506";"1509"},1,FALSE)),IF(OR(RIGHT(A200,2)*1=3,RIGHT(A200,2)*1=6,RIGHT(A200,2)*1=9,RIGHT(A200,2)*1=12),IF(NETWORKDAYS(DATE("20"&amp;MID(A200,3,2),RIGHT(A200,2)-24,15),DATE("20"&amp;MID(A200,3,2),RIGHT(A200,2)-24,15),Holiday)=1,WORKDAY(DATE("20"&amp;MID(A200,3,2),RIGHT(A200,2)-24,15),1,Holiday),WORKDAY(DATE("20"&amp;MID(A200,3,2),RIGHT(A200,2)-24,15),2,Holiday)),IF(NETWORKDAYS(DATE("20"&amp;MID(A200,3,2),RIGHT(A200,2)-6,15),DATE("20"&amp;MID(A200,3,2),RIGHT(A200,2)-6,15),Holiday)=1,WORKDAY(DATE("20"&amp;MID(A200,3,2),RIGHT(A200,2)-6,15),1,Holiday),WORKDAY(DATE("20"&amp;MID(A200,3,2),RIGHT(A200,2)-6,15),2,Holiday))),DATE(2013,10,9)))</f>
        <v>41989</v>
      </c>
      <c r="C200" s="12">
        <f t="shared" ca="1" si="46"/>
        <v>42719</v>
      </c>
      <c r="D200" s="12">
        <f ca="1">IF(CTP=1,WORKDAY(上海期货交易所!D200,-1,Holiday)+1,WORKDAY(上海期货交易所!D200,0-全局参数,Holiday))</f>
        <v>42674</v>
      </c>
      <c r="E200" s="12">
        <f ca="1">IF(CTP=1,WORKDAY(上海期货交易所!E200,-1,Holiday)+1,WORKDAY(上海期货交易所!E200,0-全局参数,Holiday))</f>
        <v>42704</v>
      </c>
      <c r="F200" s="12">
        <f ca="1">IF(CTP=1,WORKDAY(上海期货交易所!F200,-1,Holiday)+1,WORKDAY(上海期货交易所!F200,0-全局参数,Holiday))</f>
        <v>42716</v>
      </c>
      <c r="G200" s="19">
        <f t="shared" ca="1" si="47"/>
        <v>42712</v>
      </c>
      <c r="AA200" t="str">
        <f t="shared" ca="1" si="49"/>
        <v/>
      </c>
    </row>
    <row r="201" spans="1:27" x14ac:dyDescent="0.15">
      <c r="A201" s="21" t="str">
        <f t="shared" ca="1" si="48"/>
        <v>Bu1701</v>
      </c>
      <c r="B201" s="11">
        <f ca="1">IF(RIGHT(A201,4)="1508",DATE(2015,2,16),IF(ISERROR(VLOOKUP(RIGHT(A201,4),{"1402";"1403";"1406";"1409";"1412";"1503";"1506";"1509"},1,FALSE)),IF(OR(RIGHT(A201,2)*1=3,RIGHT(A201,2)*1=6,RIGHT(A201,2)*1=9,RIGHT(A201,2)*1=12),IF(NETWORKDAYS(DATE("20"&amp;MID(A201,3,2),RIGHT(A201,2)-24,15),DATE("20"&amp;MID(A201,3,2),RIGHT(A201,2)-24,15),Holiday)=1,WORKDAY(DATE("20"&amp;MID(A201,3,2),RIGHT(A201,2)-24,15),1,Holiday),WORKDAY(DATE("20"&amp;MID(A201,3,2),RIGHT(A201,2)-24,15),2,Holiday)),IF(NETWORKDAYS(DATE("20"&amp;MID(A201,3,2),RIGHT(A201,2)-6,15),DATE("20"&amp;MID(A201,3,2),RIGHT(A201,2)-6,15),Holiday)=1,WORKDAY(DATE("20"&amp;MID(A201,3,2),RIGHT(A201,2)-6,15),1,Holiday),WORKDAY(DATE("20"&amp;MID(A201,3,2),RIGHT(A201,2)-6,15),2,Holiday))),DATE(2013,10,9)))</f>
        <v>42569</v>
      </c>
      <c r="C201" s="11">
        <f t="shared" ca="1" si="46"/>
        <v>42751</v>
      </c>
      <c r="D201" s="11">
        <f ca="1">IF(CTP=1,WORKDAY(上海期货交易所!D201,-1,Holiday)+1,WORKDAY(上海期货交易所!D201,0-全局参数,Holiday))</f>
        <v>42704</v>
      </c>
      <c r="E201" s="11">
        <f ca="1">IF(CTP=1,WORKDAY(上海期货交易所!E201,-1,Holiday)+1,WORKDAY(上海期货交易所!E201,0-全局参数,Holiday))</f>
        <v>42734</v>
      </c>
      <c r="F201" s="11">
        <f ca="1">IF(CTP=1,WORKDAY(上海期货交易所!F201,-1,Holiday)+1,WORKDAY(上海期货交易所!F201,0-全局参数,Holiday))</f>
        <v>42746</v>
      </c>
      <c r="G201" s="18">
        <f t="shared" ca="1" si="47"/>
        <v>42744</v>
      </c>
      <c r="AA201" t="str">
        <f t="shared" ca="1" si="49"/>
        <v/>
      </c>
    </row>
    <row r="202" spans="1:27" x14ac:dyDescent="0.15">
      <c r="A202" s="22" t="str">
        <f t="shared" ca="1" si="48"/>
        <v>Bu1702</v>
      </c>
      <c r="B202" s="12">
        <f ca="1">IF(RIGHT(A202,4)="1508",DATE(2015,2,16),IF(ISERROR(VLOOKUP(RIGHT(A202,4),{"1402";"1403";"1406";"1409";"1412";"1503";"1506";"1509"},1,FALSE)),IF(OR(RIGHT(A202,2)*1=3,RIGHT(A202,2)*1=6,RIGHT(A202,2)*1=9,RIGHT(A202,2)*1=12),IF(NETWORKDAYS(DATE("20"&amp;MID(A202,3,2),RIGHT(A202,2)-24,15),DATE("20"&amp;MID(A202,3,2),RIGHT(A202,2)-24,15),Holiday)=1,WORKDAY(DATE("20"&amp;MID(A202,3,2),RIGHT(A202,2)-24,15),1,Holiday),WORKDAY(DATE("20"&amp;MID(A202,3,2),RIGHT(A202,2)-24,15),2,Holiday)),IF(NETWORKDAYS(DATE("20"&amp;MID(A202,3,2),RIGHT(A202,2)-6,15),DATE("20"&amp;MID(A202,3,2),RIGHT(A202,2)-6,15),Holiday)=1,WORKDAY(DATE("20"&amp;MID(A202,3,2),RIGHT(A202,2)-6,15),1,Holiday),WORKDAY(DATE("20"&amp;MID(A202,3,2),RIGHT(A202,2)-6,15),2,Holiday))),DATE(2013,10,9)))</f>
        <v>42598</v>
      </c>
      <c r="C202" s="12">
        <f t="shared" ca="1" si="46"/>
        <v>42781</v>
      </c>
      <c r="D202" s="12">
        <f ca="1">IF(CTP=1,WORKDAY(上海期货交易所!D202,-1,Holiday)+1,WORKDAY(上海期货交易所!D202,0-全局参数,Holiday))</f>
        <v>42734</v>
      </c>
      <c r="E202" s="12">
        <f ca="1">IF(CTP=1,WORKDAY(上海期货交易所!E202,-1,Holiday)+1,WORKDAY(上海期货交易所!E202,0-全局参数,Holiday))</f>
        <v>42766</v>
      </c>
      <c r="F202" s="12">
        <f ca="1">IF(CTP=1,WORKDAY(上海期货交易所!F202,-1,Holiday)+1,WORKDAY(上海期货交易所!F202,0-全局参数,Holiday))</f>
        <v>42776</v>
      </c>
      <c r="G202" s="19">
        <f t="shared" ca="1" si="47"/>
        <v>42774</v>
      </c>
      <c r="AA202" t="str">
        <f t="shared" ca="1" si="49"/>
        <v/>
      </c>
    </row>
    <row r="203" spans="1:27" x14ac:dyDescent="0.15">
      <c r="A203" s="21" t="str">
        <f t="shared" ca="1" si="48"/>
        <v>Bu1703</v>
      </c>
      <c r="B203" s="11">
        <f ca="1">IF(RIGHT(A203,4)="1508",DATE(2015,2,16),IF(ISERROR(VLOOKUP(RIGHT(A203,4),{"1402";"1403";"1406";"1409";"1412";"1503";"1506";"1509"},1,FALSE)),IF(OR(RIGHT(A203,2)*1=3,RIGHT(A203,2)*1=6,RIGHT(A203,2)*1=9,RIGHT(A203,2)*1=12),IF(NETWORKDAYS(DATE("20"&amp;MID(A203,3,2),RIGHT(A203,2)-24,15),DATE("20"&amp;MID(A203,3,2),RIGHT(A203,2)-24,15),Holiday)=1,WORKDAY(DATE("20"&amp;MID(A203,3,2),RIGHT(A203,2)-24,15),1,Holiday),WORKDAY(DATE("20"&amp;MID(A203,3,2),RIGHT(A203,2)-24,15),2,Holiday)),IF(NETWORKDAYS(DATE("20"&amp;MID(A203,3,2),RIGHT(A203,2)-6,15),DATE("20"&amp;MID(A203,3,2),RIGHT(A203,2)-6,15),Holiday)=1,WORKDAY(DATE("20"&amp;MID(A203,3,2),RIGHT(A203,2)-6,15),1,Holiday),WORKDAY(DATE("20"&amp;MID(A203,3,2),RIGHT(A203,2)-6,15),2,Holiday))),DATE(2013,10,9)))</f>
        <v>42080</v>
      </c>
      <c r="C203" s="11">
        <f t="shared" ca="1" si="46"/>
        <v>42809</v>
      </c>
      <c r="D203" s="11">
        <f ca="1">IF(CTP=1,WORKDAY(上海期货交易所!D203,-1,Holiday)+1,WORKDAY(上海期货交易所!D203,0-全局参数,Holiday))</f>
        <v>42766</v>
      </c>
      <c r="E203" s="11">
        <f ca="1">IF(CTP=1,WORKDAY(上海期货交易所!E203,-1,Holiday)+1,WORKDAY(上海期货交易所!E203,0-全局参数,Holiday))</f>
        <v>42794</v>
      </c>
      <c r="F203" s="11">
        <f ca="1">IF(CTP=1,WORKDAY(上海期货交易所!F203,-1,Holiday)+1,WORKDAY(上海期货交易所!F203,0-全局参数,Holiday))</f>
        <v>42804</v>
      </c>
      <c r="G203" s="18">
        <f t="shared" ca="1" si="47"/>
        <v>42802</v>
      </c>
      <c r="AA203" t="str">
        <f t="shared" ca="1" si="49"/>
        <v/>
      </c>
    </row>
    <row r="204" spans="1:27" x14ac:dyDescent="0.15">
      <c r="A204" s="22" t="str">
        <f t="shared" ca="1" si="48"/>
        <v>Bu1704</v>
      </c>
      <c r="B204" s="12">
        <f ca="1">IF(RIGHT(A204,4)="1508",DATE(2015,2,16),IF(ISERROR(VLOOKUP(RIGHT(A204,4),{"1402";"1403";"1406";"1409";"1412";"1503";"1506";"1509"},1,FALSE)),IF(OR(RIGHT(A204,2)*1=3,RIGHT(A204,2)*1=6,RIGHT(A204,2)*1=9,RIGHT(A204,2)*1=12),IF(NETWORKDAYS(DATE("20"&amp;MID(A204,3,2),RIGHT(A204,2)-24,15),DATE("20"&amp;MID(A204,3,2),RIGHT(A204,2)-24,15),Holiday)=1,WORKDAY(DATE("20"&amp;MID(A204,3,2),RIGHT(A204,2)-24,15),1,Holiday),WORKDAY(DATE("20"&amp;MID(A204,3,2),RIGHT(A204,2)-24,15),2,Holiday)),IF(NETWORKDAYS(DATE("20"&amp;MID(A204,3,2),RIGHT(A204,2)-6,15),DATE("20"&amp;MID(A204,3,2),RIGHT(A204,2)-6,15),Holiday)=1,WORKDAY(DATE("20"&amp;MID(A204,3,2),RIGHT(A204,2)-6,15),1,Holiday),WORKDAY(DATE("20"&amp;MID(A204,3,2),RIGHT(A204,2)-6,15),2,Holiday))),DATE(2013,10,9)))</f>
        <v>42661</v>
      </c>
      <c r="C204" s="12">
        <f t="shared" ca="1" si="46"/>
        <v>42842</v>
      </c>
      <c r="D204" s="12">
        <f ca="1">IF(CTP=1,WORKDAY(上海期货交易所!D204,-1,Holiday)+1,WORKDAY(上海期货交易所!D204,0-全局参数,Holiday))</f>
        <v>42794</v>
      </c>
      <c r="E204" s="12">
        <f ca="1">IF(CTP=1,WORKDAY(上海期货交易所!E204,-1,Holiday)+1,WORKDAY(上海期货交易所!E204,0-全局参数,Holiday))</f>
        <v>42825</v>
      </c>
      <c r="F204" s="12">
        <f ca="1">IF(CTP=1,WORKDAY(上海期货交易所!F204,-1,Holiday)+1,WORKDAY(上海期货交易所!F204,0-全局参数,Holiday))</f>
        <v>42837</v>
      </c>
      <c r="G204" s="19">
        <f t="shared" ca="1" si="47"/>
        <v>42835</v>
      </c>
      <c r="AA204" t="str">
        <f t="shared" ca="1" si="49"/>
        <v/>
      </c>
    </row>
    <row r="205" spans="1:27" x14ac:dyDescent="0.15">
      <c r="A205" s="21" t="str">
        <f t="shared" ca="1" si="48"/>
        <v>Bu1705</v>
      </c>
      <c r="B205" s="11">
        <f ca="1">IF(RIGHT(A205,4)="1508",DATE(2015,2,16),IF(ISERROR(VLOOKUP(RIGHT(A205,4),{"1402";"1403";"1406";"1409";"1412";"1503";"1506";"1509"},1,FALSE)),IF(OR(RIGHT(A205,2)*1=3,RIGHT(A205,2)*1=6,RIGHT(A205,2)*1=9,RIGHT(A205,2)*1=12),IF(NETWORKDAYS(DATE("20"&amp;MID(A205,3,2),RIGHT(A205,2)-24,15),DATE("20"&amp;MID(A205,3,2),RIGHT(A205,2)-24,15),Holiday)=1,WORKDAY(DATE("20"&amp;MID(A205,3,2),RIGHT(A205,2)-24,15),1,Holiday),WORKDAY(DATE("20"&amp;MID(A205,3,2),RIGHT(A205,2)-24,15),2,Holiday)),IF(NETWORKDAYS(DATE("20"&amp;MID(A205,3,2),RIGHT(A205,2)-6,15),DATE("20"&amp;MID(A205,3,2),RIGHT(A205,2)-6,15),Holiday)=1,WORKDAY(DATE("20"&amp;MID(A205,3,2),RIGHT(A205,2)-6,15),1,Holiday),WORKDAY(DATE("20"&amp;MID(A205,3,2),RIGHT(A205,2)-6,15),2,Holiday))),DATE(2013,10,9)))</f>
        <v>42690</v>
      </c>
      <c r="C205" s="11">
        <f t="shared" ca="1" si="46"/>
        <v>42870</v>
      </c>
      <c r="D205" s="11">
        <f ca="1">IF(CTP=1,WORKDAY(上海期货交易所!D205,-1,Holiday)+1,WORKDAY(上海期货交易所!D205,0-全局参数,Holiday))</f>
        <v>42825</v>
      </c>
      <c r="E205" s="11">
        <f ca="1">IF(CTP=1,WORKDAY(上海期货交易所!E205,-1,Holiday)+1,WORKDAY(上海期货交易所!E205,0-全局参数,Holiday))</f>
        <v>42853</v>
      </c>
      <c r="F205" s="11">
        <f ca="1">IF(CTP=1,WORKDAY(上海期货交易所!F205,-1,Holiday)+1,WORKDAY(上海期货交易所!F205,0-全局参数,Holiday))</f>
        <v>42865</v>
      </c>
      <c r="G205" s="18">
        <f t="shared" ca="1" si="47"/>
        <v>42863</v>
      </c>
      <c r="AA205" t="str">
        <f t="shared" ca="1" si="49"/>
        <v/>
      </c>
    </row>
    <row r="206" spans="1:27" x14ac:dyDescent="0.15">
      <c r="A206" s="22" t="str">
        <f t="shared" ca="1" si="48"/>
        <v>Bu1706</v>
      </c>
      <c r="B206" s="12">
        <f ca="1">IF(RIGHT(A206,4)="1508",DATE(2015,2,16),IF(ISERROR(VLOOKUP(RIGHT(A206,4),{"1402";"1403";"1406";"1409";"1412";"1503";"1506";"1509"},1,FALSE)),IF(OR(RIGHT(A206,2)*1=3,RIGHT(A206,2)*1=6,RIGHT(A206,2)*1=9,RIGHT(A206,2)*1=12),IF(NETWORKDAYS(DATE("20"&amp;MID(A206,3,2),RIGHT(A206,2)-24,15),DATE("20"&amp;MID(A206,3,2),RIGHT(A206,2)-24,15),Holiday)=1,WORKDAY(DATE("20"&amp;MID(A206,3,2),RIGHT(A206,2)-24,15),1,Holiday),WORKDAY(DATE("20"&amp;MID(A206,3,2),RIGHT(A206,2)-24,15),2,Holiday)),IF(NETWORKDAYS(DATE("20"&amp;MID(A206,3,2),RIGHT(A206,2)-6,15),DATE("20"&amp;MID(A206,3,2),RIGHT(A206,2)-6,15),Holiday)=1,WORKDAY(DATE("20"&amp;MID(A206,3,2),RIGHT(A206,2)-6,15),1,Holiday),WORKDAY(DATE("20"&amp;MID(A206,3,2),RIGHT(A206,2)-6,15),2,Holiday))),DATE(2013,10,9)))</f>
        <v>42171</v>
      </c>
      <c r="C206" s="12">
        <f t="shared" ca="1" si="46"/>
        <v>42901</v>
      </c>
      <c r="D206" s="12">
        <f ca="1">IF(CTP=1,WORKDAY(上海期货交易所!D206,-1,Holiday)+1,WORKDAY(上海期货交易所!D206,0-全局参数,Holiday))</f>
        <v>42853</v>
      </c>
      <c r="E206" s="12">
        <f ca="1">IF(CTP=1,WORKDAY(上海期货交易所!E206,-1,Holiday)+1,WORKDAY(上海期货交易所!E206,0-全局参数,Holiday))</f>
        <v>42886</v>
      </c>
      <c r="F206" s="12">
        <f ca="1">IF(CTP=1,WORKDAY(上海期货交易所!F206,-1,Holiday)+1,WORKDAY(上海期货交易所!F206,0-全局参数,Holiday))</f>
        <v>42898</v>
      </c>
      <c r="G206" s="19">
        <f t="shared" ca="1" si="47"/>
        <v>42894</v>
      </c>
      <c r="AA206" t="str">
        <f t="shared" ca="1" si="49"/>
        <v/>
      </c>
    </row>
    <row r="207" spans="1:27" x14ac:dyDescent="0.15">
      <c r="A207" s="21" t="str">
        <f t="shared" ca="1" si="48"/>
        <v>Bu1707</v>
      </c>
      <c r="B207" s="11">
        <f ca="1">IF(RIGHT(A207,4)="1508",DATE(2015,2,16),IF(ISERROR(VLOOKUP(RIGHT(A207,4),{"1402";"1403";"1406";"1409";"1412";"1503";"1506";"1509"},1,FALSE)),IF(OR(RIGHT(A207,2)*1=3,RIGHT(A207,2)*1=6,RIGHT(A207,2)*1=9,RIGHT(A207,2)*1=12),IF(NETWORKDAYS(DATE("20"&amp;MID(A207,3,2),RIGHT(A207,2)-24,15),DATE("20"&amp;MID(A207,3,2),RIGHT(A207,2)-24,15),Holiday)=1,WORKDAY(DATE("20"&amp;MID(A207,3,2),RIGHT(A207,2)-24,15),1,Holiday),WORKDAY(DATE("20"&amp;MID(A207,3,2),RIGHT(A207,2)-24,15),2,Holiday)),IF(NETWORKDAYS(DATE("20"&amp;MID(A207,3,2),RIGHT(A207,2)-6,15),DATE("20"&amp;MID(A207,3,2),RIGHT(A207,2)-6,15),Holiday)=1,WORKDAY(DATE("20"&amp;MID(A207,3,2),RIGHT(A207,2)-6,15),1,Holiday),WORKDAY(DATE("20"&amp;MID(A207,3,2),RIGHT(A207,2)-6,15),2,Holiday))),DATE(2013,10,9)))</f>
        <v>42752</v>
      </c>
      <c r="C207" s="11">
        <f t="shared" ca="1" si="46"/>
        <v>42933</v>
      </c>
      <c r="D207" s="11">
        <f ca="1">IF(CTP=1,WORKDAY(上海期货交易所!D207,-1,Holiday)+1,WORKDAY(上海期货交易所!D207,0-全局参数,Holiday))</f>
        <v>42886</v>
      </c>
      <c r="E207" s="11">
        <f ca="1">IF(CTP=1,WORKDAY(上海期货交易所!E207,-1,Holiday)+1,WORKDAY(上海期货交易所!E207,0-全局参数,Holiday))</f>
        <v>42916</v>
      </c>
      <c r="F207" s="11">
        <f ca="1">IF(CTP=1,WORKDAY(上海期货交易所!F207,-1,Holiday)+1,WORKDAY(上海期货交易所!F207,0-全局参数,Holiday))</f>
        <v>42928</v>
      </c>
      <c r="G207" s="18">
        <f t="shared" ca="1" si="47"/>
        <v>42926</v>
      </c>
      <c r="AA207" t="str">
        <f t="shared" ca="1" si="49"/>
        <v/>
      </c>
    </row>
    <row r="208" spans="1:27" x14ac:dyDescent="0.15">
      <c r="A208" s="22" t="str">
        <f t="shared" ca="1" si="48"/>
        <v>Bu1708</v>
      </c>
      <c r="B208" s="12">
        <f ca="1">IF(RIGHT(A208,4)="1508",DATE(2015,2,16),IF(ISERROR(VLOOKUP(RIGHT(A208,4),{"1402";"1403";"1406";"1409";"1412";"1503";"1506";"1509"},1,FALSE)),IF(OR(RIGHT(A208,2)*1=3,RIGHT(A208,2)*1=6,RIGHT(A208,2)*1=9,RIGHT(A208,2)*1=12),IF(NETWORKDAYS(DATE("20"&amp;MID(A208,3,2),RIGHT(A208,2)-24,15),DATE("20"&amp;MID(A208,3,2),RIGHT(A208,2)-24,15),Holiday)=1,WORKDAY(DATE("20"&amp;MID(A208,3,2),RIGHT(A208,2)-24,15),1,Holiday),WORKDAY(DATE("20"&amp;MID(A208,3,2),RIGHT(A208,2)-24,15),2,Holiday)),IF(NETWORKDAYS(DATE("20"&amp;MID(A208,3,2),RIGHT(A208,2)-6,15),DATE("20"&amp;MID(A208,3,2),RIGHT(A208,2)-6,15),Holiday)=1,WORKDAY(DATE("20"&amp;MID(A208,3,2),RIGHT(A208,2)-6,15),1,Holiday),WORKDAY(DATE("20"&amp;MID(A208,3,2),RIGHT(A208,2)-6,15),2,Holiday))),DATE(2013,10,9)))</f>
        <v>42782</v>
      </c>
      <c r="C208" s="12">
        <f t="shared" ca="1" si="46"/>
        <v>42962</v>
      </c>
      <c r="D208" s="12">
        <f ca="1">IF(CTP=1,WORKDAY(上海期货交易所!D208,-1,Holiday)+1,WORKDAY(上海期货交易所!D208,0-全局参数,Holiday))</f>
        <v>42916</v>
      </c>
      <c r="E208" s="12">
        <f ca="1">IF(CTP=1,WORKDAY(上海期货交易所!E208,-1,Holiday)+1,WORKDAY(上海期货交易所!E208,0-全局参数,Holiday))</f>
        <v>42947</v>
      </c>
      <c r="F208" s="12">
        <f ca="1">IF(CTP=1,WORKDAY(上海期货交易所!F208,-1,Holiday)+1,WORKDAY(上海期货交易所!F208,0-全局参数,Holiday))</f>
        <v>42957</v>
      </c>
      <c r="G208" s="19">
        <f t="shared" ca="1" si="47"/>
        <v>42955</v>
      </c>
      <c r="AA208" t="str">
        <f t="shared" ca="1" si="49"/>
        <v/>
      </c>
    </row>
    <row r="209" spans="1:27" x14ac:dyDescent="0.15">
      <c r="AA209" t="str">
        <f t="shared" ca="1" si="49"/>
        <v/>
      </c>
    </row>
    <row r="210" spans="1:27" x14ac:dyDescent="0.15">
      <c r="AA210" t="str">
        <f t="shared" ca="1" si="49"/>
        <v/>
      </c>
    </row>
    <row r="211" spans="1:27" x14ac:dyDescent="0.15">
      <c r="A211" s="48" t="str">
        <f>"热轧板Hc"&amp;TEXT(热轧板Hc,"#%")</f>
        <v>热轧板Hc6%</v>
      </c>
      <c r="B211" s="49"/>
      <c r="C211" s="49"/>
      <c r="D211" s="49"/>
      <c r="E211" s="49"/>
      <c r="F211" s="49"/>
      <c r="G211" s="50"/>
      <c r="AA211" t="str">
        <f t="shared" ca="1" si="49"/>
        <v/>
      </c>
    </row>
    <row r="212" spans="1:27" ht="17.25" thickBot="1" x14ac:dyDescent="0.2">
      <c r="A212" s="20"/>
      <c r="B212" s="33" t="s">
        <v>47</v>
      </c>
      <c r="C212" s="33" t="s">
        <v>1</v>
      </c>
      <c r="D212" s="10">
        <v>0.1</v>
      </c>
      <c r="E212" s="10">
        <v>0.15</v>
      </c>
      <c r="F212" s="10">
        <v>0.2</v>
      </c>
      <c r="G212" s="20" t="s">
        <v>73</v>
      </c>
      <c r="AA212" t="str">
        <f t="shared" ca="1" si="49"/>
        <v/>
      </c>
    </row>
    <row r="213" spans="1:27" x14ac:dyDescent="0.15">
      <c r="A213" s="21" t="str">
        <f ca="1">"Hc"&amp;IF(TODAY()&gt;=DATE(2014,7,15)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,"1407")</f>
        <v>Hc1507</v>
      </c>
      <c r="B213" s="11">
        <f t="shared" ref="B213:B226" ca="1" si="50">IF(RIGHT(A213,4)="1602",DATE(2015,2,16),IF(RIGHT(A213,4)*1&lt;=1503,DATE(2014,3,21),WORKDAY(IF(NETWORKDAYS(DATE("20"&amp;(MID(A213,LEN(A213)-3,2)-1),RIGHT(A213,2),IF(RIGHT(A213,4)="1201","13","15")),DATE("20"&amp;(MID(A213,LEN(A213)-3,2)-1),RIGHT(A213,2),IF(RIGHT(A213,4)="1201","13","15")),Holiday)=0,WORKDAY(DATE("20"&amp;(MID(A213,LEN(A213)-3,2)-1),RIGHT(A213,2),IF(RIGHT(A213,4)="1201","13","15")),1,Holiday),DATE("20"&amp;(MID(A213,LEN(A213)-3,2)-1),RIGHT(A213,2),IF(RIGHT(A213,4)="1201","13","15"))),1,Holiday)))</f>
        <v>41836</v>
      </c>
      <c r="C213" s="11">
        <f t="shared" ref="C213:C226" ca="1" si="51">IF(RIGHT(A213,4)="1502",DATE(2015,2,10),IF(NETWORKDAYS(DATE("20"&amp;MID(A213,LEN(A213)-3,2),RIGHT(A213,2),IF(RIGHT(A213,4)="1201","13","15")),DATE("20"&amp;MID(A213,LEN(A213)-3,2),RIGHT(A213,2),IF(RIGHT(A213,4)="1201","13","15")),Holiday)=0,WORKDAY(DATE("20"&amp;MID(A213,LEN(A213)-3,2),RIGHT(A213,2),IF(RIGHT(A213,4)="1201","13","15")),1,Holiday),DATE("20"&amp;MID(A213,LEN(A213)-3,2),RIGHT(A213,2),IF(RIGHT(A213,4)="1201","13","15"))))</f>
        <v>42200</v>
      </c>
      <c r="D213" s="11">
        <f ca="1">IF(CTP=1,WORKDAY(上海期货交易所!D213,-1,Holiday)+1,WORKDAY(上海期货交易所!D213,0-全局参数,Holiday))</f>
        <v>42153</v>
      </c>
      <c r="E213" s="11">
        <f ca="1">IF(CTP=1,WORKDAY(上海期货交易所!E213,-1,Holiday)+1,WORKDAY(上海期货交易所!E213,0-全局参数,Holiday))</f>
        <v>42185</v>
      </c>
      <c r="F213" s="11">
        <f ca="1">IF(CTP=1,WORKDAY(上海期货交易所!F213,-1,Holiday)+1,WORKDAY(上海期货交易所!F213,0-全局参数,Holiday))</f>
        <v>42195</v>
      </c>
      <c r="G213" s="18">
        <f t="shared" ref="G213:G226" ca="1" si="52">WORKDAY(C213,-5,Holiday)</f>
        <v>42193</v>
      </c>
      <c r="AA213" t="str">
        <f t="shared" ca="1" si="49"/>
        <v/>
      </c>
    </row>
    <row r="214" spans="1:27" x14ac:dyDescent="0.15">
      <c r="A214" s="22" t="str">
        <f ca="1">"Hc"&amp;TEXT(DATE("20"&amp;MID(A213,LEN(A213)-3,2),RIGHT(A213,2)+1,"15"),"yymm")</f>
        <v>Hc1508</v>
      </c>
      <c r="B214" s="12">
        <f t="shared" ca="1" si="50"/>
        <v>41869</v>
      </c>
      <c r="C214" s="12">
        <f t="shared" ca="1" si="51"/>
        <v>42233</v>
      </c>
      <c r="D214" s="12">
        <f ca="1">IF(CTP=1,WORKDAY(上海期货交易所!D214,-1,Holiday)+1,WORKDAY(上海期货交易所!D214,0-全局参数,Holiday))</f>
        <v>42185</v>
      </c>
      <c r="E214" s="12">
        <f ca="1">IF(CTP=1,WORKDAY(上海期货交易所!E214,-1,Holiday)+1,WORKDAY(上海期货交易所!E214,0-全局参数,Holiday))</f>
        <v>42216</v>
      </c>
      <c r="F214" s="12">
        <f ca="1">IF(CTP=1,WORKDAY(上海期货交易所!F214,-1,Holiday)+1,WORKDAY(上海期货交易所!F214,0-全局参数,Holiday))</f>
        <v>42228</v>
      </c>
      <c r="G214" s="19">
        <f t="shared" ca="1" si="52"/>
        <v>42226</v>
      </c>
      <c r="AA214" t="str">
        <f t="shared" ca="1" si="49"/>
        <v/>
      </c>
    </row>
    <row r="215" spans="1:27" x14ac:dyDescent="0.15">
      <c r="A215" s="21" t="str">
        <f t="shared" ref="A215:A226" ca="1" si="53">"Hc"&amp;TEXT(DATE("20"&amp;MID(A214,LEN(A214)-3,2),RIGHT(A214,2)+1,"15"),"yymm")</f>
        <v>Hc1509</v>
      </c>
      <c r="B215" s="11">
        <f t="shared" ca="1" si="50"/>
        <v>41898</v>
      </c>
      <c r="C215" s="11">
        <f t="shared" ca="1" si="51"/>
        <v>42262</v>
      </c>
      <c r="D215" s="11">
        <f ca="1">IF(CTP=1,WORKDAY(上海期货交易所!D215,-1,Holiday)+1,WORKDAY(上海期货交易所!D215,0-全局参数,Holiday))</f>
        <v>42216</v>
      </c>
      <c r="E215" s="11">
        <f ca="1">IF(CTP=1,WORKDAY(上海期货交易所!E215,-1,Holiday)+1,WORKDAY(上海期货交易所!E215,0-全局参数,Holiday))</f>
        <v>42247</v>
      </c>
      <c r="F215" s="11">
        <f ca="1">IF(CTP=1,WORKDAY(上海期货交易所!F215,-1,Holiday)+1,WORKDAY(上海期货交易所!F215,0-全局参数,Holiday))</f>
        <v>42257</v>
      </c>
      <c r="G215" s="18">
        <f t="shared" ca="1" si="52"/>
        <v>42255</v>
      </c>
      <c r="AA215" t="str">
        <f t="shared" ca="1" si="49"/>
        <v/>
      </c>
    </row>
    <row r="216" spans="1:27" x14ac:dyDescent="0.15">
      <c r="A216" s="22" t="str">
        <f t="shared" ca="1" si="53"/>
        <v>Hc1510</v>
      </c>
      <c r="B216" s="12">
        <f t="shared" ca="1" si="50"/>
        <v>41928</v>
      </c>
      <c r="C216" s="12">
        <f t="shared" ca="1" si="51"/>
        <v>42292</v>
      </c>
      <c r="D216" s="12">
        <f ca="1">IF(CTP=1,WORKDAY(上海期货交易所!D216,-1,Holiday)+1,WORKDAY(上海期货交易所!D216,0-全局参数,Holiday))</f>
        <v>42247</v>
      </c>
      <c r="E216" s="12">
        <f ca="1">IF(CTP=1,WORKDAY(上海期货交易所!E216,-1,Holiday)+1,WORKDAY(上海期货交易所!E216,0-全局参数,Holiday))</f>
        <v>42277</v>
      </c>
      <c r="F216" s="12">
        <f ca="1">IF(CTP=1,WORKDAY(上海期货交易所!F216,-1,Holiday)+1,WORKDAY(上海期货交易所!F216,0-全局参数,Holiday))</f>
        <v>42289</v>
      </c>
      <c r="G216" s="19">
        <f t="shared" ca="1" si="52"/>
        <v>42285</v>
      </c>
      <c r="AA216" t="str">
        <f t="shared" ca="1" si="49"/>
        <v/>
      </c>
    </row>
    <row r="217" spans="1:27" x14ac:dyDescent="0.15">
      <c r="A217" s="21" t="str">
        <f t="shared" ca="1" si="53"/>
        <v>Hc1511</v>
      </c>
      <c r="B217" s="11">
        <f t="shared" ca="1" si="50"/>
        <v>41961</v>
      </c>
      <c r="C217" s="11">
        <f t="shared" ca="1" si="51"/>
        <v>42324</v>
      </c>
      <c r="D217" s="11">
        <f ca="1">IF(CTP=1,WORKDAY(上海期货交易所!D217,-1,Holiday)+1,WORKDAY(上海期货交易所!D217,0-全局参数,Holiday))</f>
        <v>42277</v>
      </c>
      <c r="E217" s="11">
        <f ca="1">IF(CTP=1,WORKDAY(上海期货交易所!E217,-1,Holiday)+1,WORKDAY(上海期货交易所!E217,0-全局参数,Holiday))</f>
        <v>42307</v>
      </c>
      <c r="F217" s="11">
        <f ca="1">IF(CTP=1,WORKDAY(上海期货交易所!F217,-1,Holiday)+1,WORKDAY(上海期货交易所!F217,0-全局参数,Holiday))</f>
        <v>42319</v>
      </c>
      <c r="G217" s="18">
        <f t="shared" ca="1" si="52"/>
        <v>42317</v>
      </c>
      <c r="AA217" t="str">
        <f t="shared" ca="1" si="49"/>
        <v/>
      </c>
    </row>
    <row r="218" spans="1:27" x14ac:dyDescent="0.15">
      <c r="A218" s="22" t="str">
        <f t="shared" ca="1" si="53"/>
        <v>Hc1512</v>
      </c>
      <c r="B218" s="12">
        <f t="shared" ca="1" si="50"/>
        <v>41989</v>
      </c>
      <c r="C218" s="12">
        <f t="shared" ca="1" si="51"/>
        <v>42353</v>
      </c>
      <c r="D218" s="12">
        <f ca="1">IF(CTP=1,WORKDAY(上海期货交易所!D218,-1,Holiday)+1,WORKDAY(上海期货交易所!D218,0-全局参数,Holiday))</f>
        <v>42307</v>
      </c>
      <c r="E218" s="12">
        <f ca="1">IF(CTP=1,WORKDAY(上海期货交易所!E218,-1,Holiday)+1,WORKDAY(上海期货交易所!E218,0-全局参数,Holiday))</f>
        <v>42338</v>
      </c>
      <c r="F218" s="12">
        <f ca="1">IF(CTP=1,WORKDAY(上海期货交易所!F218,-1,Holiday)+1,WORKDAY(上海期货交易所!F218,0-全局参数,Holiday))</f>
        <v>42348</v>
      </c>
      <c r="G218" s="19">
        <f t="shared" ca="1" si="52"/>
        <v>42346</v>
      </c>
      <c r="AA218" t="str">
        <f t="shared" ca="1" si="49"/>
        <v/>
      </c>
    </row>
    <row r="219" spans="1:27" x14ac:dyDescent="0.15">
      <c r="A219" s="21" t="str">
        <f t="shared" ca="1" si="53"/>
        <v>Hc1601</v>
      </c>
      <c r="B219" s="11">
        <f t="shared" ca="1" si="50"/>
        <v>42020</v>
      </c>
      <c r="C219" s="11">
        <f t="shared" ca="1" si="51"/>
        <v>42384</v>
      </c>
      <c r="D219" s="11">
        <f ca="1">IF(CTP=1,WORKDAY(上海期货交易所!D219,-1,Holiday)+1,WORKDAY(上海期货交易所!D219,0-全局参数,Holiday))</f>
        <v>42338</v>
      </c>
      <c r="E219" s="11">
        <f ca="1">IF(CTP=1,WORKDAY(上海期货交易所!E219,-1,Holiday)+1,WORKDAY(上海期货交易所!E219,0-全局参数,Holiday))</f>
        <v>42369</v>
      </c>
      <c r="F219" s="11">
        <f ca="1">IF(CTP=1,WORKDAY(上海期货交易所!F219,-1,Holiday)+1,WORKDAY(上海期货交易所!F219,0-全局参数,Holiday))</f>
        <v>42381</v>
      </c>
      <c r="G219" s="18">
        <f t="shared" ca="1" si="52"/>
        <v>42377</v>
      </c>
      <c r="AA219" t="str">
        <f t="shared" ca="1" si="49"/>
        <v/>
      </c>
    </row>
    <row r="220" spans="1:27" x14ac:dyDescent="0.15">
      <c r="A220" s="22" t="str">
        <f t="shared" ca="1" si="53"/>
        <v>Hc1602</v>
      </c>
      <c r="B220" s="12">
        <f t="shared" ca="1" si="50"/>
        <v>42051</v>
      </c>
      <c r="C220" s="12">
        <f t="shared" ca="1" si="51"/>
        <v>42415</v>
      </c>
      <c r="D220" s="12">
        <f ca="1">IF(CTP=1,WORKDAY(上海期货交易所!D220,-1,Holiday)+1,WORKDAY(上海期货交易所!D220,0-全局参数,Holiday))</f>
        <v>42369</v>
      </c>
      <c r="E220" s="12">
        <f ca="1">IF(CTP=1,WORKDAY(上海期货交易所!E220,-1,Holiday)+1,WORKDAY(上海期货交易所!E220,0-全局参数,Holiday))</f>
        <v>42398</v>
      </c>
      <c r="F220" s="12">
        <f ca="1">IF(CTP=1,WORKDAY(上海期货交易所!F220,-1,Holiday)+1,WORKDAY(上海期货交易所!F220,0-全局参数,Holiday))</f>
        <v>42410</v>
      </c>
      <c r="G220" s="19">
        <f t="shared" ca="1" si="52"/>
        <v>42408</v>
      </c>
      <c r="AA220" t="str">
        <f t="shared" ca="1" si="49"/>
        <v/>
      </c>
    </row>
    <row r="221" spans="1:27" x14ac:dyDescent="0.15">
      <c r="A221" s="21" t="str">
        <f t="shared" ca="1" si="53"/>
        <v>Hc1603</v>
      </c>
      <c r="B221" s="11">
        <f t="shared" ca="1" si="50"/>
        <v>42080</v>
      </c>
      <c r="C221" s="11">
        <f t="shared" ca="1" si="51"/>
        <v>42444</v>
      </c>
      <c r="D221" s="11">
        <f ca="1">IF(CTP=1,WORKDAY(上海期货交易所!D221,-1,Holiday)+1,WORKDAY(上海期货交易所!D221,0-全局参数,Holiday))</f>
        <v>42398</v>
      </c>
      <c r="E221" s="11">
        <f ca="1">IF(CTP=1,WORKDAY(上海期货交易所!E221,-1,Holiday)+1,WORKDAY(上海期货交易所!E221,0-全局参数,Holiday))</f>
        <v>42429</v>
      </c>
      <c r="F221" s="11">
        <f ca="1">IF(CTP=1,WORKDAY(上海期货交易所!F221,-1,Holiday)+1,WORKDAY(上海期货交易所!F221,0-全局参数,Holiday))</f>
        <v>42439</v>
      </c>
      <c r="G221" s="18">
        <f t="shared" ca="1" si="52"/>
        <v>42437</v>
      </c>
      <c r="AA221" t="str">
        <f t="shared" ca="1" si="49"/>
        <v/>
      </c>
    </row>
    <row r="222" spans="1:27" x14ac:dyDescent="0.15">
      <c r="A222" s="22" t="str">
        <f t="shared" ca="1" si="53"/>
        <v>Hc1604</v>
      </c>
      <c r="B222" s="12">
        <f t="shared" ca="1" si="50"/>
        <v>42110</v>
      </c>
      <c r="C222" s="12">
        <f t="shared" ca="1" si="51"/>
        <v>42475</v>
      </c>
      <c r="D222" s="12">
        <f ca="1">IF(CTP=1,WORKDAY(上海期货交易所!D222,-1,Holiday)+1,WORKDAY(上海期货交易所!D222,0-全局参数,Holiday))</f>
        <v>42429</v>
      </c>
      <c r="E222" s="12">
        <f ca="1">IF(CTP=1,WORKDAY(上海期货交易所!E222,-1,Holiday)+1,WORKDAY(上海期货交易所!E222,0-全局参数,Holiday))</f>
        <v>42460</v>
      </c>
      <c r="F222" s="12">
        <f ca="1">IF(CTP=1,WORKDAY(上海期货交易所!F222,-1,Holiday)+1,WORKDAY(上海期货交易所!F222,0-全局参数,Holiday))</f>
        <v>42472</v>
      </c>
      <c r="G222" s="19">
        <f t="shared" ca="1" si="52"/>
        <v>42468</v>
      </c>
      <c r="AA222" t="str">
        <f t="shared" ca="1" si="49"/>
        <v/>
      </c>
    </row>
    <row r="223" spans="1:27" x14ac:dyDescent="0.15">
      <c r="A223" s="21" t="str">
        <f t="shared" ca="1" si="53"/>
        <v>Hc1605</v>
      </c>
      <c r="B223" s="11">
        <f t="shared" ca="1" si="50"/>
        <v>42142</v>
      </c>
      <c r="C223" s="11">
        <f t="shared" ca="1" si="51"/>
        <v>42506</v>
      </c>
      <c r="D223" s="11">
        <f ca="1">IF(CTP=1,WORKDAY(上海期货交易所!D223,-1,Holiday)+1,WORKDAY(上海期货交易所!D223,0-全局参数,Holiday))</f>
        <v>42460</v>
      </c>
      <c r="E223" s="11">
        <f ca="1">IF(CTP=1,WORKDAY(上海期货交易所!E223,-1,Holiday)+1,WORKDAY(上海期货交易所!E223,0-全局参数,Holiday))</f>
        <v>42489</v>
      </c>
      <c r="F223" s="11">
        <f ca="1">IF(CTP=1,WORKDAY(上海期货交易所!F223,-1,Holiday)+1,WORKDAY(上海期货交易所!F223,0-全局参数,Holiday))</f>
        <v>42501</v>
      </c>
      <c r="G223" s="18">
        <f t="shared" ca="1" si="52"/>
        <v>42499</v>
      </c>
      <c r="AA223" t="str">
        <f t="shared" ca="1" si="49"/>
        <v/>
      </c>
    </row>
    <row r="224" spans="1:27" x14ac:dyDescent="0.15">
      <c r="A224" s="22" t="str">
        <f t="shared" ca="1" si="53"/>
        <v>Hc1606</v>
      </c>
      <c r="B224" s="12">
        <f t="shared" ca="1" si="50"/>
        <v>42171</v>
      </c>
      <c r="C224" s="12">
        <f t="shared" ca="1" si="51"/>
        <v>42536</v>
      </c>
      <c r="D224" s="12">
        <f ca="1">IF(CTP=1,WORKDAY(上海期货交易所!D224,-1,Holiday)+1,WORKDAY(上海期货交易所!D224,0-全局参数,Holiday))</f>
        <v>42489</v>
      </c>
      <c r="E224" s="12">
        <f ca="1">IF(CTP=1,WORKDAY(上海期货交易所!E224,-1,Holiday)+1,WORKDAY(上海期货交易所!E224,0-全局参数,Holiday))</f>
        <v>42521</v>
      </c>
      <c r="F224" s="12">
        <f ca="1">IF(CTP=1,WORKDAY(上海期货交易所!F224,-1,Holiday)+1,WORKDAY(上海期货交易所!F224,0-全局参数,Holiday))</f>
        <v>42531</v>
      </c>
      <c r="G224" s="19">
        <f t="shared" ca="1" si="52"/>
        <v>42529</v>
      </c>
      <c r="AA224" t="str">
        <f t="shared" ca="1" si="49"/>
        <v/>
      </c>
    </row>
    <row r="225" spans="1:27" x14ac:dyDescent="0.15">
      <c r="A225" s="21" t="str">
        <f t="shared" ca="1" si="53"/>
        <v>Hc1607</v>
      </c>
      <c r="B225" s="11">
        <f t="shared" ca="1" si="50"/>
        <v>42201</v>
      </c>
      <c r="C225" s="11">
        <f t="shared" ca="1" si="51"/>
        <v>42566</v>
      </c>
      <c r="D225" s="11">
        <f ca="1">IF(CTP=1,WORKDAY(上海期货交易所!D225,-1,Holiday)+1,WORKDAY(上海期货交易所!D225,0-全局参数,Holiday))</f>
        <v>42521</v>
      </c>
      <c r="E225" s="11">
        <f ca="1">IF(CTP=1,WORKDAY(上海期货交易所!E225,-1,Holiday)+1,WORKDAY(上海期货交易所!E225,0-全局参数,Holiday))</f>
        <v>42551</v>
      </c>
      <c r="F225" s="11">
        <f ca="1">IF(CTP=1,WORKDAY(上海期货交易所!F225,-1,Holiday)+1,WORKDAY(上海期货交易所!F225,0-全局参数,Holiday))</f>
        <v>42563</v>
      </c>
      <c r="G225" s="18">
        <f t="shared" ca="1" si="52"/>
        <v>42559</v>
      </c>
      <c r="AA225" t="str">
        <f t="shared" ca="1" si="49"/>
        <v/>
      </c>
    </row>
    <row r="226" spans="1:27" x14ac:dyDescent="0.15">
      <c r="A226" s="22" t="str">
        <f t="shared" ca="1" si="53"/>
        <v>Hc1608</v>
      </c>
      <c r="B226" s="12">
        <f t="shared" ca="1" si="50"/>
        <v>42234</v>
      </c>
      <c r="C226" s="12">
        <f t="shared" ca="1" si="51"/>
        <v>42597</v>
      </c>
      <c r="D226" s="12">
        <f ca="1">IF(CTP=1,WORKDAY(上海期货交易所!D226,-1,Holiday)+1,WORKDAY(上海期货交易所!D226,0-全局参数,Holiday))</f>
        <v>42551</v>
      </c>
      <c r="E226" s="12">
        <f ca="1">IF(CTP=1,WORKDAY(上海期货交易所!E226,-1,Holiday)+1,WORKDAY(上海期货交易所!E226,0-全局参数,Holiday))</f>
        <v>42580</v>
      </c>
      <c r="F226" s="12">
        <f ca="1">IF(CTP=1,WORKDAY(上海期货交易所!F226,-1,Holiday)+1,WORKDAY(上海期货交易所!F226,0-全局参数,Holiday))</f>
        <v>42592</v>
      </c>
      <c r="G226" s="19">
        <f t="shared" ca="1" si="52"/>
        <v>42590</v>
      </c>
      <c r="AA226" t="str">
        <f t="shared" ca="1" si="49"/>
        <v/>
      </c>
    </row>
    <row r="227" spans="1:27" x14ac:dyDescent="0.15">
      <c r="AA227" t="str">
        <f t="shared" ca="1" si="49"/>
        <v/>
      </c>
    </row>
    <row r="228" spans="1:27" x14ac:dyDescent="0.15">
      <c r="AA228" t="str">
        <f t="shared" ca="1" si="49"/>
        <v/>
      </c>
    </row>
    <row r="229" spans="1:27" x14ac:dyDescent="0.15">
      <c r="A229" s="48" t="str">
        <f>"镍Ni"&amp;TEXT(镍Ni,"#%")</f>
        <v>镍Ni7%</v>
      </c>
      <c r="B229" s="49"/>
      <c r="C229" s="49"/>
      <c r="D229" s="49"/>
      <c r="E229" s="49"/>
      <c r="F229" s="49"/>
      <c r="G229" s="50"/>
      <c r="AA229" t="str">
        <f t="shared" ca="1" si="49"/>
        <v/>
      </c>
    </row>
    <row r="230" spans="1:27" ht="17.25" thickBot="1" x14ac:dyDescent="0.2">
      <c r="A230" s="20"/>
      <c r="B230" s="33" t="s">
        <v>46</v>
      </c>
      <c r="C230" s="33" t="s">
        <v>1</v>
      </c>
      <c r="D230" s="10">
        <v>0.1</v>
      </c>
      <c r="E230" s="10">
        <v>0.15</v>
      </c>
      <c r="F230" s="10">
        <v>0.2</v>
      </c>
      <c r="G230" s="20" t="s">
        <v>73</v>
      </c>
      <c r="AA230" t="str">
        <f t="shared" ca="1" si="49"/>
        <v/>
      </c>
    </row>
    <row r="231" spans="1:27" x14ac:dyDescent="0.15">
      <c r="A231" s="21" t="str">
        <f ca="1">"Ni"&amp;IF(TODAY()&lt;=DATE(2015,7,15),TEXT(DATE(2015,7,15),"yymm"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Ni1507</v>
      </c>
      <c r="B231" s="11">
        <f t="shared" ref="B231:B244" ca="1" si="54">IF(RIGHT(A231,4)-1603&lt;=0,DATE(2015,3,27),WORKDAY(IF(NETWORKDAYS(DATE("20"&amp;(MID(A231,LEN(A231)-3,2)-1),RIGHT(A231,2),IF(RIGHT(A231,4)="1201","13","15")),DATE("20"&amp;(MID(A231,LEN(A231)-3,2)-1),RIGHT(A231,2),IF(RIGHT(A231,4)="1201","13","15")),Holiday)=0,WORKDAY(DATE("20"&amp;(MID(A231,LEN(A231)-3,2)-1),RIGHT(A231,2),IF(RIGHT(A231,4)="1201","13","15")),1,Holiday),DATE("20"&amp;(MID(A231,LEN(A231)-3,2)-1),RIGHT(A231,2),IF(RIGHT(A231,4)="1201","13","15"))),1,Holiday))</f>
        <v>42090</v>
      </c>
      <c r="C231" s="11">
        <f t="shared" ref="C231:C244" ca="1" si="55">IF(RIGHT(A231,4)="1502",DATE(2015,2,10),IF(NETWORKDAYS(DATE("20"&amp;MID(A231,LEN(A231)-3,2),RIGHT(A231,2),IF(RIGHT(A231,4)="1201","13","15")),DATE("20"&amp;MID(A231,LEN(A231)-3,2),RIGHT(A231,2),IF(RIGHT(A231,4)="1201","13","15")),Holiday)=0,WORKDAY(DATE("20"&amp;MID(A231,LEN(A231)-3,2),RIGHT(A231,2),IF(RIGHT(A231,4)="1201","13","15")),1,Holiday),DATE("20"&amp;MID(A231,LEN(A231)-3,2),RIGHT(A231,2),IF(RIGHT(A231,4)="1201","13","15"))))</f>
        <v>42200</v>
      </c>
      <c r="D231" s="11">
        <f ca="1">IF(CTP=1,WORKDAY(上海期货交易所!D231,-1,Holiday)+1,WORKDAY(上海期货交易所!D231,0-全局参数,Holiday))</f>
        <v>42153</v>
      </c>
      <c r="E231" s="11">
        <f ca="1">IF(CTP=1,WORKDAY(上海期货交易所!E231,-1,Holiday)+1,WORKDAY(上海期货交易所!E231,0-全局参数,Holiday))</f>
        <v>42185</v>
      </c>
      <c r="F231" s="11">
        <f ca="1">IF(CTP=1,WORKDAY(上海期货交易所!F231,-1,Holiday)+1,WORKDAY(上海期货交易所!F231,0-全局参数,Holiday))</f>
        <v>42195</v>
      </c>
      <c r="G231" s="18">
        <f t="shared" ref="G231:G244" ca="1" si="56">WORKDAY(C231,-5,Holiday)</f>
        <v>42193</v>
      </c>
      <c r="AA231" t="str">
        <f t="shared" ca="1" si="49"/>
        <v/>
      </c>
    </row>
    <row r="232" spans="1:27" x14ac:dyDescent="0.15">
      <c r="A232" s="22" t="str">
        <f ca="1">"Ni"&amp;TEXT(DATE("20"&amp;MID(A231,LEN(A231)-3,2),RIGHT(A231,2)+1,"15"),"yymm")</f>
        <v>Ni1508</v>
      </c>
      <c r="B232" s="12">
        <f t="shared" ca="1" si="54"/>
        <v>42090</v>
      </c>
      <c r="C232" s="12">
        <f t="shared" ca="1" si="55"/>
        <v>42233</v>
      </c>
      <c r="D232" s="12">
        <f ca="1">IF(CTP=1,WORKDAY(上海期货交易所!D232,-1,Holiday)+1,WORKDAY(上海期货交易所!D232,0-全局参数,Holiday))</f>
        <v>42185</v>
      </c>
      <c r="E232" s="12">
        <f ca="1">IF(CTP=1,WORKDAY(上海期货交易所!E232,-1,Holiday)+1,WORKDAY(上海期货交易所!E232,0-全局参数,Holiday))</f>
        <v>42216</v>
      </c>
      <c r="F232" s="12">
        <f ca="1">IF(CTP=1,WORKDAY(上海期货交易所!F232,-1,Holiday)+1,WORKDAY(上海期货交易所!F232,0-全局参数,Holiday))</f>
        <v>42228</v>
      </c>
      <c r="G232" s="19">
        <f t="shared" ca="1" si="56"/>
        <v>42226</v>
      </c>
      <c r="AA232" t="str">
        <f t="shared" ca="1" si="49"/>
        <v/>
      </c>
    </row>
    <row r="233" spans="1:27" x14ac:dyDescent="0.15">
      <c r="A233" s="21" t="str">
        <f t="shared" ref="A233:A244" ca="1" si="57">"Ni"&amp;TEXT(DATE("20"&amp;MID(A232,LEN(A232)-3,2),RIGHT(A232,2)+1,"15"),"yymm")</f>
        <v>Ni1509</v>
      </c>
      <c r="B233" s="11">
        <f t="shared" ca="1" si="54"/>
        <v>42090</v>
      </c>
      <c r="C233" s="11">
        <f t="shared" ca="1" si="55"/>
        <v>42262</v>
      </c>
      <c r="D233" s="11">
        <f ca="1">IF(CTP=1,WORKDAY(上海期货交易所!D233,-1,Holiday)+1,WORKDAY(上海期货交易所!D233,0-全局参数,Holiday))</f>
        <v>42216</v>
      </c>
      <c r="E233" s="11">
        <f ca="1">IF(CTP=1,WORKDAY(上海期货交易所!E233,-1,Holiday)+1,WORKDAY(上海期货交易所!E233,0-全局参数,Holiday))</f>
        <v>42247</v>
      </c>
      <c r="F233" s="11">
        <f ca="1">IF(CTP=1,WORKDAY(上海期货交易所!F233,-1,Holiday)+1,WORKDAY(上海期货交易所!F233,0-全局参数,Holiday))</f>
        <v>42257</v>
      </c>
      <c r="G233" s="18">
        <f t="shared" ca="1" si="56"/>
        <v>42255</v>
      </c>
      <c r="AA233" t="str">
        <f t="shared" ca="1" si="49"/>
        <v/>
      </c>
    </row>
    <row r="234" spans="1:27" x14ac:dyDescent="0.15">
      <c r="A234" s="22" t="str">
        <f t="shared" ca="1" si="57"/>
        <v>Ni1510</v>
      </c>
      <c r="B234" s="12">
        <f t="shared" ca="1" si="54"/>
        <v>42090</v>
      </c>
      <c r="C234" s="12">
        <f t="shared" ca="1" si="55"/>
        <v>42292</v>
      </c>
      <c r="D234" s="12">
        <f ca="1">IF(CTP=1,WORKDAY(上海期货交易所!D234,-1,Holiday)+1,WORKDAY(上海期货交易所!D234,0-全局参数,Holiday))</f>
        <v>42247</v>
      </c>
      <c r="E234" s="12">
        <f ca="1">IF(CTP=1,WORKDAY(上海期货交易所!E234,-1,Holiday)+1,WORKDAY(上海期货交易所!E234,0-全局参数,Holiday))</f>
        <v>42277</v>
      </c>
      <c r="F234" s="12">
        <f ca="1">IF(CTP=1,WORKDAY(上海期货交易所!F234,-1,Holiday)+1,WORKDAY(上海期货交易所!F234,0-全局参数,Holiday))</f>
        <v>42289</v>
      </c>
      <c r="G234" s="19">
        <f t="shared" ca="1" si="56"/>
        <v>42285</v>
      </c>
      <c r="AA234" t="str">
        <f t="shared" ca="1" si="49"/>
        <v/>
      </c>
    </row>
    <row r="235" spans="1:27" x14ac:dyDescent="0.15">
      <c r="A235" s="21" t="str">
        <f t="shared" ca="1" si="57"/>
        <v>Ni1511</v>
      </c>
      <c r="B235" s="11">
        <f t="shared" ca="1" si="54"/>
        <v>42090</v>
      </c>
      <c r="C235" s="11">
        <f t="shared" ca="1" si="55"/>
        <v>42324</v>
      </c>
      <c r="D235" s="11">
        <f ca="1">IF(CTP=1,WORKDAY(上海期货交易所!D235,-1,Holiday)+1,WORKDAY(上海期货交易所!D235,0-全局参数,Holiday))</f>
        <v>42277</v>
      </c>
      <c r="E235" s="11">
        <f ca="1">IF(CTP=1,WORKDAY(上海期货交易所!E235,-1,Holiday)+1,WORKDAY(上海期货交易所!E235,0-全局参数,Holiday))</f>
        <v>42307</v>
      </c>
      <c r="F235" s="11">
        <f ca="1">IF(CTP=1,WORKDAY(上海期货交易所!F235,-1,Holiday)+1,WORKDAY(上海期货交易所!F235,0-全局参数,Holiday))</f>
        <v>42319</v>
      </c>
      <c r="G235" s="18">
        <f t="shared" ca="1" si="56"/>
        <v>42317</v>
      </c>
      <c r="AA235" t="str">
        <f t="shared" ca="1" si="49"/>
        <v/>
      </c>
    </row>
    <row r="236" spans="1:27" x14ac:dyDescent="0.15">
      <c r="A236" s="22" t="str">
        <f t="shared" ca="1" si="57"/>
        <v>Ni1512</v>
      </c>
      <c r="B236" s="12">
        <f t="shared" ca="1" si="54"/>
        <v>42090</v>
      </c>
      <c r="C236" s="12">
        <f t="shared" ca="1" si="55"/>
        <v>42353</v>
      </c>
      <c r="D236" s="12">
        <f ca="1">IF(CTP=1,WORKDAY(上海期货交易所!D236,-1,Holiday)+1,WORKDAY(上海期货交易所!D236,0-全局参数,Holiday))</f>
        <v>42307</v>
      </c>
      <c r="E236" s="12">
        <f ca="1">IF(CTP=1,WORKDAY(上海期货交易所!E236,-1,Holiday)+1,WORKDAY(上海期货交易所!E236,0-全局参数,Holiday))</f>
        <v>42338</v>
      </c>
      <c r="F236" s="12">
        <f ca="1">IF(CTP=1,WORKDAY(上海期货交易所!F236,-1,Holiday)+1,WORKDAY(上海期货交易所!F236,0-全局参数,Holiday))</f>
        <v>42348</v>
      </c>
      <c r="G236" s="19">
        <f t="shared" ca="1" si="56"/>
        <v>42346</v>
      </c>
      <c r="AA236" t="str">
        <f t="shared" ca="1" si="49"/>
        <v/>
      </c>
    </row>
    <row r="237" spans="1:27" x14ac:dyDescent="0.15">
      <c r="A237" s="21" t="str">
        <f t="shared" ca="1" si="57"/>
        <v>Ni1601</v>
      </c>
      <c r="B237" s="11">
        <f t="shared" ca="1" si="54"/>
        <v>42090</v>
      </c>
      <c r="C237" s="11">
        <f t="shared" ca="1" si="55"/>
        <v>42384</v>
      </c>
      <c r="D237" s="11">
        <f ca="1">IF(CTP=1,WORKDAY(上海期货交易所!D237,-1,Holiday)+1,WORKDAY(上海期货交易所!D237,0-全局参数,Holiday))</f>
        <v>42338</v>
      </c>
      <c r="E237" s="11">
        <f ca="1">IF(CTP=1,WORKDAY(上海期货交易所!E237,-1,Holiday)+1,WORKDAY(上海期货交易所!E237,0-全局参数,Holiday))</f>
        <v>42369</v>
      </c>
      <c r="F237" s="11">
        <f ca="1">IF(CTP=1,WORKDAY(上海期货交易所!F237,-1,Holiday)+1,WORKDAY(上海期货交易所!F237,0-全局参数,Holiday))</f>
        <v>42381</v>
      </c>
      <c r="G237" s="18">
        <f t="shared" ca="1" si="56"/>
        <v>42377</v>
      </c>
      <c r="AA237" t="str">
        <f t="shared" ca="1" si="49"/>
        <v/>
      </c>
    </row>
    <row r="238" spans="1:27" x14ac:dyDescent="0.15">
      <c r="A238" s="22" t="str">
        <f t="shared" ca="1" si="57"/>
        <v>Ni1602</v>
      </c>
      <c r="B238" s="12">
        <f t="shared" ca="1" si="54"/>
        <v>42090</v>
      </c>
      <c r="C238" s="12">
        <f t="shared" ca="1" si="55"/>
        <v>42415</v>
      </c>
      <c r="D238" s="12">
        <f ca="1">IF(CTP=1,WORKDAY(上海期货交易所!D238,-1,Holiday)+1,WORKDAY(上海期货交易所!D238,0-全局参数,Holiday))</f>
        <v>42369</v>
      </c>
      <c r="E238" s="12">
        <f ca="1">IF(CTP=1,WORKDAY(上海期货交易所!E238,-1,Holiday)+1,WORKDAY(上海期货交易所!E238,0-全局参数,Holiday))</f>
        <v>42398</v>
      </c>
      <c r="F238" s="12">
        <f ca="1">IF(CTP=1,WORKDAY(上海期货交易所!F238,-1,Holiday)+1,WORKDAY(上海期货交易所!F238,0-全局参数,Holiday))</f>
        <v>42410</v>
      </c>
      <c r="G238" s="19">
        <f t="shared" ca="1" si="56"/>
        <v>42408</v>
      </c>
      <c r="AA238" t="str">
        <f t="shared" ca="1" si="49"/>
        <v/>
      </c>
    </row>
    <row r="239" spans="1:27" x14ac:dyDescent="0.15">
      <c r="A239" s="21" t="str">
        <f t="shared" ca="1" si="57"/>
        <v>Ni1603</v>
      </c>
      <c r="B239" s="11">
        <f t="shared" ca="1" si="54"/>
        <v>42090</v>
      </c>
      <c r="C239" s="11">
        <f t="shared" ca="1" si="55"/>
        <v>42444</v>
      </c>
      <c r="D239" s="11">
        <f ca="1">IF(CTP=1,WORKDAY(上海期货交易所!D239,-1,Holiday)+1,WORKDAY(上海期货交易所!D239,0-全局参数,Holiday))</f>
        <v>42398</v>
      </c>
      <c r="E239" s="11">
        <f ca="1">IF(CTP=1,WORKDAY(上海期货交易所!E239,-1,Holiday)+1,WORKDAY(上海期货交易所!E239,0-全局参数,Holiday))</f>
        <v>42429</v>
      </c>
      <c r="F239" s="11">
        <f ca="1">IF(CTP=1,WORKDAY(上海期货交易所!F239,-1,Holiday)+1,WORKDAY(上海期货交易所!F239,0-全局参数,Holiday))</f>
        <v>42439</v>
      </c>
      <c r="G239" s="18">
        <f t="shared" ca="1" si="56"/>
        <v>42437</v>
      </c>
      <c r="AA239" t="str">
        <f t="shared" ca="1" si="49"/>
        <v/>
      </c>
    </row>
    <row r="240" spans="1:27" x14ac:dyDescent="0.15">
      <c r="A240" s="22" t="str">
        <f t="shared" ca="1" si="57"/>
        <v>Ni1604</v>
      </c>
      <c r="B240" s="12">
        <f t="shared" ca="1" si="54"/>
        <v>42110</v>
      </c>
      <c r="C240" s="12">
        <f t="shared" ca="1" si="55"/>
        <v>42475</v>
      </c>
      <c r="D240" s="12">
        <f ca="1">IF(CTP=1,WORKDAY(上海期货交易所!D240,-1,Holiday)+1,WORKDAY(上海期货交易所!D240,0-全局参数,Holiday))</f>
        <v>42429</v>
      </c>
      <c r="E240" s="12">
        <f ca="1">IF(CTP=1,WORKDAY(上海期货交易所!E240,-1,Holiday)+1,WORKDAY(上海期货交易所!E240,0-全局参数,Holiday))</f>
        <v>42460</v>
      </c>
      <c r="F240" s="12">
        <f ca="1">IF(CTP=1,WORKDAY(上海期货交易所!F240,-1,Holiday)+1,WORKDAY(上海期货交易所!F240,0-全局参数,Holiday))</f>
        <v>42472</v>
      </c>
      <c r="G240" s="19">
        <f t="shared" ca="1" si="56"/>
        <v>42468</v>
      </c>
      <c r="AA240" t="str">
        <f t="shared" ca="1" si="49"/>
        <v/>
      </c>
    </row>
    <row r="241" spans="1:27" x14ac:dyDescent="0.15">
      <c r="A241" s="21" t="str">
        <f t="shared" ca="1" si="57"/>
        <v>Ni1605</v>
      </c>
      <c r="B241" s="11">
        <f t="shared" ca="1" si="54"/>
        <v>42142</v>
      </c>
      <c r="C241" s="11">
        <f t="shared" ca="1" si="55"/>
        <v>42506</v>
      </c>
      <c r="D241" s="11">
        <f ca="1">IF(CTP=1,WORKDAY(上海期货交易所!D241,-1,Holiday)+1,WORKDAY(上海期货交易所!D241,0-全局参数,Holiday))</f>
        <v>42460</v>
      </c>
      <c r="E241" s="11">
        <f ca="1">IF(CTP=1,WORKDAY(上海期货交易所!E241,-1,Holiday)+1,WORKDAY(上海期货交易所!E241,0-全局参数,Holiday))</f>
        <v>42489</v>
      </c>
      <c r="F241" s="11">
        <f ca="1">IF(CTP=1,WORKDAY(上海期货交易所!F241,-1,Holiday)+1,WORKDAY(上海期货交易所!F241,0-全局参数,Holiday))</f>
        <v>42501</v>
      </c>
      <c r="G241" s="18">
        <f t="shared" ca="1" si="56"/>
        <v>42499</v>
      </c>
      <c r="AA241" t="str">
        <f t="shared" ca="1" si="49"/>
        <v/>
      </c>
    </row>
    <row r="242" spans="1:27" x14ac:dyDescent="0.15">
      <c r="A242" s="22" t="str">
        <f t="shared" ca="1" si="57"/>
        <v>Ni1606</v>
      </c>
      <c r="B242" s="12">
        <f t="shared" ca="1" si="54"/>
        <v>42171</v>
      </c>
      <c r="C242" s="12">
        <f t="shared" ca="1" si="55"/>
        <v>42536</v>
      </c>
      <c r="D242" s="12">
        <f ca="1">IF(CTP=1,WORKDAY(上海期货交易所!D242,-1,Holiday)+1,WORKDAY(上海期货交易所!D242,0-全局参数,Holiday))</f>
        <v>42489</v>
      </c>
      <c r="E242" s="12">
        <f ca="1">IF(CTP=1,WORKDAY(上海期货交易所!E242,-1,Holiday)+1,WORKDAY(上海期货交易所!E242,0-全局参数,Holiday))</f>
        <v>42521</v>
      </c>
      <c r="F242" s="12">
        <f ca="1">IF(CTP=1,WORKDAY(上海期货交易所!F242,-1,Holiday)+1,WORKDAY(上海期货交易所!F242,0-全局参数,Holiday))</f>
        <v>42531</v>
      </c>
      <c r="G242" s="19">
        <f t="shared" ca="1" si="56"/>
        <v>42529</v>
      </c>
      <c r="AA242" t="str">
        <f t="shared" ca="1" si="49"/>
        <v/>
      </c>
    </row>
    <row r="243" spans="1:27" x14ac:dyDescent="0.15">
      <c r="A243" s="21" t="str">
        <f t="shared" ca="1" si="57"/>
        <v>Ni1607</v>
      </c>
      <c r="B243" s="11">
        <f t="shared" ca="1" si="54"/>
        <v>42201</v>
      </c>
      <c r="C243" s="11">
        <f t="shared" ca="1" si="55"/>
        <v>42566</v>
      </c>
      <c r="D243" s="11">
        <f ca="1">IF(CTP=1,WORKDAY(上海期货交易所!D243,-1,Holiday)+1,WORKDAY(上海期货交易所!D243,0-全局参数,Holiday))</f>
        <v>42521</v>
      </c>
      <c r="E243" s="11">
        <f ca="1">IF(CTP=1,WORKDAY(上海期货交易所!E243,-1,Holiday)+1,WORKDAY(上海期货交易所!E243,0-全局参数,Holiday))</f>
        <v>42551</v>
      </c>
      <c r="F243" s="11">
        <f ca="1">IF(CTP=1,WORKDAY(上海期货交易所!F243,-1,Holiday)+1,WORKDAY(上海期货交易所!F243,0-全局参数,Holiday))</f>
        <v>42563</v>
      </c>
      <c r="G243" s="18">
        <f t="shared" ca="1" si="56"/>
        <v>42559</v>
      </c>
      <c r="AA243" t="str">
        <f t="shared" ca="1" si="49"/>
        <v/>
      </c>
    </row>
    <row r="244" spans="1:27" x14ac:dyDescent="0.15">
      <c r="A244" s="22" t="str">
        <f t="shared" ca="1" si="57"/>
        <v>Ni1608</v>
      </c>
      <c r="B244" s="12">
        <f t="shared" ca="1" si="54"/>
        <v>42234</v>
      </c>
      <c r="C244" s="12">
        <f t="shared" ca="1" si="55"/>
        <v>42597</v>
      </c>
      <c r="D244" s="12">
        <f ca="1">IF(CTP=1,WORKDAY(上海期货交易所!D244,-1,Holiday)+1,WORKDAY(上海期货交易所!D244,0-全局参数,Holiday))</f>
        <v>42551</v>
      </c>
      <c r="E244" s="12">
        <f ca="1">IF(CTP=1,WORKDAY(上海期货交易所!E244,-1,Holiday)+1,WORKDAY(上海期货交易所!E244,0-全局参数,Holiday))</f>
        <v>42580</v>
      </c>
      <c r="F244" s="12">
        <f ca="1">IF(CTP=1,WORKDAY(上海期货交易所!F244,-1,Holiday)+1,WORKDAY(上海期货交易所!F244,0-全局参数,Holiday))</f>
        <v>42592</v>
      </c>
      <c r="G244" s="19">
        <f t="shared" ca="1" si="56"/>
        <v>42590</v>
      </c>
      <c r="AA244" t="str">
        <f t="shared" ca="1" si="49"/>
        <v/>
      </c>
    </row>
    <row r="245" spans="1:27" x14ac:dyDescent="0.15">
      <c r="AA245" t="str">
        <f t="shared" ca="1" si="49"/>
        <v/>
      </c>
    </row>
    <row r="246" spans="1:27" x14ac:dyDescent="0.15">
      <c r="AA246" t="str">
        <f t="shared" ca="1" si="49"/>
        <v/>
      </c>
    </row>
    <row r="247" spans="1:27" x14ac:dyDescent="0.15">
      <c r="A247" s="48" t="str">
        <f>"锡Sn"&amp;TEXT(锡Sn,"#%")</f>
        <v>锡Sn5%</v>
      </c>
      <c r="B247" s="49"/>
      <c r="C247" s="49"/>
      <c r="D247" s="49"/>
      <c r="E247" s="49"/>
      <c r="F247" s="49"/>
      <c r="G247" s="50"/>
      <c r="AA247" t="str">
        <f t="shared" ca="1" si="49"/>
        <v/>
      </c>
    </row>
    <row r="248" spans="1:27" ht="17.25" thickBot="1" x14ac:dyDescent="0.2">
      <c r="A248" s="20"/>
      <c r="B248" s="33" t="s">
        <v>46</v>
      </c>
      <c r="C248" s="33" t="s">
        <v>1</v>
      </c>
      <c r="D248" s="10">
        <v>0.1</v>
      </c>
      <c r="E248" s="10">
        <v>0.15</v>
      </c>
      <c r="F248" s="10">
        <v>0.2</v>
      </c>
      <c r="G248" s="20" t="s">
        <v>73</v>
      </c>
      <c r="AA248" t="str">
        <f t="shared" ca="1" si="49"/>
        <v/>
      </c>
    </row>
    <row r="249" spans="1:27" x14ac:dyDescent="0.15">
      <c r="A249" s="21" t="str">
        <f ca="1">"Sn"&amp;IF(TODAY()&lt;=DATE(2015,7,15),TEXT(DATE(2015,7,15),"yymm"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Sn1507</v>
      </c>
      <c r="B249" s="11">
        <f t="shared" ref="B249:B262" ca="1" si="58">IF(RIGHT(A249,4)-1603&lt;=0,DATE(2015,3,27),WORKDAY(IF(NETWORKDAYS(DATE("20"&amp;(MID(A249,LEN(A249)-3,2)-1),RIGHT(A249,2),IF(RIGHT(A249,4)="1201","13","15")),DATE("20"&amp;(MID(A249,LEN(A249)-3,2)-1),RIGHT(A249,2),IF(RIGHT(A249,4)="1201","13","15")),Holiday)=0,WORKDAY(DATE("20"&amp;(MID(A249,LEN(A249)-3,2)-1),RIGHT(A249,2),IF(RIGHT(A249,4)="1201","13","15")),1,Holiday),DATE("20"&amp;(MID(A249,LEN(A249)-3,2)-1),RIGHT(A249,2),IF(RIGHT(A249,4)="1201","13","15"))),1,Holiday))</f>
        <v>42090</v>
      </c>
      <c r="C249" s="11">
        <f t="shared" ref="C249:C262" ca="1" si="59">IF(RIGHT(A249,4)="1502",DATE(2015,2,10),IF(NETWORKDAYS(DATE("20"&amp;MID(A249,LEN(A249)-3,2),RIGHT(A249,2),IF(RIGHT(A249,4)="1201","13","15")),DATE("20"&amp;MID(A249,LEN(A249)-3,2),RIGHT(A249,2),IF(RIGHT(A249,4)="1201","13","15")),Holiday)=0,WORKDAY(DATE("20"&amp;MID(A249,LEN(A249)-3,2),RIGHT(A249,2),IF(RIGHT(A249,4)="1201","13","15")),1,Holiday),DATE("20"&amp;MID(A249,LEN(A249)-3,2),RIGHT(A249,2),IF(RIGHT(A249,4)="1201","13","15"))))</f>
        <v>42200</v>
      </c>
      <c r="D249" s="11">
        <f ca="1">IF(CTP=1,WORKDAY(上海期货交易所!D249,-1,Holiday)+1,WORKDAY(上海期货交易所!D249,0-全局参数,Holiday))</f>
        <v>42153</v>
      </c>
      <c r="E249" s="11">
        <f ca="1">IF(CTP=1,WORKDAY(上海期货交易所!E249,-1,Holiday)+1,WORKDAY(上海期货交易所!E249,0-全局参数,Holiday))</f>
        <v>42185</v>
      </c>
      <c r="F249" s="11">
        <f ca="1">IF(CTP=1,WORKDAY(上海期货交易所!F249,-1,Holiday)+1,WORKDAY(上海期货交易所!F249,0-全局参数,Holiday))</f>
        <v>42195</v>
      </c>
      <c r="G249" s="18">
        <f t="shared" ref="G249:G262" ca="1" si="60">WORKDAY(C249,-5,Holiday)</f>
        <v>42193</v>
      </c>
      <c r="AA249" t="str">
        <f t="shared" ca="1" si="49"/>
        <v/>
      </c>
    </row>
    <row r="250" spans="1:27" x14ac:dyDescent="0.15">
      <c r="A250" s="22" t="str">
        <f ca="1">"Sn"&amp;TEXT(DATE("20"&amp;MID(A249,LEN(A249)-3,2),RIGHT(A249,2)+1,"15"),"yymm")</f>
        <v>Sn1508</v>
      </c>
      <c r="B250" s="12">
        <f t="shared" ca="1" si="58"/>
        <v>42090</v>
      </c>
      <c r="C250" s="12">
        <f t="shared" ca="1" si="59"/>
        <v>42233</v>
      </c>
      <c r="D250" s="12">
        <f ca="1">IF(CTP=1,WORKDAY(上海期货交易所!D250,-1,Holiday)+1,WORKDAY(上海期货交易所!D250,0-全局参数,Holiday))</f>
        <v>42185</v>
      </c>
      <c r="E250" s="12">
        <f ca="1">IF(CTP=1,WORKDAY(上海期货交易所!E250,-1,Holiday)+1,WORKDAY(上海期货交易所!E250,0-全局参数,Holiday))</f>
        <v>42216</v>
      </c>
      <c r="F250" s="12">
        <f ca="1">IF(CTP=1,WORKDAY(上海期货交易所!F250,-1,Holiday)+1,WORKDAY(上海期货交易所!F250,0-全局参数,Holiday))</f>
        <v>42228</v>
      </c>
      <c r="G250" s="19">
        <f t="shared" ca="1" si="60"/>
        <v>42226</v>
      </c>
      <c r="AA250" t="str">
        <f t="shared" ca="1" si="49"/>
        <v/>
      </c>
    </row>
    <row r="251" spans="1:27" x14ac:dyDescent="0.15">
      <c r="A251" s="21" t="str">
        <f t="shared" ref="A251:A262" ca="1" si="61">"Sn"&amp;TEXT(DATE("20"&amp;MID(A250,LEN(A250)-3,2),RIGHT(A250,2)+1,"15"),"yymm")</f>
        <v>Sn1509</v>
      </c>
      <c r="B251" s="11">
        <f t="shared" ca="1" si="58"/>
        <v>42090</v>
      </c>
      <c r="C251" s="11">
        <f t="shared" ca="1" si="59"/>
        <v>42262</v>
      </c>
      <c r="D251" s="11">
        <f ca="1">IF(CTP=1,WORKDAY(上海期货交易所!D251,-1,Holiday)+1,WORKDAY(上海期货交易所!D251,0-全局参数,Holiday))</f>
        <v>42216</v>
      </c>
      <c r="E251" s="11">
        <f ca="1">IF(CTP=1,WORKDAY(上海期货交易所!E251,-1,Holiday)+1,WORKDAY(上海期货交易所!E251,0-全局参数,Holiday))</f>
        <v>42247</v>
      </c>
      <c r="F251" s="11">
        <f ca="1">IF(CTP=1,WORKDAY(上海期货交易所!F251,-1,Holiday)+1,WORKDAY(上海期货交易所!F251,0-全局参数,Holiday))</f>
        <v>42257</v>
      </c>
      <c r="G251" s="18">
        <f t="shared" ca="1" si="60"/>
        <v>42255</v>
      </c>
      <c r="AA251" t="str">
        <f t="shared" ca="1" si="49"/>
        <v/>
      </c>
    </row>
    <row r="252" spans="1:27" x14ac:dyDescent="0.15">
      <c r="A252" s="22" t="str">
        <f t="shared" ca="1" si="61"/>
        <v>Sn1510</v>
      </c>
      <c r="B252" s="12">
        <f t="shared" ca="1" si="58"/>
        <v>42090</v>
      </c>
      <c r="C252" s="12">
        <f t="shared" ca="1" si="59"/>
        <v>42292</v>
      </c>
      <c r="D252" s="12">
        <f ca="1">IF(CTP=1,WORKDAY(上海期货交易所!D252,-1,Holiday)+1,WORKDAY(上海期货交易所!D252,0-全局参数,Holiday))</f>
        <v>42247</v>
      </c>
      <c r="E252" s="12">
        <f ca="1">IF(CTP=1,WORKDAY(上海期货交易所!E252,-1,Holiday)+1,WORKDAY(上海期货交易所!E252,0-全局参数,Holiday))</f>
        <v>42277</v>
      </c>
      <c r="F252" s="12">
        <f ca="1">IF(CTP=1,WORKDAY(上海期货交易所!F252,-1,Holiday)+1,WORKDAY(上海期货交易所!F252,0-全局参数,Holiday))</f>
        <v>42289</v>
      </c>
      <c r="G252" s="19">
        <f t="shared" ca="1" si="60"/>
        <v>42285</v>
      </c>
      <c r="AA252" t="str">
        <f t="shared" ca="1" si="49"/>
        <v/>
      </c>
    </row>
    <row r="253" spans="1:27" x14ac:dyDescent="0.15">
      <c r="A253" s="21" t="str">
        <f t="shared" ca="1" si="61"/>
        <v>Sn1511</v>
      </c>
      <c r="B253" s="11">
        <f t="shared" ca="1" si="58"/>
        <v>42090</v>
      </c>
      <c r="C253" s="11">
        <f t="shared" ca="1" si="59"/>
        <v>42324</v>
      </c>
      <c r="D253" s="11">
        <f ca="1">IF(CTP=1,WORKDAY(上海期货交易所!D253,-1,Holiday)+1,WORKDAY(上海期货交易所!D253,0-全局参数,Holiday))</f>
        <v>42277</v>
      </c>
      <c r="E253" s="11">
        <f ca="1">IF(CTP=1,WORKDAY(上海期货交易所!E253,-1,Holiday)+1,WORKDAY(上海期货交易所!E253,0-全局参数,Holiday))</f>
        <v>42307</v>
      </c>
      <c r="F253" s="11">
        <f ca="1">IF(CTP=1,WORKDAY(上海期货交易所!F253,-1,Holiday)+1,WORKDAY(上海期货交易所!F253,0-全局参数,Holiday))</f>
        <v>42319</v>
      </c>
      <c r="G253" s="18">
        <f t="shared" ca="1" si="60"/>
        <v>42317</v>
      </c>
      <c r="AA253" t="str">
        <f t="shared" ca="1" si="49"/>
        <v/>
      </c>
    </row>
    <row r="254" spans="1:27" x14ac:dyDescent="0.15">
      <c r="A254" s="22" t="str">
        <f t="shared" ca="1" si="61"/>
        <v>Sn1512</v>
      </c>
      <c r="B254" s="12">
        <f t="shared" ca="1" si="58"/>
        <v>42090</v>
      </c>
      <c r="C254" s="12">
        <f t="shared" ca="1" si="59"/>
        <v>42353</v>
      </c>
      <c r="D254" s="12">
        <f ca="1">IF(CTP=1,WORKDAY(上海期货交易所!D254,-1,Holiday)+1,WORKDAY(上海期货交易所!D254,0-全局参数,Holiday))</f>
        <v>42307</v>
      </c>
      <c r="E254" s="12">
        <f ca="1">IF(CTP=1,WORKDAY(上海期货交易所!E254,-1,Holiday)+1,WORKDAY(上海期货交易所!E254,0-全局参数,Holiday))</f>
        <v>42338</v>
      </c>
      <c r="F254" s="12">
        <f ca="1">IF(CTP=1,WORKDAY(上海期货交易所!F254,-1,Holiday)+1,WORKDAY(上海期货交易所!F254,0-全局参数,Holiday))</f>
        <v>42348</v>
      </c>
      <c r="G254" s="19">
        <f t="shared" ca="1" si="60"/>
        <v>42346</v>
      </c>
      <c r="AA254" t="str">
        <f t="shared" ca="1" si="49"/>
        <v/>
      </c>
    </row>
    <row r="255" spans="1:27" x14ac:dyDescent="0.15">
      <c r="A255" s="21" t="str">
        <f t="shared" ca="1" si="61"/>
        <v>Sn1601</v>
      </c>
      <c r="B255" s="11">
        <f t="shared" ca="1" si="58"/>
        <v>42090</v>
      </c>
      <c r="C255" s="11">
        <f t="shared" ca="1" si="59"/>
        <v>42384</v>
      </c>
      <c r="D255" s="11">
        <f ca="1">IF(CTP=1,WORKDAY(上海期货交易所!D255,-1,Holiday)+1,WORKDAY(上海期货交易所!D255,0-全局参数,Holiday))</f>
        <v>42338</v>
      </c>
      <c r="E255" s="11">
        <f ca="1">IF(CTP=1,WORKDAY(上海期货交易所!E255,-1,Holiday)+1,WORKDAY(上海期货交易所!E255,0-全局参数,Holiday))</f>
        <v>42369</v>
      </c>
      <c r="F255" s="11">
        <f ca="1">IF(CTP=1,WORKDAY(上海期货交易所!F255,-1,Holiday)+1,WORKDAY(上海期货交易所!F255,0-全局参数,Holiday))</f>
        <v>42381</v>
      </c>
      <c r="G255" s="18">
        <f t="shared" ca="1" si="60"/>
        <v>42377</v>
      </c>
      <c r="AA255" t="str">
        <f t="shared" ca="1" si="49"/>
        <v/>
      </c>
    </row>
    <row r="256" spans="1:27" x14ac:dyDescent="0.15">
      <c r="A256" s="22" t="str">
        <f t="shared" ca="1" si="61"/>
        <v>Sn1602</v>
      </c>
      <c r="B256" s="12">
        <f t="shared" ca="1" si="58"/>
        <v>42090</v>
      </c>
      <c r="C256" s="12">
        <f t="shared" ca="1" si="59"/>
        <v>42415</v>
      </c>
      <c r="D256" s="12">
        <f ca="1">IF(CTP=1,WORKDAY(上海期货交易所!D256,-1,Holiday)+1,WORKDAY(上海期货交易所!D256,0-全局参数,Holiday))</f>
        <v>42369</v>
      </c>
      <c r="E256" s="12">
        <f ca="1">IF(CTP=1,WORKDAY(上海期货交易所!E256,-1,Holiday)+1,WORKDAY(上海期货交易所!E256,0-全局参数,Holiday))</f>
        <v>42398</v>
      </c>
      <c r="F256" s="12">
        <f ca="1">IF(CTP=1,WORKDAY(上海期货交易所!F256,-1,Holiday)+1,WORKDAY(上海期货交易所!F256,0-全局参数,Holiday))</f>
        <v>42410</v>
      </c>
      <c r="G256" s="19">
        <f t="shared" ca="1" si="60"/>
        <v>42408</v>
      </c>
      <c r="AA256" t="str">
        <f t="shared" ca="1" si="49"/>
        <v/>
      </c>
    </row>
    <row r="257" spans="1:27" x14ac:dyDescent="0.15">
      <c r="A257" s="21" t="str">
        <f t="shared" ca="1" si="61"/>
        <v>Sn1603</v>
      </c>
      <c r="B257" s="11">
        <f t="shared" ca="1" si="58"/>
        <v>42090</v>
      </c>
      <c r="C257" s="11">
        <f t="shared" ca="1" si="59"/>
        <v>42444</v>
      </c>
      <c r="D257" s="11">
        <f ca="1">IF(CTP=1,WORKDAY(上海期货交易所!D257,-1,Holiday)+1,WORKDAY(上海期货交易所!D257,0-全局参数,Holiday))</f>
        <v>42398</v>
      </c>
      <c r="E257" s="11">
        <f ca="1">IF(CTP=1,WORKDAY(上海期货交易所!E257,-1,Holiday)+1,WORKDAY(上海期货交易所!E257,0-全局参数,Holiday))</f>
        <v>42429</v>
      </c>
      <c r="F257" s="11">
        <f ca="1">IF(CTP=1,WORKDAY(上海期货交易所!F257,-1,Holiday)+1,WORKDAY(上海期货交易所!F257,0-全局参数,Holiday))</f>
        <v>42439</v>
      </c>
      <c r="G257" s="18">
        <f t="shared" ca="1" si="60"/>
        <v>42437</v>
      </c>
      <c r="AA257" t="str">
        <f t="shared" ca="1" si="49"/>
        <v/>
      </c>
    </row>
    <row r="258" spans="1:27" x14ac:dyDescent="0.15">
      <c r="A258" s="22" t="str">
        <f t="shared" ca="1" si="61"/>
        <v>Sn1604</v>
      </c>
      <c r="B258" s="12">
        <f t="shared" ca="1" si="58"/>
        <v>42110</v>
      </c>
      <c r="C258" s="12">
        <f t="shared" ca="1" si="59"/>
        <v>42475</v>
      </c>
      <c r="D258" s="12">
        <f ca="1">IF(CTP=1,WORKDAY(上海期货交易所!D258,-1,Holiday)+1,WORKDAY(上海期货交易所!D258,0-全局参数,Holiday))</f>
        <v>42429</v>
      </c>
      <c r="E258" s="12">
        <f ca="1">IF(CTP=1,WORKDAY(上海期货交易所!E258,-1,Holiday)+1,WORKDAY(上海期货交易所!E258,0-全局参数,Holiday))</f>
        <v>42460</v>
      </c>
      <c r="F258" s="12">
        <f ca="1">IF(CTP=1,WORKDAY(上海期货交易所!F258,-1,Holiday)+1,WORKDAY(上海期货交易所!F258,0-全局参数,Holiday))</f>
        <v>42472</v>
      </c>
      <c r="G258" s="19">
        <f t="shared" ca="1" si="60"/>
        <v>42468</v>
      </c>
      <c r="AA258" t="str">
        <f t="shared" ca="1" si="49"/>
        <v/>
      </c>
    </row>
    <row r="259" spans="1:27" x14ac:dyDescent="0.15">
      <c r="A259" s="21" t="str">
        <f t="shared" ca="1" si="61"/>
        <v>Sn1605</v>
      </c>
      <c r="B259" s="11">
        <f t="shared" ca="1" si="58"/>
        <v>42142</v>
      </c>
      <c r="C259" s="11">
        <f t="shared" ca="1" si="59"/>
        <v>42506</v>
      </c>
      <c r="D259" s="11">
        <f ca="1">IF(CTP=1,WORKDAY(上海期货交易所!D259,-1,Holiday)+1,WORKDAY(上海期货交易所!D259,0-全局参数,Holiday))</f>
        <v>42460</v>
      </c>
      <c r="E259" s="11">
        <f ca="1">IF(CTP=1,WORKDAY(上海期货交易所!E259,-1,Holiday)+1,WORKDAY(上海期货交易所!E259,0-全局参数,Holiday))</f>
        <v>42489</v>
      </c>
      <c r="F259" s="11">
        <f ca="1">IF(CTP=1,WORKDAY(上海期货交易所!F259,-1,Holiday)+1,WORKDAY(上海期货交易所!F259,0-全局参数,Holiday))</f>
        <v>42501</v>
      </c>
      <c r="G259" s="18">
        <f t="shared" ca="1" si="60"/>
        <v>42499</v>
      </c>
      <c r="AA259" t="str">
        <f t="shared" ca="1" si="49"/>
        <v/>
      </c>
    </row>
    <row r="260" spans="1:27" x14ac:dyDescent="0.15">
      <c r="A260" s="22" t="str">
        <f t="shared" ca="1" si="61"/>
        <v>Sn1606</v>
      </c>
      <c r="B260" s="12">
        <f t="shared" ca="1" si="58"/>
        <v>42171</v>
      </c>
      <c r="C260" s="12">
        <f t="shared" ca="1" si="59"/>
        <v>42536</v>
      </c>
      <c r="D260" s="12">
        <f ca="1">IF(CTP=1,WORKDAY(上海期货交易所!D260,-1,Holiday)+1,WORKDAY(上海期货交易所!D260,0-全局参数,Holiday))</f>
        <v>42489</v>
      </c>
      <c r="E260" s="12">
        <f ca="1">IF(CTP=1,WORKDAY(上海期货交易所!E260,-1,Holiday)+1,WORKDAY(上海期货交易所!E260,0-全局参数,Holiday))</f>
        <v>42521</v>
      </c>
      <c r="F260" s="12">
        <f ca="1">IF(CTP=1,WORKDAY(上海期货交易所!F260,-1,Holiday)+1,WORKDAY(上海期货交易所!F260,0-全局参数,Holiday))</f>
        <v>42531</v>
      </c>
      <c r="G260" s="19">
        <f t="shared" ca="1" si="60"/>
        <v>42529</v>
      </c>
      <c r="AA260" t="str">
        <f t="shared" ref="AA260:AA262" ca="1" si="62">IFERROR(IF(AND(B260+0&gt;TODAY(),B260+0&lt;DATE(YEAR(TODAY()),MONTH(TODAY())+1,DAY(TODAY()))),ROW(),""),"")</f>
        <v/>
      </c>
    </row>
    <row r="261" spans="1:27" x14ac:dyDescent="0.15">
      <c r="A261" s="21" t="str">
        <f t="shared" ca="1" si="61"/>
        <v>Sn1607</v>
      </c>
      <c r="B261" s="11">
        <f t="shared" ca="1" si="58"/>
        <v>42201</v>
      </c>
      <c r="C261" s="11">
        <f t="shared" ca="1" si="59"/>
        <v>42566</v>
      </c>
      <c r="D261" s="11">
        <f ca="1">IF(CTP=1,WORKDAY(上海期货交易所!D261,-1,Holiday)+1,WORKDAY(上海期货交易所!D261,0-全局参数,Holiday))</f>
        <v>42521</v>
      </c>
      <c r="E261" s="11">
        <f ca="1">IF(CTP=1,WORKDAY(上海期货交易所!E261,-1,Holiday)+1,WORKDAY(上海期货交易所!E261,0-全局参数,Holiday))</f>
        <v>42551</v>
      </c>
      <c r="F261" s="11">
        <f ca="1">IF(CTP=1,WORKDAY(上海期货交易所!F261,-1,Holiday)+1,WORKDAY(上海期货交易所!F261,0-全局参数,Holiday))</f>
        <v>42563</v>
      </c>
      <c r="G261" s="18">
        <f t="shared" ca="1" si="60"/>
        <v>42559</v>
      </c>
      <c r="AA261" t="str">
        <f t="shared" ca="1" si="62"/>
        <v/>
      </c>
    </row>
    <row r="262" spans="1:27" x14ac:dyDescent="0.15">
      <c r="A262" s="22" t="str">
        <f t="shared" ca="1" si="61"/>
        <v>Sn1608</v>
      </c>
      <c r="B262" s="12">
        <f t="shared" ca="1" si="58"/>
        <v>42234</v>
      </c>
      <c r="C262" s="12">
        <f t="shared" ca="1" si="59"/>
        <v>42597</v>
      </c>
      <c r="D262" s="12">
        <f ca="1">IF(CTP=1,WORKDAY(上海期货交易所!D262,-1,Holiday)+1,WORKDAY(上海期货交易所!D262,0-全局参数,Holiday))</f>
        <v>42551</v>
      </c>
      <c r="E262" s="12">
        <f ca="1">IF(CTP=1,WORKDAY(上海期货交易所!E262,-1,Holiday)+1,WORKDAY(上海期货交易所!E262,0-全局参数,Holiday))</f>
        <v>42580</v>
      </c>
      <c r="F262" s="12">
        <f ca="1">IF(CTP=1,WORKDAY(上海期货交易所!F262,-1,Holiday)+1,WORKDAY(上海期货交易所!F262,0-全局参数,Holiday))</f>
        <v>42592</v>
      </c>
      <c r="G262" s="19">
        <f t="shared" ca="1" si="60"/>
        <v>42590</v>
      </c>
      <c r="AA262" t="str">
        <f t="shared" ca="1" si="62"/>
        <v/>
      </c>
    </row>
  </sheetData>
  <sheetProtection selectLockedCells="1" selectUnlockedCells="1"/>
  <mergeCells count="14">
    <mergeCell ref="A1:G1"/>
    <mergeCell ref="A19:G19"/>
    <mergeCell ref="A37:G37"/>
    <mergeCell ref="A55:G55"/>
    <mergeCell ref="A73:G73"/>
    <mergeCell ref="A229:G229"/>
    <mergeCell ref="A247:G247"/>
    <mergeCell ref="A211:G211"/>
    <mergeCell ref="A181:G181"/>
    <mergeCell ref="A93:G93"/>
    <mergeCell ref="A109:G109"/>
    <mergeCell ref="A127:G127"/>
    <mergeCell ref="A145:G145"/>
    <mergeCell ref="A163:G163"/>
  </mergeCells>
  <phoneticPr fontId="1" type="noConversion"/>
  <conditionalFormatting sqref="D165:F178">
    <cfRule type="iconSet" priority="129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72 C3:C16 C21:C34 C39:C52 C57:C70 C95:C106 C111:C124 C129:C142 C147:C160 C74:C92">
    <cfRule type="iconSet" priority="154">
      <iconSet iconSet="3Symbols2">
        <cfvo type="percent" val="0"/>
        <cfvo type="num" val="VALUE(DATE(YEAR(TODAY()),MONTH(TODAY()),DAY(TODAY())))"/>
        <cfvo type="num" val="VALUE(DATE(YEAR(TODAY()),MONTH(TODAY()),DAY(TODAY())))+15" gte="0"/>
      </iconSet>
    </cfRule>
  </conditionalFormatting>
  <conditionalFormatting sqref="C165:C178">
    <cfRule type="iconSet" priority="165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3:B16">
    <cfRule type="iconSet" priority="9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21:B34">
    <cfRule type="iconSet" priority="96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39:B52">
    <cfRule type="iconSet" priority="9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57:B70">
    <cfRule type="iconSet" priority="94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75:B90">
    <cfRule type="iconSet" priority="9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95:B106">
    <cfRule type="iconSet" priority="92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11:B124">
    <cfRule type="iconSet" priority="9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29:B142">
    <cfRule type="iconSet" priority="90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47:B160">
    <cfRule type="iconSet" priority="8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65:B178">
    <cfRule type="iconSet" priority="88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3:F16 D21:F34 D39:F52 D57:F70 D95:F106 D111:F124 D129:F142 D147:F160 D165:F178 D75:F90">
    <cfRule type="cellIs" dxfId="78" priority="217" operator="between">
      <formula>WORKDAY(TODAY(),10,Holiday)</formula>
      <formula>WORKDAY(TODAY(),1,Holiday)</formula>
    </cfRule>
    <cfRule type="iconSet" priority="21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83:F196">
    <cfRule type="iconSet" priority="8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83:C196">
    <cfRule type="iconSet" priority="85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83:B196">
    <cfRule type="iconSet" priority="8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83:F196">
    <cfRule type="cellIs" dxfId="77" priority="86" operator="between">
      <formula>WORKDAY(TODAY(),10,Holiday)</formula>
      <formula>WORKDAY(TODAY(),1,Holiday)</formula>
    </cfRule>
    <cfRule type="iconSet" priority="87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97:F208">
    <cfRule type="iconSet" priority="79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97:C208">
    <cfRule type="iconSet" priority="8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97:B208">
    <cfRule type="iconSet" priority="78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97:F208">
    <cfRule type="cellIs" dxfId="76" priority="81" operator="between">
      <formula>WORKDAY(TODAY(),10,Holiday)</formula>
      <formula>WORKDAY(TODAY(),1,Holiday)</formula>
    </cfRule>
    <cfRule type="iconSet" priority="8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A3:A16 A21:A34 A39:A52 A57:A70 A111:A124 A129:A142 A165:A178 A75:A90">
    <cfRule type="expression" dxfId="75" priority="75">
      <formula>TODAY()=WORKDAY(WORKDAY(DATE("20"&amp;MID(A3,3,2),RIGHT(A3,2)-3,0),1,Holiday),-1,Holiday)</formula>
    </cfRule>
    <cfRule type="expression" dxfId="74" priority="76">
      <formula>TODAY()&gt;=WORKDAY(DATE("20"&amp;MID(A3,3,2),RIGHT(A3,2)-3,0),1,Holiday)</formula>
    </cfRule>
  </conditionalFormatting>
  <conditionalFormatting sqref="G3:G16">
    <cfRule type="cellIs" dxfId="73" priority="71" operator="between">
      <formula>WORKDAY(TODAY(),10,Holiday)</formula>
      <formula>WORKDAY(TODAY(),1,Holiday)</formula>
    </cfRule>
    <cfRule type="iconSet" priority="7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21:G22">
    <cfRule type="cellIs" dxfId="72" priority="69" operator="between">
      <formula>WORKDAY(TODAY(),10,Holiday)</formula>
      <formula>WORKDAY(TODAY(),1,Holiday)</formula>
    </cfRule>
    <cfRule type="iconSet" priority="7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39:G40">
    <cfRule type="cellIs" dxfId="71" priority="67" operator="between">
      <formula>WORKDAY(TODAY(),10,Holiday)</formula>
      <formula>WORKDAY(TODAY(),1,Holiday)</formula>
    </cfRule>
    <cfRule type="iconSet" priority="6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57:G58">
    <cfRule type="cellIs" dxfId="70" priority="65" operator="between">
      <formula>WORKDAY(TODAY(),10,Holiday)</formula>
      <formula>WORKDAY(TODAY(),1,Holiday)</formula>
    </cfRule>
    <cfRule type="iconSet" priority="6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75:G76">
    <cfRule type="cellIs" dxfId="69" priority="63" operator="between">
      <formula>WORKDAY(TODAY(),10,Holiday)</formula>
      <formula>WORKDAY(TODAY(),1,Holiday)</formula>
    </cfRule>
    <cfRule type="iconSet" priority="6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95:G96">
    <cfRule type="cellIs" dxfId="68" priority="61" operator="between">
      <formula>WORKDAY(TODAY(),10,Holiday)</formula>
      <formula>WORKDAY(TODAY(),1,Holiday)</formula>
    </cfRule>
    <cfRule type="iconSet" priority="6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11:G112">
    <cfRule type="cellIs" dxfId="67" priority="59" operator="between">
      <formula>WORKDAY(TODAY(),10,Holiday)</formula>
      <formula>WORKDAY(TODAY(),1,Holiday)</formula>
    </cfRule>
    <cfRule type="iconSet" priority="6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29:G130">
    <cfRule type="cellIs" dxfId="66" priority="57" operator="between">
      <formula>WORKDAY(TODAY(),10,Holiday)</formula>
      <formula>WORKDAY(TODAY(),1,Holiday)</formula>
    </cfRule>
    <cfRule type="iconSet" priority="5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47:G148">
    <cfRule type="cellIs" dxfId="65" priority="55" operator="between">
      <formula>WORKDAY(TODAY(),10,Holiday)</formula>
      <formula>WORKDAY(TODAY(),1,Holiday)</formula>
    </cfRule>
    <cfRule type="iconSet" priority="5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65:G166">
    <cfRule type="cellIs" dxfId="64" priority="53" operator="between">
      <formula>WORKDAY(TODAY(),10,Holiday)</formula>
      <formula>WORKDAY(TODAY(),1,Holiday)</formula>
    </cfRule>
    <cfRule type="iconSet" priority="5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83:G184">
    <cfRule type="cellIs" dxfId="63" priority="51" operator="between">
      <formula>WORKDAY(TODAY(),10,Holiday)</formula>
      <formula>WORKDAY(TODAY(),1,Holiday)</formula>
    </cfRule>
    <cfRule type="iconSet" priority="5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85:G208">
    <cfRule type="cellIs" dxfId="62" priority="49" operator="between">
      <formula>WORKDAY(TODAY(),10,Holiday)</formula>
      <formula>WORKDAY(TODAY(),1,Holiday)</formula>
    </cfRule>
    <cfRule type="iconSet" priority="5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67:G178">
    <cfRule type="cellIs" dxfId="61" priority="47" operator="between">
      <formula>WORKDAY(TODAY(),10,Holiday)</formula>
      <formula>WORKDAY(TODAY(),1,Holiday)</formula>
    </cfRule>
    <cfRule type="iconSet" priority="4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49:G160">
    <cfRule type="cellIs" dxfId="60" priority="45" operator="between">
      <formula>WORKDAY(TODAY(),10,Holiday)</formula>
      <formula>WORKDAY(TODAY(),1,Holiday)</formula>
    </cfRule>
    <cfRule type="iconSet" priority="4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31:G142">
    <cfRule type="cellIs" dxfId="59" priority="43" operator="between">
      <formula>WORKDAY(TODAY(),10,Holiday)</formula>
      <formula>WORKDAY(TODAY(),1,Holiday)</formula>
    </cfRule>
    <cfRule type="iconSet" priority="4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113:G124">
    <cfRule type="cellIs" dxfId="58" priority="41" operator="between">
      <formula>WORKDAY(TODAY(),10,Holiday)</formula>
      <formula>WORKDAY(TODAY(),1,Holiday)</formula>
    </cfRule>
    <cfRule type="iconSet" priority="4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97:G106">
    <cfRule type="cellIs" dxfId="57" priority="39" operator="between">
      <formula>WORKDAY(TODAY(),10,Holiday)</formula>
      <formula>WORKDAY(TODAY(),1,Holiday)</formula>
    </cfRule>
    <cfRule type="iconSet" priority="4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77:G90">
    <cfRule type="cellIs" dxfId="56" priority="37" operator="between">
      <formula>WORKDAY(TODAY(),10,Holiday)</formula>
      <formula>WORKDAY(TODAY(),1,Holiday)</formula>
    </cfRule>
    <cfRule type="iconSet" priority="3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59:G70">
    <cfRule type="cellIs" dxfId="55" priority="35" operator="between">
      <formula>WORKDAY(TODAY(),10,Holiday)</formula>
      <formula>WORKDAY(TODAY(),1,Holiday)</formula>
    </cfRule>
    <cfRule type="iconSet" priority="3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41:G52">
    <cfRule type="cellIs" dxfId="54" priority="33" operator="between">
      <formula>WORKDAY(TODAY(),10,Holiday)</formula>
      <formula>WORKDAY(TODAY(),1,Holiday)</formula>
    </cfRule>
    <cfRule type="iconSet" priority="3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23:G34">
    <cfRule type="cellIs" dxfId="53" priority="31" operator="between">
      <formula>WORKDAY(TODAY(),10,Holiday)</formula>
      <formula>WORKDAY(TODAY(),1,Holiday)</formula>
    </cfRule>
    <cfRule type="iconSet" priority="3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13:C226">
    <cfRule type="iconSet" priority="28">
      <iconSet iconSet="3Symbols2">
        <cfvo type="percent" val="0"/>
        <cfvo type="num" val="VALUE(DATE(YEAR(TODAY()),MONTH(TODAY()),DAY(TODAY())))"/>
        <cfvo type="num" val="VALUE(DATE(YEAR(TODAY()),MONTH(TODAY()),DAY(TODAY())))+15" gte="0"/>
      </iconSet>
    </cfRule>
  </conditionalFormatting>
  <conditionalFormatting sqref="B213:B226">
    <cfRule type="iconSet" priority="2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13:F226">
    <cfRule type="cellIs" dxfId="52" priority="29" operator="between">
      <formula>WORKDAY(TODAY(),10,Holiday)</formula>
      <formula>WORKDAY(TODAY(),1,Holiday)</formula>
    </cfRule>
    <cfRule type="iconSet" priority="3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A213:A226">
    <cfRule type="expression" dxfId="51" priority="25">
      <formula>TODAY()=WORKDAY(WORKDAY(DATE("20"&amp;MID(A213,3,2),RIGHT(A213,2)-3,0),1,Holiday),-1,Holiday)</formula>
    </cfRule>
    <cfRule type="expression" dxfId="50" priority="26">
      <formula>TODAY()&gt;=WORKDAY(DATE("20"&amp;MID(A213,3,2),RIGHT(A213,2)-3,0),1,Holiday)</formula>
    </cfRule>
  </conditionalFormatting>
  <conditionalFormatting sqref="G213:G214">
    <cfRule type="cellIs" dxfId="49" priority="23" operator="between">
      <formula>WORKDAY(TODAY(),10,Holiday)</formula>
      <formula>WORKDAY(TODAY(),1,Holiday)</formula>
    </cfRule>
    <cfRule type="iconSet" priority="2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215:G226">
    <cfRule type="cellIs" dxfId="48" priority="21" operator="between">
      <formula>WORKDAY(TODAY(),10,Holiday)</formula>
      <formula>WORKDAY(TODAY(),1,Holiday)</formula>
    </cfRule>
    <cfRule type="iconSet" priority="2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31:C244">
    <cfRule type="iconSet" priority="18">
      <iconSet iconSet="3Symbols2">
        <cfvo type="percent" val="0"/>
        <cfvo type="num" val="VALUE(DATE(YEAR(TODAY()),MONTH(TODAY()),DAY(TODAY())))"/>
        <cfvo type="num" val="VALUE(DATE(YEAR(TODAY()),MONTH(TODAY()),DAY(TODAY())))+15" gte="0"/>
      </iconSet>
    </cfRule>
  </conditionalFormatting>
  <conditionalFormatting sqref="B231:B244">
    <cfRule type="iconSet" priority="1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31:F244">
    <cfRule type="cellIs" dxfId="47" priority="19" operator="between">
      <formula>WORKDAY(TODAY(),10,Holiday)</formula>
      <formula>WORKDAY(TODAY(),1,Holiday)</formula>
    </cfRule>
    <cfRule type="iconSet" priority="2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A231:A244">
    <cfRule type="expression" dxfId="46" priority="15">
      <formula>TODAY()=WORKDAY(WORKDAY(DATE("20"&amp;MID(A231,3,2),RIGHT(A231,2)-3,0),1,Holiday),-1,Holiday)</formula>
    </cfRule>
    <cfRule type="expression" dxfId="45" priority="16">
      <formula>TODAY()&gt;=WORKDAY(DATE("20"&amp;MID(A231,3,2),RIGHT(A231,2)-3,0),1,Holiday)</formula>
    </cfRule>
  </conditionalFormatting>
  <conditionalFormatting sqref="G231:G232">
    <cfRule type="cellIs" dxfId="44" priority="13" operator="between">
      <formula>WORKDAY(TODAY(),10,Holiday)</formula>
      <formula>WORKDAY(TODAY(),1,Holiday)</formula>
    </cfRule>
    <cfRule type="iconSet" priority="1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233:G244">
    <cfRule type="cellIs" dxfId="43" priority="11" operator="between">
      <formula>WORKDAY(TODAY(),10,Holiday)</formula>
      <formula>WORKDAY(TODAY(),1,Holiday)</formula>
    </cfRule>
    <cfRule type="iconSet" priority="1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49:C262">
    <cfRule type="iconSet" priority="8">
      <iconSet iconSet="3Symbols2">
        <cfvo type="percent" val="0"/>
        <cfvo type="num" val="VALUE(DATE(YEAR(TODAY()),MONTH(TODAY()),DAY(TODAY())))"/>
        <cfvo type="num" val="VALUE(DATE(YEAR(TODAY()),MONTH(TODAY()),DAY(TODAY())))+15" gte="0"/>
      </iconSet>
    </cfRule>
  </conditionalFormatting>
  <conditionalFormatting sqref="B249:B262">
    <cfRule type="iconSet" priority="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49:F262">
    <cfRule type="cellIs" dxfId="42" priority="9" operator="between">
      <formula>WORKDAY(TODAY(),10,Holiday)</formula>
      <formula>WORKDAY(TODAY(),1,Holiday)</formula>
    </cfRule>
    <cfRule type="iconSet" priority="1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A249:A262">
    <cfRule type="expression" dxfId="41" priority="5">
      <formula>TODAY()=WORKDAY(WORKDAY(DATE("20"&amp;MID(A249,3,2),RIGHT(A249,2)-3,0),1,Holiday),-1,Holiday)</formula>
    </cfRule>
    <cfRule type="expression" dxfId="40" priority="6">
      <formula>TODAY()&gt;=WORKDAY(DATE("20"&amp;MID(A249,3,2),RIGHT(A249,2)-3,0),1,Holiday)</formula>
    </cfRule>
  </conditionalFormatting>
  <conditionalFormatting sqref="G249:G250">
    <cfRule type="cellIs" dxfId="39" priority="3" operator="between">
      <formula>WORKDAY(TODAY(),10,Holiday)</formula>
      <formula>WORKDAY(TODAY(),1,Holiday)</formula>
    </cfRule>
    <cfRule type="iconSet" priority="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G251:G262">
    <cfRule type="cellIs" dxfId="38" priority="1" operator="between">
      <formula>WORKDAY(TODAY(),10,Holiday)</formula>
      <formula>WORKDAY(TODAY(),1,Holiday)</formula>
    </cfRule>
    <cfRule type="iconSet" priority="2">
      <iconSet iconSet="4TrafficLights">
        <cfvo type="percent" val="0"/>
        <cfvo type="num" val="TODAY()"/>
        <cfvo type="num" val="TODAY()+1"/>
        <cfvo type="num" val="TODAY()+1"/>
      </iconSet>
    </cfRule>
  </conditionalFormatting>
  <pageMargins left="0.7" right="0.7" top="0.75" bottom="0.75" header="0.3" footer="0.3"/>
  <pageSetup paperSize="9" orientation="portrait" verticalDpi="0" r:id="rId1"/>
  <legacyDrawing r:id="rId2"/>
  <webPublishItems count="1">
    <webPublishItem id="333" divId="中融汇信期货2012年交保证金参数表_333" sourceType="sheet" destinationFile="C:\Documents and Settings\Administrator\桌面\2012年上期所品种临交割月保证金调整日历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X56"/>
  <sheetViews>
    <sheetView workbookViewId="0">
      <selection activeCell="E34" sqref="E34"/>
    </sheetView>
  </sheetViews>
  <sheetFormatPr defaultRowHeight="13.5" x14ac:dyDescent="0.15"/>
  <cols>
    <col min="1" max="1" width="10.5" bestFit="1" customWidth="1"/>
    <col min="2" max="2" width="13.25" customWidth="1"/>
  </cols>
  <sheetData>
    <row r="1" spans="1:50" x14ac:dyDescent="0.15">
      <c r="A1" s="1">
        <v>40909</v>
      </c>
      <c r="B1" t="s">
        <v>2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</row>
    <row r="2" spans="1:50" x14ac:dyDescent="0.15">
      <c r="A2" s="1">
        <v>40910</v>
      </c>
      <c r="B2" t="s">
        <v>2</v>
      </c>
    </row>
    <row r="3" spans="1:50" x14ac:dyDescent="0.15">
      <c r="A3" s="1">
        <v>40911</v>
      </c>
      <c r="B3" t="s">
        <v>2</v>
      </c>
    </row>
    <row r="4" spans="1:50" x14ac:dyDescent="0.15">
      <c r="A4" s="1">
        <v>40930</v>
      </c>
      <c r="B4" t="s">
        <v>3</v>
      </c>
    </row>
    <row r="5" spans="1:50" x14ac:dyDescent="0.15">
      <c r="A5" s="1">
        <v>40931</v>
      </c>
      <c r="B5" t="s">
        <v>3</v>
      </c>
    </row>
    <row r="6" spans="1:50" x14ac:dyDescent="0.15">
      <c r="A6" s="1">
        <v>40932</v>
      </c>
      <c r="B6" t="s">
        <v>3</v>
      </c>
    </row>
    <row r="7" spans="1:50" x14ac:dyDescent="0.15">
      <c r="A7" s="1">
        <v>40933</v>
      </c>
      <c r="B7" t="s">
        <v>3</v>
      </c>
    </row>
    <row r="8" spans="1:50" x14ac:dyDescent="0.15">
      <c r="A8" s="1">
        <v>40934</v>
      </c>
      <c r="B8" t="s">
        <v>3</v>
      </c>
    </row>
    <row r="9" spans="1:50" x14ac:dyDescent="0.15">
      <c r="A9" s="1">
        <v>40935</v>
      </c>
      <c r="B9" t="s">
        <v>3</v>
      </c>
    </row>
    <row r="10" spans="1:50" x14ac:dyDescent="0.15">
      <c r="A10" s="1">
        <v>40936</v>
      </c>
      <c r="B10" t="s">
        <v>3</v>
      </c>
    </row>
    <row r="11" spans="1:50" x14ac:dyDescent="0.15">
      <c r="A11" s="1">
        <v>41001</v>
      </c>
      <c r="B11" t="s">
        <v>4</v>
      </c>
    </row>
    <row r="12" spans="1:50" x14ac:dyDescent="0.15">
      <c r="A12" s="1">
        <v>41002</v>
      </c>
      <c r="B12" t="s">
        <v>4</v>
      </c>
    </row>
    <row r="13" spans="1:50" x14ac:dyDescent="0.15">
      <c r="A13" s="1">
        <v>41003</v>
      </c>
      <c r="B13" t="s">
        <v>4</v>
      </c>
    </row>
    <row r="14" spans="1:50" x14ac:dyDescent="0.15">
      <c r="A14" s="1">
        <v>41028</v>
      </c>
      <c r="B14" t="s">
        <v>5</v>
      </c>
    </row>
    <row r="15" spans="1:50" x14ac:dyDescent="0.15">
      <c r="A15" s="1">
        <v>41029</v>
      </c>
      <c r="B15" t="s">
        <v>5</v>
      </c>
    </row>
    <row r="16" spans="1:50" x14ac:dyDescent="0.15">
      <c r="A16" s="1">
        <v>41030</v>
      </c>
      <c r="B16" t="s">
        <v>5</v>
      </c>
    </row>
    <row r="17" spans="1:2" x14ac:dyDescent="0.15">
      <c r="A17" s="1">
        <v>41082</v>
      </c>
      <c r="B17" t="s">
        <v>6</v>
      </c>
    </row>
    <row r="18" spans="1:2" x14ac:dyDescent="0.15">
      <c r="A18" s="1">
        <v>41083</v>
      </c>
      <c r="B18" t="s">
        <v>6</v>
      </c>
    </row>
    <row r="19" spans="1:2" x14ac:dyDescent="0.15">
      <c r="A19" s="1">
        <v>41084</v>
      </c>
      <c r="B19" t="s">
        <v>6</v>
      </c>
    </row>
    <row r="20" spans="1:2" x14ac:dyDescent="0.15">
      <c r="A20" s="1">
        <v>41182</v>
      </c>
      <c r="B20" t="s">
        <v>7</v>
      </c>
    </row>
    <row r="21" spans="1:2" x14ac:dyDescent="0.15">
      <c r="A21" s="1">
        <v>41183</v>
      </c>
      <c r="B21" t="s">
        <v>7</v>
      </c>
    </row>
    <row r="22" spans="1:2" x14ac:dyDescent="0.15">
      <c r="A22" s="1">
        <v>41184</v>
      </c>
      <c r="B22" t="s">
        <v>7</v>
      </c>
    </row>
    <row r="23" spans="1:2" x14ac:dyDescent="0.15">
      <c r="A23" s="1">
        <v>41185</v>
      </c>
      <c r="B23" t="s">
        <v>7</v>
      </c>
    </row>
    <row r="24" spans="1:2" x14ac:dyDescent="0.15">
      <c r="A24" s="1">
        <v>41186</v>
      </c>
      <c r="B24" t="s">
        <v>7</v>
      </c>
    </row>
    <row r="25" spans="1:2" x14ac:dyDescent="0.15">
      <c r="A25" s="1">
        <v>41187</v>
      </c>
      <c r="B25" t="s">
        <v>7</v>
      </c>
    </row>
    <row r="26" spans="1:2" x14ac:dyDescent="0.15">
      <c r="A26" s="1">
        <v>41188</v>
      </c>
      <c r="B26" t="s">
        <v>7</v>
      </c>
    </row>
    <row r="27" spans="1:2" x14ac:dyDescent="0.15">
      <c r="A27" s="1">
        <v>41189</v>
      </c>
      <c r="B27" t="s">
        <v>7</v>
      </c>
    </row>
    <row r="28" spans="1:2" x14ac:dyDescent="0.15">
      <c r="A28" s="1">
        <v>41275</v>
      </c>
      <c r="B28" t="s">
        <v>2</v>
      </c>
    </row>
    <row r="29" spans="1:2" x14ac:dyDescent="0.15">
      <c r="A29" s="1">
        <v>41276</v>
      </c>
      <c r="B29" t="s">
        <v>2</v>
      </c>
    </row>
    <row r="30" spans="1:2" x14ac:dyDescent="0.15">
      <c r="A30" s="1">
        <v>41277</v>
      </c>
      <c r="B30" t="s">
        <v>2</v>
      </c>
    </row>
    <row r="31" spans="1:2" x14ac:dyDescent="0.15">
      <c r="A31" s="1">
        <v>41314</v>
      </c>
      <c r="B31" t="s">
        <v>3</v>
      </c>
    </row>
    <row r="32" spans="1:2" x14ac:dyDescent="0.15">
      <c r="A32" s="1">
        <v>41315</v>
      </c>
      <c r="B32" t="s">
        <v>3</v>
      </c>
    </row>
    <row r="33" spans="1:2" x14ac:dyDescent="0.15">
      <c r="A33" s="1">
        <v>41316</v>
      </c>
      <c r="B33" t="s">
        <v>3</v>
      </c>
    </row>
    <row r="34" spans="1:2" x14ac:dyDescent="0.15">
      <c r="A34" s="1">
        <v>41317</v>
      </c>
      <c r="B34" t="s">
        <v>3</v>
      </c>
    </row>
    <row r="35" spans="1:2" x14ac:dyDescent="0.15">
      <c r="A35" s="1">
        <v>41318</v>
      </c>
      <c r="B35" t="s">
        <v>3</v>
      </c>
    </row>
    <row r="36" spans="1:2" x14ac:dyDescent="0.15">
      <c r="A36" s="1">
        <v>41319</v>
      </c>
      <c r="B36" t="s">
        <v>3</v>
      </c>
    </row>
    <row r="37" spans="1:2" x14ac:dyDescent="0.15">
      <c r="A37" s="1">
        <v>41320</v>
      </c>
      <c r="B37" t="s">
        <v>3</v>
      </c>
    </row>
    <row r="38" spans="1:2" x14ac:dyDescent="0.15">
      <c r="A38" s="1">
        <v>41368</v>
      </c>
      <c r="B38" t="s">
        <v>4</v>
      </c>
    </row>
    <row r="39" spans="1:2" x14ac:dyDescent="0.15">
      <c r="A39" s="1">
        <v>41369</v>
      </c>
      <c r="B39" t="s">
        <v>4</v>
      </c>
    </row>
    <row r="40" spans="1:2" x14ac:dyDescent="0.15">
      <c r="A40" s="1">
        <v>41370</v>
      </c>
      <c r="B40" t="s">
        <v>4</v>
      </c>
    </row>
    <row r="41" spans="1:2" x14ac:dyDescent="0.15">
      <c r="A41" s="1">
        <v>41393</v>
      </c>
      <c r="B41" t="s">
        <v>5</v>
      </c>
    </row>
    <row r="42" spans="1:2" x14ac:dyDescent="0.15">
      <c r="A42" s="1">
        <v>41394</v>
      </c>
      <c r="B42" t="s">
        <v>5</v>
      </c>
    </row>
    <row r="43" spans="1:2" x14ac:dyDescent="0.15">
      <c r="A43" s="1">
        <v>41395</v>
      </c>
      <c r="B43" t="s">
        <v>5</v>
      </c>
    </row>
    <row r="44" spans="1:2" x14ac:dyDescent="0.15">
      <c r="A44" s="1">
        <v>41435</v>
      </c>
      <c r="B44" t="s">
        <v>6</v>
      </c>
    </row>
    <row r="45" spans="1:2" x14ac:dyDescent="0.15">
      <c r="A45" s="1">
        <v>41436</v>
      </c>
      <c r="B45" t="s">
        <v>6</v>
      </c>
    </row>
    <row r="46" spans="1:2" x14ac:dyDescent="0.15">
      <c r="A46" s="1">
        <v>41437</v>
      </c>
      <c r="B46" t="s">
        <v>6</v>
      </c>
    </row>
    <row r="47" spans="1:2" x14ac:dyDescent="0.15">
      <c r="A47" s="1">
        <v>41536</v>
      </c>
      <c r="B47" t="s">
        <v>44</v>
      </c>
    </row>
    <row r="48" spans="1:2" x14ac:dyDescent="0.15">
      <c r="A48" s="1">
        <v>41537</v>
      </c>
      <c r="B48" t="s">
        <v>44</v>
      </c>
    </row>
    <row r="49" spans="1:2" x14ac:dyDescent="0.15">
      <c r="A49" s="1">
        <v>41538</v>
      </c>
      <c r="B49" t="s">
        <v>44</v>
      </c>
    </row>
    <row r="50" spans="1:2" x14ac:dyDescent="0.15">
      <c r="A50" s="1">
        <v>41548</v>
      </c>
      <c r="B50" t="s">
        <v>45</v>
      </c>
    </row>
    <row r="51" spans="1:2" x14ac:dyDescent="0.15">
      <c r="A51" s="1">
        <v>41549</v>
      </c>
      <c r="B51" t="s">
        <v>45</v>
      </c>
    </row>
    <row r="52" spans="1:2" x14ac:dyDescent="0.15">
      <c r="A52" s="1">
        <v>41550</v>
      </c>
      <c r="B52" t="s">
        <v>45</v>
      </c>
    </row>
    <row r="53" spans="1:2" x14ac:dyDescent="0.15">
      <c r="A53" s="1">
        <v>41551</v>
      </c>
      <c r="B53" t="s">
        <v>45</v>
      </c>
    </row>
    <row r="54" spans="1:2" x14ac:dyDescent="0.15">
      <c r="A54" s="1">
        <v>41552</v>
      </c>
      <c r="B54" t="s">
        <v>45</v>
      </c>
    </row>
    <row r="55" spans="1:2" x14ac:dyDescent="0.15">
      <c r="A55" s="1">
        <v>41553</v>
      </c>
      <c r="B55" t="s">
        <v>45</v>
      </c>
    </row>
    <row r="56" spans="1:2" x14ac:dyDescent="0.15">
      <c r="A56" s="1">
        <v>41554</v>
      </c>
      <c r="B56" t="s">
        <v>45</v>
      </c>
    </row>
  </sheetData>
  <sheetProtection password="8091" sheet="1" objects="1" scenarios="1" selectLockedCells="1" selectUnlockedCells="1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2"/>
  <sheetViews>
    <sheetView topLeftCell="B1" zoomScale="110" zoomScaleNormal="110" workbookViewId="0">
      <selection activeCell="Q19" sqref="Q19"/>
    </sheetView>
  </sheetViews>
  <sheetFormatPr defaultRowHeight="16.5" x14ac:dyDescent="0.15"/>
  <cols>
    <col min="1" max="3" width="10.625" style="7" customWidth="1"/>
    <col min="4" max="4" width="3.25" style="7" customWidth="1"/>
    <col min="5" max="5" width="10.625" style="7" customWidth="1"/>
    <col min="6" max="6" width="10.75" style="7" bestFit="1" customWidth="1"/>
    <col min="7" max="7" width="11.875" style="7" bestFit="1" customWidth="1"/>
    <col min="8" max="8" width="3.25" style="7" customWidth="1"/>
    <col min="9" max="11" width="10.625" style="7" customWidth="1"/>
    <col min="12" max="12" width="3.5" style="7" customWidth="1"/>
    <col min="13" max="15" width="10.625" style="7" customWidth="1"/>
    <col min="16" max="16384" width="9" style="7"/>
  </cols>
  <sheetData>
    <row r="1" spans="1:15" x14ac:dyDescent="0.15">
      <c r="A1" s="55" t="s">
        <v>81</v>
      </c>
      <c r="B1" s="55"/>
      <c r="C1" s="55"/>
      <c r="E1" s="55" t="s">
        <v>85</v>
      </c>
      <c r="F1" s="55"/>
      <c r="G1" s="55"/>
      <c r="I1" s="55" t="s">
        <v>86</v>
      </c>
      <c r="J1" s="55"/>
      <c r="K1" s="55"/>
      <c r="M1" s="55" t="s">
        <v>87</v>
      </c>
      <c r="N1" s="55"/>
      <c r="O1" s="55"/>
    </row>
    <row r="2" spans="1:15" x14ac:dyDescent="0.15">
      <c r="A2" s="44" t="s">
        <v>80</v>
      </c>
      <c r="B2" s="45" t="s">
        <v>78</v>
      </c>
      <c r="C2" s="45" t="s">
        <v>79</v>
      </c>
      <c r="E2" s="22" t="s">
        <v>80</v>
      </c>
      <c r="F2" s="39" t="s">
        <v>78</v>
      </c>
      <c r="G2" s="39" t="s">
        <v>79</v>
      </c>
      <c r="I2" s="22" t="s">
        <v>80</v>
      </c>
      <c r="J2" s="39" t="s">
        <v>78</v>
      </c>
      <c r="K2" s="39" t="s">
        <v>79</v>
      </c>
      <c r="M2" s="22" t="s">
        <v>80</v>
      </c>
      <c r="N2" s="39" t="s">
        <v>78</v>
      </c>
      <c r="O2" s="39" t="s">
        <v>79</v>
      </c>
    </row>
    <row r="3" spans="1:15" x14ac:dyDescent="0.15">
      <c r="A3" s="40" t="str">
        <f ca="1">IFERROR(INDEX(上期品种调整!A:A,SMALL(上期品种调整!AA:AA,ROW()-2)),"")</f>
        <v>Fu1607</v>
      </c>
      <c r="B3" s="41">
        <f ca="1">IFERROR(INDEX(上期品种调整!B:B,SMALL(上期品种调整!AA:AA,ROW()-2)),"")</f>
        <v>42186</v>
      </c>
      <c r="C3" s="41">
        <f ca="1">IFERROR(INDEX(上期品种调整!C:C,SMALL(上期品种调整!AA:AA,ROW()-2)),"")</f>
        <v>42551</v>
      </c>
      <c r="E3" s="40" t="str">
        <f ca="1">IFERROR(INDEX(大连品种调整!A:A,SMALL(大连品种调整!AA:AA,ROW()-2)),"")</f>
        <v>A1701</v>
      </c>
      <c r="F3" s="41">
        <f ca="1">IFERROR(INDEX(大连品种调整!B:B,SMALL(大连品种调整!AA:AA,ROW()-2)),"")</f>
        <v>42200</v>
      </c>
      <c r="G3" s="41">
        <f ca="1">IFERROR(INDEX(大连品种调整!C:C,SMALL(大连品种调整!AA:AA,ROW()-2)),"")</f>
        <v>42748</v>
      </c>
      <c r="I3" s="40" t="str">
        <f ca="1">IFERROR(INDEX(郑州品种调整!A:A,SMALL(郑州品种调整!Y:Y,ROW()-2)),"")</f>
        <v>PM1607</v>
      </c>
      <c r="J3" s="41">
        <f ca="1">IFERROR(INDEX(郑州品种调整!B:B,SMALL(郑州品种调整!Y:Y,ROW()-2)),"")</f>
        <v>42200</v>
      </c>
      <c r="K3" s="41">
        <f ca="1">IFERROR(INDEX(郑州品种调整!C:C,SMALL(郑州品种调整!Y:Y,ROW()-2)),"")</f>
        <v>42565</v>
      </c>
      <c r="M3" s="40" t="str">
        <f ca="1">IFERROR(INDEX(中金品种调整!A:A,SMALL(中金品种调整!AA:AA,ROW()-2)),"")</f>
        <v>IF1508</v>
      </c>
      <c r="N3" s="41">
        <f ca="1">IFERROR(INDEX(中金品种调整!B:B,SMALL(中金品种调整!AA:AA,ROW()-2)),"")</f>
        <v>42178</v>
      </c>
      <c r="O3" s="41">
        <f ca="1">IFERROR(INDEX(中金品种调整!C:C,SMALL(中金品种调整!AA:AA,ROW()-2)),"")</f>
        <v>42237</v>
      </c>
    </row>
    <row r="4" spans="1:15" x14ac:dyDescent="0.15">
      <c r="A4" s="42" t="str">
        <f ca="1">IFERROR(INDEX(上期品种调整!A:A,SMALL(上期品种调整!AA:AA,ROW()-2)),"")</f>
        <v/>
      </c>
      <c r="B4" s="43" t="str">
        <f ca="1">IFERROR(INDEX(上期品种调整!B:B,SMALL(上期品种调整!AA:AA,ROW()-2)),"")</f>
        <v/>
      </c>
      <c r="C4" s="43" t="str">
        <f ca="1">IFERROR(INDEX(上期品种调整!C:C,SMALL(上期品种调整!AA:AA,ROW()-2)),"")</f>
        <v/>
      </c>
      <c r="E4" s="42" t="str">
        <f ca="1">IFERROR(INDEX(大连品种调整!A:A,SMALL(大连品种调整!AA:AA,ROW()-2)),"")</f>
        <v>B1607</v>
      </c>
      <c r="F4" s="43">
        <f ca="1">IFERROR(INDEX(大连品种调整!B:B,SMALL(大连品种调整!AA:AA,ROW()-2)),"")</f>
        <v>42200</v>
      </c>
      <c r="G4" s="43">
        <f ca="1">IFERROR(INDEX(大连品种调整!C:C,SMALL(大连品种调整!AA:AA,ROW()-2)),"")</f>
        <v>42565</v>
      </c>
      <c r="I4" s="42" t="str">
        <f ca="1">IFERROR(INDEX(郑州品种调整!A:A,SMALL(郑州品种调整!Y:Y,ROW()-2)),"")</f>
        <v>WH1607</v>
      </c>
      <c r="J4" s="43">
        <f ca="1">IFERROR(INDEX(郑州品种调整!B:B,SMALL(郑州品种调整!Y:Y,ROW()-2)),"")</f>
        <v>42200</v>
      </c>
      <c r="K4" s="43">
        <f ca="1">IFERROR(INDEX(郑州品种调整!C:C,SMALL(郑州品种调整!Y:Y,ROW()-2)),"")</f>
        <v>42565</v>
      </c>
      <c r="M4" s="42" t="str">
        <f ca="1">IFERROR(INDEX(中金品种调整!A:A,SMALL(中金品种调整!AA:AA,ROW()-2)),"")</f>
        <v>IH1508</v>
      </c>
      <c r="N4" s="43">
        <f ca="1">IFERROR(INDEX(中金品种调整!B:B,SMALL(中金品种调整!AA:AA,ROW()-2)),"")</f>
        <v>42178</v>
      </c>
      <c r="O4" s="43">
        <f ca="1">IFERROR(INDEX(中金品种调整!C:C,SMALL(中金品种调整!AA:AA,ROW()-2)),"")</f>
        <v>42237</v>
      </c>
    </row>
    <row r="5" spans="1:15" x14ac:dyDescent="0.15">
      <c r="A5" s="40" t="str">
        <f ca="1">IFERROR(INDEX(上期品种调整!A:A,SMALL(上期品种调整!AA:AA,ROW()-2)),"")</f>
        <v/>
      </c>
      <c r="B5" s="41" t="str">
        <f ca="1">IFERROR(INDEX(上期品种调整!B:B,SMALL(上期品种调整!AA:AA,ROW()-2)),"")</f>
        <v/>
      </c>
      <c r="C5" s="41" t="str">
        <f ca="1">IFERROR(INDEX(上期品种调整!C:C,SMALL(上期品种调整!AA:AA,ROW()-2)),"")</f>
        <v/>
      </c>
      <c r="E5" s="40" t="str">
        <f ca="1">IFERROR(INDEX(大连品种调整!A:A,SMALL(大连品种调整!AA:AA,ROW()-2)),"")</f>
        <v>C1607</v>
      </c>
      <c r="F5" s="41">
        <f ca="1">IFERROR(INDEX(大连品种调整!B:B,SMALL(大连品种调整!AA:AA,ROW()-2)),"")</f>
        <v>42200</v>
      </c>
      <c r="G5" s="41">
        <f ca="1">IFERROR(INDEX(大连品种调整!C:C,SMALL(大连品种调整!AA:AA,ROW()-2)),"")</f>
        <v>42565</v>
      </c>
      <c r="I5" s="40" t="str">
        <f ca="1">IFERROR(INDEX(郑州品种调整!A:A,SMALL(郑州品种调整!Y:Y,ROW()-2)),"")</f>
        <v>RI1607</v>
      </c>
      <c r="J5" s="41">
        <f ca="1">IFERROR(INDEX(郑州品种调整!B:B,SMALL(郑州品种调整!Y:Y,ROW()-2)),"")</f>
        <v>42200</v>
      </c>
      <c r="K5" s="41">
        <f ca="1">IFERROR(INDEX(郑州品种调整!C:C,SMALL(郑州品种调整!Y:Y,ROW()-2)),"")</f>
        <v>42565</v>
      </c>
      <c r="M5" s="40" t="str">
        <f ca="1">IFERROR(INDEX(中金品种调整!A:A,SMALL(中金品种调整!AA:AA,ROW()-2)),"")</f>
        <v>IC1508</v>
      </c>
      <c r="N5" s="41">
        <f ca="1">IFERROR(INDEX(中金品种调整!B:B,SMALL(中金品种调整!AA:AA,ROW()-2)),"")</f>
        <v>42178</v>
      </c>
      <c r="O5" s="41">
        <f ca="1">IFERROR(INDEX(中金品种调整!C:C,SMALL(中金品种调整!AA:AA,ROW()-2)),"")</f>
        <v>42237</v>
      </c>
    </row>
    <row r="6" spans="1:15" x14ac:dyDescent="0.15">
      <c r="A6" s="42" t="str">
        <f ca="1">IFERROR(INDEX(上期品种调整!A:A,SMALL(上期品种调整!AA:AA,ROW()-2)),"")</f>
        <v/>
      </c>
      <c r="B6" s="43" t="str">
        <f ca="1">IFERROR(INDEX(上期品种调整!B:B,SMALL(上期品种调整!AA:AA,ROW()-2)),"")</f>
        <v/>
      </c>
      <c r="C6" s="43" t="str">
        <f ca="1">IFERROR(INDEX(上期品种调整!C:C,SMALL(上期品种调整!AA:AA,ROW()-2)),"")</f>
        <v/>
      </c>
      <c r="E6" s="42" t="str">
        <f ca="1">IFERROR(INDEX(大连品种调整!A:A,SMALL(大连品种调整!AA:AA,ROW()-2)),"")</f>
        <v>CS1607</v>
      </c>
      <c r="F6" s="43">
        <f ca="1">IFERROR(INDEX(大连品种调整!B:B,SMALL(大连品种调整!AA:AA,ROW()-2)),"")</f>
        <v>42200</v>
      </c>
      <c r="G6" s="43">
        <f ca="1">IFERROR(INDEX(大连品种调整!C:C,SMALL(大连品种调整!AA:AA,ROW()-2)),"")</f>
        <v>42565</v>
      </c>
      <c r="I6" s="42" t="str">
        <f ca="1">IFERROR(INDEX(郑州品种调整!A:A,SMALL(郑州品种调整!Y:Y,ROW()-2)),"")</f>
        <v>OI1607</v>
      </c>
      <c r="J6" s="43">
        <f ca="1">IFERROR(INDEX(郑州品种调整!B:B,SMALL(郑州品种调整!Y:Y,ROW()-2)),"")</f>
        <v>42200</v>
      </c>
      <c r="K6" s="43">
        <f ca="1">IFERROR(INDEX(郑州品种调整!C:C,SMALL(郑州品种调整!Y:Y,ROW()-2)),"")</f>
        <v>42565</v>
      </c>
      <c r="M6" s="42" t="str">
        <f ca="1">IFERROR(INDEX(中金品种调整!A:A,SMALL(中金品种调整!AA:AA,ROW()-2)),"")</f>
        <v/>
      </c>
      <c r="N6" s="43" t="str">
        <f ca="1">IFERROR(INDEX(中金品种调整!B:B,SMALL(中金品种调整!AA:AA,ROW()-2)),"")</f>
        <v/>
      </c>
      <c r="O6" s="43" t="str">
        <f ca="1">IFERROR(INDEX(中金品种调整!C:C,SMALL(中金品种调整!AA:AA,ROW()-2)),"")</f>
        <v/>
      </c>
    </row>
    <row r="7" spans="1:15" x14ac:dyDescent="0.15">
      <c r="A7" s="40" t="str">
        <f ca="1">IFERROR(INDEX(上期品种调整!A:A,SMALL(上期品种调整!AA:AA,ROW()-2)),"")</f>
        <v/>
      </c>
      <c r="B7" s="41" t="str">
        <f ca="1">IFERROR(INDEX(上期品种调整!B:B,SMALL(上期品种调整!AA:AA,ROW()-2)),"")</f>
        <v/>
      </c>
      <c r="C7" s="41" t="str">
        <f ca="1">IFERROR(INDEX(上期品种调整!C:C,SMALL(上期品种调整!AA:AA,ROW()-2)),"")</f>
        <v/>
      </c>
      <c r="E7" s="40" t="str">
        <f ca="1">IFERROR(INDEX(大连品种调整!A:A,SMALL(大连品种调整!AA:AA,ROW()-2)),"")</f>
        <v>P1607</v>
      </c>
      <c r="F7" s="41">
        <f ca="1">IFERROR(INDEX(大连品种调整!B:B,SMALL(大连品种调整!AA:AA,ROW()-2)),"")</f>
        <v>42200</v>
      </c>
      <c r="G7" s="41">
        <f ca="1">IFERROR(INDEX(大连品种调整!C:C,SMALL(大连品种调整!AA:AA,ROW()-2)),"")</f>
        <v>42565</v>
      </c>
      <c r="I7" s="40" t="str">
        <f ca="1">IFERROR(INDEX(郑州品种调整!A:A,SMALL(郑州品种调整!Y:Y,ROW()-2)),"")</f>
        <v>CF1607</v>
      </c>
      <c r="J7" s="41">
        <f ca="1">IFERROR(INDEX(郑州品种调整!B:B,SMALL(郑州品种调整!Y:Y,ROW()-2)),"")</f>
        <v>42200</v>
      </c>
      <c r="K7" s="41">
        <f ca="1">IFERROR(INDEX(郑州品种调整!C:C,SMALL(郑州品种调整!Y:Y,ROW()-2)),"")</f>
        <v>42565</v>
      </c>
      <c r="M7" s="40" t="str">
        <f ca="1">IFERROR(INDEX(中金品种调整!A:A,SMALL(中金品种调整!AA:AA,ROW()-2)),"")</f>
        <v/>
      </c>
      <c r="N7" s="41" t="str">
        <f ca="1">IFERROR(INDEX(中金品种调整!B:B,SMALL(中金品种调整!AA:AA,ROW()-2)),"")</f>
        <v/>
      </c>
      <c r="O7" s="41" t="str">
        <f ca="1">IFERROR(INDEX(中金品种调整!C:C,SMALL(中金品种调整!AA:AA,ROW()-2)),"")</f>
        <v/>
      </c>
    </row>
    <row r="8" spans="1:15" x14ac:dyDescent="0.15">
      <c r="A8" s="42" t="str">
        <f ca="1">IFERROR(INDEX(上期品种调整!A:A,SMALL(上期品种调整!AA:AA,ROW()-2)),"")</f>
        <v/>
      </c>
      <c r="B8" s="43" t="str">
        <f ca="1">IFERROR(INDEX(上期品种调整!B:B,SMALL(上期品种调整!AA:AA,ROW()-2)),"")</f>
        <v/>
      </c>
      <c r="C8" s="43" t="str">
        <f ca="1">IFERROR(INDEX(上期品种调整!C:C,SMALL(上期品种调整!AA:AA,ROW()-2)),"")</f>
        <v/>
      </c>
      <c r="E8" s="42" t="str">
        <f ca="1">IFERROR(INDEX(大连品种调整!A:A,SMALL(大连品种调整!AA:AA,ROW()-2)),"")</f>
        <v>L1607</v>
      </c>
      <c r="F8" s="43">
        <f ca="1">IFERROR(INDEX(大连品种调整!B:B,SMALL(大连品种调整!AA:AA,ROW()-2)),"")</f>
        <v>42200</v>
      </c>
      <c r="G8" s="43">
        <f ca="1">IFERROR(INDEX(大连品种调整!C:C,SMALL(大连品种调整!AA:AA,ROW()-2)),"")</f>
        <v>42565</v>
      </c>
      <c r="I8" s="42" t="str">
        <f ca="1">IFERROR(INDEX(郑州品种调整!A:A,SMALL(郑州品种调整!Y:Y,ROW()-2)),"")</f>
        <v>SR1701</v>
      </c>
      <c r="J8" s="43">
        <f ca="1">IFERROR(INDEX(郑州品种调整!B:B,SMALL(郑州品种调整!Y:Y,ROW()-2)),"")</f>
        <v>42200</v>
      </c>
      <c r="K8" s="43">
        <f ca="1">IFERROR(INDEX(郑州品种调整!C:C,SMALL(郑州品种调整!Y:Y,ROW()-2)),"")</f>
        <v>42748</v>
      </c>
      <c r="M8" s="42" t="str">
        <f ca="1">IFERROR(INDEX(中金品种调整!A:A,SMALL(中金品种调整!AA:AA,ROW()-2)),"")</f>
        <v/>
      </c>
      <c r="N8" s="43" t="str">
        <f ca="1">IFERROR(INDEX(中金品种调整!B:B,SMALL(中金品种调整!AA:AA,ROW()-2)),"")</f>
        <v/>
      </c>
      <c r="O8" s="43" t="str">
        <f ca="1">IFERROR(INDEX(中金品种调整!C:C,SMALL(中金品种调整!AA:AA,ROW()-2)),"")</f>
        <v/>
      </c>
    </row>
    <row r="9" spans="1:15" x14ac:dyDescent="0.15">
      <c r="A9" s="40" t="str">
        <f ca="1">IFERROR(INDEX(上期品种调整!A:A,SMALL(上期品种调整!AA:AA,ROW()-2)),"")</f>
        <v/>
      </c>
      <c r="B9" s="41" t="str">
        <f ca="1">IFERROR(INDEX(上期品种调整!B:B,SMALL(上期品种调整!AA:AA,ROW()-2)),"")</f>
        <v/>
      </c>
      <c r="C9" s="41" t="str">
        <f ca="1">IFERROR(INDEX(上期品种调整!C:C,SMALL(上期品种调整!AA:AA,ROW()-2)),"")</f>
        <v/>
      </c>
      <c r="E9" s="40" t="str">
        <f ca="1">IFERROR(INDEX(大连品种调整!A:A,SMALL(大连品种调整!AA:AA,ROW()-2)),"")</f>
        <v>J1607</v>
      </c>
      <c r="F9" s="41">
        <f ca="1">IFERROR(INDEX(大连品种调整!B:B,SMALL(大连品种调整!AA:AA,ROW()-2)),"")</f>
        <v>42200</v>
      </c>
      <c r="G9" s="41">
        <f ca="1">IFERROR(INDEX(大连品种调整!C:C,SMALL(大连品种调整!AA:AA,ROW()-2)),"")</f>
        <v>42565</v>
      </c>
      <c r="I9" s="40" t="str">
        <f ca="1">IFERROR(INDEX(郑州品种调整!A:A,SMALL(郑州品种调整!Y:Y,ROW()-2)),"")</f>
        <v>TA1607</v>
      </c>
      <c r="J9" s="41">
        <f ca="1">IFERROR(INDEX(郑州品种调整!B:B,SMALL(郑州品种调整!Y:Y,ROW()-2)),"")</f>
        <v>42200</v>
      </c>
      <c r="K9" s="41">
        <f ca="1">IFERROR(INDEX(郑州品种调整!C:C,SMALL(郑州品种调整!Y:Y,ROW()-2)),"")</f>
        <v>42565</v>
      </c>
      <c r="M9" s="40" t="str">
        <f ca="1">IFERROR(INDEX(中金品种调整!A:A,SMALL(中金品种调整!AA:AA,ROW()-2)),"")</f>
        <v/>
      </c>
      <c r="N9" s="41" t="str">
        <f ca="1">IFERROR(INDEX(中金品种调整!B:B,SMALL(中金品种调整!AA:AA,ROW()-2)),"")</f>
        <v/>
      </c>
      <c r="O9" s="41" t="str">
        <f ca="1">IFERROR(INDEX(中金品种调整!C:C,SMALL(中金品种调整!AA:AA,ROW()-2)),"")</f>
        <v/>
      </c>
    </row>
    <row r="10" spans="1:15" x14ac:dyDescent="0.15">
      <c r="A10" s="42" t="str">
        <f ca="1">IFERROR(INDEX(上期品种调整!A:A,SMALL(上期品种调整!AA:AA,ROW()-2)),"")</f>
        <v/>
      </c>
      <c r="B10" s="43" t="str">
        <f ca="1">IFERROR(INDEX(上期品种调整!B:B,SMALL(上期品种调整!AA:AA,ROW()-2)),"")</f>
        <v/>
      </c>
      <c r="C10" s="43" t="str">
        <f ca="1">IFERROR(INDEX(上期品种调整!C:C,SMALL(上期品种调整!AA:AA,ROW()-2)),"")</f>
        <v/>
      </c>
      <c r="E10" s="42" t="str">
        <f ca="1">IFERROR(INDEX(大连品种调整!A:A,SMALL(大连品种调整!AA:AA,ROW()-2)),"")</f>
        <v>V1607</v>
      </c>
      <c r="F10" s="43">
        <f ca="1">IFERROR(INDEX(大连品种调整!B:B,SMALL(大连品种调整!AA:AA,ROW()-2)),"")</f>
        <v>42200</v>
      </c>
      <c r="G10" s="43">
        <f ca="1">IFERROR(INDEX(大连品种调整!C:C,SMALL(大连品种调整!AA:AA,ROW()-2)),"")</f>
        <v>42565</v>
      </c>
      <c r="I10" s="42" t="str">
        <f ca="1">IFERROR(INDEX(郑州品种调整!A:A,SMALL(郑州品种调整!Y:Y,ROW()-2)),"")</f>
        <v>MA1607</v>
      </c>
      <c r="J10" s="43">
        <f ca="1">IFERROR(INDEX(郑州品种调整!B:B,SMALL(郑州品种调整!Y:Y,ROW()-2)),"")</f>
        <v>42200</v>
      </c>
      <c r="K10" s="43">
        <f ca="1">IFERROR(INDEX(郑州品种调整!C:C,SMALL(郑州品种调整!Y:Y,ROW()-2)),"")</f>
        <v>42565</v>
      </c>
      <c r="M10" s="42" t="str">
        <f ca="1">IFERROR(INDEX(中金品种调整!A:A,SMALL(中金品种调整!AA:AA,ROW()-2)),"")</f>
        <v/>
      </c>
      <c r="N10" s="43" t="str">
        <f ca="1">IFERROR(INDEX(中金品种调整!B:B,SMALL(中金品种调整!AA:AA,ROW()-2)),"")</f>
        <v/>
      </c>
      <c r="O10" s="43" t="str">
        <f ca="1">IFERROR(INDEX(中金品种调整!C:C,SMALL(中金品种调整!AA:AA,ROW()-2)),"")</f>
        <v/>
      </c>
    </row>
    <row r="11" spans="1:15" x14ac:dyDescent="0.15">
      <c r="A11" s="40" t="str">
        <f ca="1">IFERROR(INDEX(上期品种调整!A:A,SMALL(上期品种调整!AA:AA,ROW()-2)),"")</f>
        <v/>
      </c>
      <c r="B11" s="41" t="str">
        <f ca="1">IFERROR(INDEX(上期品种调整!B:B,SMALL(上期品种调整!AA:AA,ROW()-2)),"")</f>
        <v/>
      </c>
      <c r="C11" s="41" t="str">
        <f ca="1">IFERROR(INDEX(上期品种调整!C:C,SMALL(上期品种调整!AA:AA,ROW()-2)),"")</f>
        <v/>
      </c>
      <c r="E11" s="40" t="str">
        <f ca="1">IFERROR(INDEX(大连品种调整!A:A,SMALL(大连品种调整!AA:AA,ROW()-2)),"")</f>
        <v>M1607</v>
      </c>
      <c r="F11" s="41">
        <f ca="1">IFERROR(INDEX(大连品种调整!B:B,SMALL(大连品种调整!AA:AA,ROW()-2)),"")</f>
        <v>42200</v>
      </c>
      <c r="G11" s="41">
        <f ca="1">IFERROR(INDEX(大连品种调整!C:C,SMALL(大连品种调整!AA:AA,ROW()-2)),"")</f>
        <v>42565</v>
      </c>
      <c r="I11" s="40" t="str">
        <f ca="1">IFERROR(INDEX(郑州品种调整!A:A,SMALL(郑州品种调整!Y:Y,ROW()-2)),"")</f>
        <v>FG1607</v>
      </c>
      <c r="J11" s="41">
        <f ca="1">IFERROR(INDEX(郑州品种调整!B:B,SMALL(郑州品种调整!Y:Y,ROW()-2)),"")</f>
        <v>42200</v>
      </c>
      <c r="K11" s="41">
        <f ca="1">IFERROR(INDEX(郑州品种调整!C:C,SMALL(郑州品种调整!Y:Y,ROW()-2)),"")</f>
        <v>42565</v>
      </c>
      <c r="M11" s="40" t="str">
        <f ca="1">IFERROR(INDEX(中金品种调整!A:A,SMALL(中金品种调整!AA:AA,ROW()-2)),"")</f>
        <v/>
      </c>
      <c r="N11" s="41" t="str">
        <f ca="1">IFERROR(INDEX(中金品种调整!B:B,SMALL(中金品种调整!AA:AA,ROW()-2)),"")</f>
        <v/>
      </c>
      <c r="O11" s="41" t="str">
        <f ca="1">IFERROR(INDEX(中金品种调整!C:C,SMALL(中金品种调整!AA:AA,ROW()-2)),"")</f>
        <v/>
      </c>
    </row>
    <row r="12" spans="1:15" x14ac:dyDescent="0.15">
      <c r="A12" s="42" t="str">
        <f ca="1">IFERROR(INDEX(上期品种调整!A:A,SMALL(上期品种调整!AA:AA,ROW()-2)),"")</f>
        <v/>
      </c>
      <c r="B12" s="43" t="str">
        <f ca="1">IFERROR(INDEX(上期品种调整!B:B,SMALL(上期品种调整!AA:AA,ROW()-2)),"")</f>
        <v/>
      </c>
      <c r="C12" s="43" t="str">
        <f ca="1">IFERROR(INDEX(上期品种调整!C:C,SMALL(上期品种调整!AA:AA,ROW()-2)),"")</f>
        <v/>
      </c>
      <c r="E12" s="42" t="str">
        <f ca="1">IFERROR(INDEX(大连品种调整!A:A,SMALL(大连品种调整!AA:AA,ROW()-2)),"")</f>
        <v>y1607</v>
      </c>
      <c r="F12" s="43">
        <f ca="1">IFERROR(INDEX(大连品种调整!B:B,SMALL(大连品种调整!AA:AA,ROW()-2)),"")</f>
        <v>42200</v>
      </c>
      <c r="G12" s="43">
        <f ca="1">IFERROR(INDEX(大连品种调整!C:C,SMALL(大连品种调整!AA:AA,ROW()-2)),"")</f>
        <v>42565</v>
      </c>
      <c r="I12" s="42" t="str">
        <f ca="1">IFERROR(INDEX(郑州品种调整!A:A,SMALL(郑州品种调整!Y:Y,ROW()-2)),"")</f>
        <v>RS1607</v>
      </c>
      <c r="J12" s="43">
        <f ca="1">IFERROR(INDEX(郑州品种调整!B:B,SMALL(郑州品种调整!Y:Y,ROW()-2)),"")</f>
        <v>42200</v>
      </c>
      <c r="K12" s="43">
        <f ca="1">IFERROR(INDEX(郑州品种调整!C:C,SMALL(郑州品种调整!Y:Y,ROW()-2)),"")</f>
        <v>42565</v>
      </c>
      <c r="M12" s="42" t="str">
        <f ca="1">IFERROR(INDEX(中金品种调整!A:A,SMALL(中金品种调整!AA:AA,ROW()-2)),"")</f>
        <v/>
      </c>
      <c r="N12" s="43" t="str">
        <f ca="1">IFERROR(INDEX(中金品种调整!B:B,SMALL(中金品种调整!AA:AA,ROW()-2)),"")</f>
        <v/>
      </c>
      <c r="O12" s="43" t="str">
        <f ca="1">IFERROR(INDEX(中金品种调整!C:C,SMALL(中金品种调整!AA:AA,ROW()-2)),"")</f>
        <v/>
      </c>
    </row>
    <row r="13" spans="1:15" x14ac:dyDescent="0.15">
      <c r="A13" s="40" t="str">
        <f ca="1">IFERROR(INDEX(上期品种调整!A:A,SMALL(上期品种调整!AA:AA,ROW()-2)),"")</f>
        <v/>
      </c>
      <c r="B13" s="41" t="str">
        <f ca="1">IFERROR(INDEX(上期品种调整!B:B,SMALL(上期品种调整!AA:AA,ROW()-2)),"")</f>
        <v/>
      </c>
      <c r="C13" s="41" t="str">
        <f ca="1">IFERROR(INDEX(上期品种调整!C:C,SMALL(上期品种调整!AA:AA,ROW()-2)),"")</f>
        <v/>
      </c>
      <c r="E13" s="40" t="str">
        <f ca="1">IFERROR(INDEX(大连品种调整!A:A,SMALL(大连品种调整!AA:AA,ROW()-2)),"")</f>
        <v>JM1607</v>
      </c>
      <c r="F13" s="41">
        <f ca="1">IFERROR(INDEX(大连品种调整!B:B,SMALL(大连品种调整!AA:AA,ROW()-2)),"")</f>
        <v>42200</v>
      </c>
      <c r="G13" s="41">
        <f ca="1">IFERROR(INDEX(大连品种调整!C:C,SMALL(大连品种调整!AA:AA,ROW()-2)),"")</f>
        <v>42565</v>
      </c>
      <c r="I13" s="40" t="str">
        <f ca="1">IFERROR(INDEX(郑州品种调整!A:A,SMALL(郑州品种调整!Y:Y,ROW()-2)),"")</f>
        <v>RM1607</v>
      </c>
      <c r="J13" s="41">
        <f ca="1">IFERROR(INDEX(郑州品种调整!B:B,SMALL(郑州品种调整!Y:Y,ROW()-2)),"")</f>
        <v>42200</v>
      </c>
      <c r="K13" s="41">
        <f ca="1">IFERROR(INDEX(郑州品种调整!C:C,SMALL(郑州品种调整!Y:Y,ROW()-2)),"")</f>
        <v>42565</v>
      </c>
      <c r="M13" s="40" t="str">
        <f ca="1">IFERROR(INDEX(中金品种调整!A:A,SMALL(中金品种调整!AA:AA,ROW()-2)),"")</f>
        <v/>
      </c>
      <c r="N13" s="41" t="str">
        <f ca="1">IFERROR(INDEX(中金品种调整!B:B,SMALL(中金品种调整!AA:AA,ROW()-2)),"")</f>
        <v/>
      </c>
      <c r="O13" s="41" t="str">
        <f ca="1">IFERROR(INDEX(中金品种调整!C:C,SMALL(中金品种调整!AA:AA,ROW()-2)),"")</f>
        <v/>
      </c>
    </row>
    <row r="14" spans="1:15" x14ac:dyDescent="0.15">
      <c r="A14" s="42" t="str">
        <f ca="1">IFERROR(INDEX(上期品种调整!A:A,SMALL(上期品种调整!AA:AA,ROW()-2)),"")</f>
        <v/>
      </c>
      <c r="B14" s="43" t="str">
        <f ca="1">IFERROR(INDEX(上期品种调整!B:B,SMALL(上期品种调整!AA:AA,ROW()-2)),"")</f>
        <v/>
      </c>
      <c r="C14" s="43" t="str">
        <f ca="1">IFERROR(INDEX(上期品种调整!C:C,SMALL(上期品种调整!AA:AA,ROW()-2)),"")</f>
        <v/>
      </c>
      <c r="E14" s="42" t="str">
        <f ca="1">IFERROR(INDEX(大连品种调整!A:A,SMALL(大连品种调整!AA:AA,ROW()-2)),"")</f>
        <v>I1607</v>
      </c>
      <c r="F14" s="43">
        <f ca="1">IFERROR(INDEX(大连品种调整!B:B,SMALL(大连品种调整!AA:AA,ROW()-2)),"")</f>
        <v>42200</v>
      </c>
      <c r="G14" s="43">
        <f ca="1">IFERROR(INDEX(大连品种调整!C:C,SMALL(大连品种调整!AA:AA,ROW()-2)),"")</f>
        <v>42565</v>
      </c>
      <c r="I14" s="42" t="str">
        <f ca="1">IFERROR(INDEX(郑州品种调整!A:A,SMALL(郑州品种调整!Y:Y,ROW()-2)),"")</f>
        <v>ZC1607</v>
      </c>
      <c r="J14" s="43">
        <f ca="1">IFERROR(INDEX(郑州品种调整!B:B,SMALL(郑州品种调整!Y:Y,ROW()-2)),"")</f>
        <v>42193</v>
      </c>
      <c r="K14" s="43">
        <f ca="1">IFERROR(INDEX(郑州品种调整!C:C,SMALL(郑州品种调整!Y:Y,ROW()-2)),"")</f>
        <v>42558</v>
      </c>
      <c r="M14" s="42" t="str">
        <f ca="1">IFERROR(INDEX(中金品种调整!A:A,SMALL(中金品种调整!AA:AA,ROW()-2)),"")</f>
        <v/>
      </c>
      <c r="N14" s="43" t="str">
        <f ca="1">IFERROR(INDEX(中金品种调整!B:B,SMALL(中金品种调整!AA:AA,ROW()-2)),"")</f>
        <v/>
      </c>
      <c r="O14" s="43" t="str">
        <f ca="1">IFERROR(INDEX(中金品种调整!C:C,SMALL(中金品种调整!AA:AA,ROW()-2)),"")</f>
        <v/>
      </c>
    </row>
    <row r="15" spans="1:15" x14ac:dyDescent="0.15">
      <c r="A15" s="40" t="str">
        <f ca="1">IFERROR(INDEX(上期品种调整!A:A,SMALL(上期品种调整!AA:AA,ROW()-2)),"")</f>
        <v/>
      </c>
      <c r="B15" s="41" t="str">
        <f ca="1">IFERROR(INDEX(上期品种调整!B:B,SMALL(上期品种调整!AA:AA,ROW()-2)),"")</f>
        <v/>
      </c>
      <c r="C15" s="41" t="str">
        <f ca="1">IFERROR(INDEX(上期品种调整!C:C,SMALL(上期品种调整!AA:AA,ROW()-2)),"")</f>
        <v/>
      </c>
      <c r="E15" s="40" t="str">
        <f ca="1">IFERROR(INDEX(大连品种调整!A:A,SMALL(大连品种调整!AA:AA,ROW()-2)),"")</f>
        <v>FB1607</v>
      </c>
      <c r="F15" s="41">
        <f ca="1">IFERROR(INDEX(大连品种调整!B:B,SMALL(大连品种调整!AA:AA,ROW()-2)),"")</f>
        <v>42200</v>
      </c>
      <c r="G15" s="41">
        <f ca="1">IFERROR(INDEX(大连品种调整!C:C,SMALL(大连品种调整!AA:AA,ROW()-2)),"")</f>
        <v>42565</v>
      </c>
      <c r="I15" s="40" t="str">
        <f ca="1">IFERROR(INDEX(郑州品种调整!A:A,SMALL(郑州品种调整!Y:Y,ROW()-2)),"")</f>
        <v>JR1607</v>
      </c>
      <c r="J15" s="41">
        <f ca="1">IFERROR(INDEX(郑州品种调整!B:B,SMALL(郑州品种调整!Y:Y,ROW()-2)),"")</f>
        <v>42200</v>
      </c>
      <c r="K15" s="41">
        <f ca="1">IFERROR(INDEX(郑州品种调整!C:C,SMALL(郑州品种调整!Y:Y,ROW()-2)),"")</f>
        <v>42565</v>
      </c>
      <c r="M15" s="40" t="str">
        <f ca="1">IFERROR(INDEX(中金品种调整!A:A,SMALL(中金品种调整!AA:AA,ROW()-2)),"")</f>
        <v/>
      </c>
      <c r="N15" s="41" t="str">
        <f ca="1">IFERROR(INDEX(中金品种调整!B:B,SMALL(中金品种调整!AA:AA,ROW()-2)),"")</f>
        <v/>
      </c>
      <c r="O15" s="41" t="str">
        <f ca="1">IFERROR(INDEX(中金品种调整!C:C,SMALL(中金品种调整!AA:AA,ROW()-2)),"")</f>
        <v/>
      </c>
    </row>
    <row r="16" spans="1:15" x14ac:dyDescent="0.15">
      <c r="A16" s="42" t="str">
        <f ca="1">IFERROR(INDEX(上期品种调整!A:A,SMALL(上期品种调整!AA:AA,ROW()-2)),"")</f>
        <v/>
      </c>
      <c r="B16" s="43" t="str">
        <f ca="1">IFERROR(INDEX(上期品种调整!B:B,SMALL(上期品种调整!AA:AA,ROW()-2)),"")</f>
        <v/>
      </c>
      <c r="C16" s="43" t="str">
        <f ca="1">IFERROR(INDEX(上期品种调整!C:C,SMALL(上期品种调整!AA:AA,ROW()-2)),"")</f>
        <v/>
      </c>
      <c r="E16" s="42" t="str">
        <f ca="1">IFERROR(INDEX(大连品种调整!A:A,SMALL(大连品种调整!AA:AA,ROW()-2)),"")</f>
        <v>BB1607</v>
      </c>
      <c r="F16" s="43">
        <f ca="1">IFERROR(INDEX(大连品种调整!B:B,SMALL(大连品种调整!AA:AA,ROW()-2)),"")</f>
        <v>42200</v>
      </c>
      <c r="G16" s="43">
        <f ca="1">IFERROR(INDEX(大连品种调整!C:C,SMALL(大连品种调整!AA:AA,ROW()-2)),"")</f>
        <v>42565</v>
      </c>
      <c r="I16" s="42" t="str">
        <f ca="1">IFERROR(INDEX(郑州品种调整!A:A,SMALL(郑州品种调整!Y:Y,ROW()-2)),"")</f>
        <v>LR1607</v>
      </c>
      <c r="J16" s="43">
        <f ca="1">IFERROR(INDEX(郑州品种调整!B:B,SMALL(郑州品种调整!Y:Y,ROW()-2)),"")</f>
        <v>42200</v>
      </c>
      <c r="K16" s="43">
        <f ca="1">IFERROR(INDEX(郑州品种调整!C:C,SMALL(郑州品种调整!Y:Y,ROW()-2)),"")</f>
        <v>42565</v>
      </c>
      <c r="M16" s="42" t="str">
        <f ca="1">IFERROR(INDEX(中金品种调整!A:A,SMALL(中金品种调整!AA:AA,ROW()-2)),"")</f>
        <v/>
      </c>
      <c r="N16" s="43" t="str">
        <f ca="1">IFERROR(INDEX(中金品种调整!B:B,SMALL(中金品种调整!AA:AA,ROW()-2)),"")</f>
        <v/>
      </c>
      <c r="O16" s="43" t="str">
        <f ca="1">IFERROR(INDEX(中金品种调整!C:C,SMALL(中金品种调整!AA:AA,ROW()-2)),"")</f>
        <v/>
      </c>
    </row>
    <row r="17" spans="1:18" x14ac:dyDescent="0.15">
      <c r="A17" s="40" t="str">
        <f ca="1">IFERROR(INDEX(上期品种调整!A:A,SMALL(上期品种调整!AA:AA,ROW()-2)),"")</f>
        <v/>
      </c>
      <c r="B17" s="41" t="str">
        <f ca="1">IFERROR(INDEX(上期品种调整!B:B,SMALL(上期品种调整!AA:AA,ROW()-2)),"")</f>
        <v/>
      </c>
      <c r="C17" s="41" t="str">
        <f ca="1">IFERROR(INDEX(上期品种调整!C:C,SMALL(上期品种调整!AA:AA,ROW()-2)),"")</f>
        <v/>
      </c>
      <c r="E17" s="40" t="str">
        <f ca="1">IFERROR(INDEX(大连品种调整!A:A,SMALL(大连品种调整!AA:AA,ROW()-2)),"")</f>
        <v>PP1607</v>
      </c>
      <c r="F17" s="41">
        <f ca="1">IFERROR(INDEX(大连品种调整!B:B,SMALL(大连品种调整!AA:AA,ROW()-2)),"")</f>
        <v>42200</v>
      </c>
      <c r="G17" s="41">
        <f ca="1">IFERROR(INDEX(大连品种调整!C:C,SMALL(大连品种调整!AA:AA,ROW()-2)),"")</f>
        <v>42565</v>
      </c>
      <c r="I17" s="40" t="str">
        <f ca="1">IFERROR(INDEX(郑州品种调整!A:A,SMALL(郑州品种调整!Y:Y,ROW()-2)),"")</f>
        <v>SF1607</v>
      </c>
      <c r="J17" s="41">
        <f ca="1">IFERROR(INDEX(郑州品种调整!B:B,SMALL(郑州品种调整!Y:Y,ROW()-2)),"")</f>
        <v>42200</v>
      </c>
      <c r="K17" s="41">
        <f ca="1">IFERROR(INDEX(郑州品种调整!C:C,SMALL(郑州品种调整!Y:Y,ROW()-2)),"")</f>
        <v>42565</v>
      </c>
      <c r="M17" s="40" t="str">
        <f ca="1">IFERROR(INDEX(中金品种调整!A:A,SMALL(中金品种调整!AA:AA,ROW()-2)),"")</f>
        <v/>
      </c>
      <c r="N17" s="41" t="str">
        <f ca="1">IFERROR(INDEX(中金品种调整!B:B,SMALL(中金品种调整!AA:AA,ROW()-2)),"")</f>
        <v/>
      </c>
      <c r="O17" s="41" t="str">
        <f ca="1">IFERROR(INDEX(中金品种调整!C:C,SMALL(中金品种调整!AA:AA,ROW()-2)),"")</f>
        <v/>
      </c>
    </row>
    <row r="18" spans="1:18" x14ac:dyDescent="0.15">
      <c r="A18" s="42" t="str">
        <f ca="1">IFERROR(INDEX(上期品种调整!A:A,SMALL(上期品种调整!AA:AA,ROW()-2)),"")</f>
        <v/>
      </c>
      <c r="B18" s="43" t="str">
        <f ca="1">IFERROR(INDEX(上期品种调整!B:B,SMALL(上期品种调整!AA:AA,ROW()-2)),"")</f>
        <v/>
      </c>
      <c r="C18" s="43" t="str">
        <f ca="1">IFERROR(INDEX(上期品种调整!C:C,SMALL(上期品种调整!AA:AA,ROW()-2)),"")</f>
        <v/>
      </c>
      <c r="E18" s="42" t="str">
        <f ca="1">IFERROR(INDEX(大连品种调整!A:A,SMALL(大连品种调整!AA:AA,ROW()-2)),"")</f>
        <v/>
      </c>
      <c r="F18" s="43" t="str">
        <f ca="1">IFERROR(INDEX(大连品种调整!B:B,SMALL(大连品种调整!AA:AA,ROW()-2)),"")</f>
        <v/>
      </c>
      <c r="G18" s="43" t="str">
        <f ca="1">IFERROR(INDEX(大连品种调整!C:C,SMALL(大连品种调整!AA:AA,ROW()-2)),"")</f>
        <v/>
      </c>
      <c r="I18" s="42" t="str">
        <f ca="1">IFERROR(INDEX(郑州品种调整!A:A,SMALL(郑州品种调整!Y:Y,ROW()-2)),"")</f>
        <v>SM1607</v>
      </c>
      <c r="J18" s="43">
        <f ca="1">IFERROR(INDEX(郑州品种调整!B:B,SMALL(郑州品种调整!Y:Y,ROW()-2)),"")</f>
        <v>42200</v>
      </c>
      <c r="K18" s="43">
        <f ca="1">IFERROR(INDEX(郑州品种调整!C:C,SMALL(郑州品种调整!Y:Y,ROW()-2)),"")</f>
        <v>42565</v>
      </c>
      <c r="M18" s="42" t="str">
        <f ca="1">IFERROR(INDEX(中金品种调整!A:A,SMALL(中金品种调整!AA:AA,ROW()-2)),"")</f>
        <v/>
      </c>
      <c r="N18" s="43" t="str">
        <f ca="1">IFERROR(INDEX(中金品种调整!B:B,SMALL(中金品种调整!AA:AA,ROW()-2)),"")</f>
        <v/>
      </c>
      <c r="O18" s="43" t="str">
        <f ca="1">IFERROR(INDEX(中金品种调整!C:C,SMALL(中金品种调整!AA:AA,ROW()-2)),"")</f>
        <v/>
      </c>
    </row>
    <row r="19" spans="1:18" x14ac:dyDescent="0.15">
      <c r="A19" s="40" t="str">
        <f ca="1">IFERROR(INDEX(上期品种调整!A:A,SMALL(上期品种调整!AA:AA,ROW()-2)),"")</f>
        <v/>
      </c>
      <c r="B19" s="41" t="str">
        <f ca="1">IFERROR(INDEX(上期品种调整!B:B,SMALL(上期品种调整!AA:AA,ROW()-2)),"")</f>
        <v/>
      </c>
      <c r="C19" s="41" t="str">
        <f ca="1">IFERROR(INDEX(上期品种调整!C:C,SMALL(上期品种调整!AA:AA,ROW()-2)),"")</f>
        <v/>
      </c>
      <c r="E19" s="40" t="str">
        <f ca="1">IFERROR(INDEX(大连品种调整!A:A,SMALL(大连品种调整!AA:AA,ROW()-2)),"")</f>
        <v/>
      </c>
      <c r="F19" s="41" t="str">
        <f ca="1">IFERROR(INDEX(大连品种调整!B:B,SMALL(大连品种调整!AA:AA,ROW()-2)),"")</f>
        <v/>
      </c>
      <c r="G19" s="41" t="str">
        <f ca="1">IFERROR(INDEX(大连品种调整!C:C,SMALL(大连品种调整!AA:AA,ROW()-2)),"")</f>
        <v/>
      </c>
      <c r="I19" s="40" t="str">
        <f ca="1">IFERROR(INDEX(郑州品种调整!A:A,SMALL(郑州品种调整!Y:Y,ROW()-2)),"")</f>
        <v/>
      </c>
      <c r="J19" s="41" t="str">
        <f ca="1">IFERROR(INDEX(郑州品种调整!B:B,SMALL(郑州品种调整!Y:Y,ROW()-2)),"")</f>
        <v/>
      </c>
      <c r="K19" s="41" t="str">
        <f ca="1">IFERROR(INDEX(郑州品种调整!C:C,SMALL(郑州品种调整!Y:Y,ROW()-2)),"")</f>
        <v/>
      </c>
      <c r="M19" s="40" t="str">
        <f ca="1">IFERROR(INDEX(中金品种调整!A:A,SMALL(中金品种调整!AA:AA,ROW()-2)),"")</f>
        <v/>
      </c>
      <c r="N19" s="41" t="str">
        <f ca="1">IFERROR(INDEX(中金品种调整!B:B,SMALL(中金品种调整!AA:AA,ROW()-2)),"")</f>
        <v/>
      </c>
      <c r="O19" s="41" t="str">
        <f ca="1">IFERROR(INDEX(中金品种调整!C:C,SMALL(中金品种调整!AA:AA,ROW()-2)),"")</f>
        <v/>
      </c>
      <c r="R19" s="35"/>
    </row>
    <row r="20" spans="1:18" x14ac:dyDescent="0.15">
      <c r="A20" s="42" t="str">
        <f ca="1">IFERROR(INDEX(上期品种调整!A:A,SMALL(上期品种调整!AA:AA,ROW()-2)),"")</f>
        <v/>
      </c>
      <c r="B20" s="43" t="str">
        <f ca="1">IFERROR(INDEX(上期品种调整!B:B,SMALL(上期品种调整!AA:AA,ROW()-2)),"")</f>
        <v/>
      </c>
      <c r="C20" s="43" t="str">
        <f ca="1">IFERROR(INDEX(上期品种调整!C:C,SMALL(上期品种调整!AA:AA,ROW()-2)),"")</f>
        <v/>
      </c>
      <c r="E20" s="42" t="str">
        <f ca="1">IFERROR(INDEX(大连品种调整!A:A,SMALL(大连品种调整!AA:AA,ROW()-2)),"")</f>
        <v/>
      </c>
      <c r="F20" s="43" t="str">
        <f ca="1">IFERROR(INDEX(大连品种调整!B:B,SMALL(大连品种调整!AA:AA,ROW()-2)),"")</f>
        <v/>
      </c>
      <c r="G20" s="43" t="str">
        <f ca="1">IFERROR(INDEX(大连品种调整!C:C,SMALL(大连品种调整!AA:AA,ROW()-2)),"")</f>
        <v/>
      </c>
      <c r="I20" s="42" t="str">
        <f ca="1">IFERROR(INDEX(郑州品种调整!A:A,SMALL(郑州品种调整!Y:Y,ROW()-2)),"")</f>
        <v/>
      </c>
      <c r="J20" s="43" t="str">
        <f ca="1">IFERROR(INDEX(郑州品种调整!B:B,SMALL(郑州品种调整!Y:Y,ROW()-2)),"")</f>
        <v/>
      </c>
      <c r="K20" s="43" t="str">
        <f ca="1">IFERROR(INDEX(郑州品种调整!C:C,SMALL(郑州品种调整!Y:Y,ROW()-2)),"")</f>
        <v/>
      </c>
      <c r="M20" s="42" t="str">
        <f ca="1">IFERROR(INDEX(中金品种调整!A:A,SMALL(中金品种调整!AA:AA,ROW()-2)),"")</f>
        <v/>
      </c>
      <c r="N20" s="43" t="str">
        <f ca="1">IFERROR(INDEX(中金品种调整!B:B,SMALL(中金品种调整!AA:AA,ROW()-2)),"")</f>
        <v/>
      </c>
      <c r="O20" s="43" t="str">
        <f ca="1">IFERROR(INDEX(中金品种调整!C:C,SMALL(中金品种调整!AA:AA,ROW()-2)),"")</f>
        <v/>
      </c>
      <c r="R20" s="35"/>
    </row>
    <row r="21" spans="1:18" x14ac:dyDescent="0.15">
      <c r="A21" s="40" t="str">
        <f ca="1">IFERROR(INDEX(上期品种调整!A:A,SMALL(上期品种调整!AA:AA,ROW()-2)),"")</f>
        <v/>
      </c>
      <c r="B21" s="41" t="str">
        <f ca="1">IFERROR(INDEX(上期品种调整!B:B,SMALL(上期品种调整!AA:AA,ROW()-2)),"")</f>
        <v/>
      </c>
      <c r="C21" s="41" t="str">
        <f ca="1">IFERROR(INDEX(上期品种调整!C:C,SMALL(上期品种调整!AA:AA,ROW()-2)),"")</f>
        <v/>
      </c>
      <c r="E21" s="40" t="str">
        <f ca="1">IFERROR(INDEX(大连品种调整!A:A,SMALL(大连品种调整!AA:AA,ROW()-2)),"")</f>
        <v/>
      </c>
      <c r="F21" s="41" t="str">
        <f ca="1">IFERROR(INDEX(大连品种调整!B:B,SMALL(大连品种调整!AA:AA,ROW()-2)),"")</f>
        <v/>
      </c>
      <c r="G21" s="41" t="str">
        <f ca="1">IFERROR(INDEX(大连品种调整!C:C,SMALL(大连品种调整!AA:AA,ROW()-2)),"")</f>
        <v/>
      </c>
      <c r="I21" s="40" t="str">
        <f ca="1">IFERROR(INDEX(郑州品种调整!A:A,SMALL(郑州品种调整!Y:Y,ROW()-2)),"")</f>
        <v/>
      </c>
      <c r="J21" s="41" t="str">
        <f ca="1">IFERROR(INDEX(郑州品种调整!B:B,SMALL(郑州品种调整!Y:Y,ROW()-2)),"")</f>
        <v/>
      </c>
      <c r="K21" s="41" t="str">
        <f ca="1">IFERROR(INDEX(郑州品种调整!C:C,SMALL(郑州品种调整!Y:Y,ROW()-2)),"")</f>
        <v/>
      </c>
      <c r="M21" s="40" t="str">
        <f ca="1">IFERROR(INDEX(中金品种调整!A:A,SMALL(中金品种调整!AA:AA,ROW()-2)),"")</f>
        <v/>
      </c>
      <c r="N21" s="41" t="str">
        <f ca="1">IFERROR(INDEX(中金品种调整!B:B,SMALL(中金品种调整!AA:AA,ROW()-2)),"")</f>
        <v/>
      </c>
      <c r="O21" s="41" t="str">
        <f ca="1">IFERROR(INDEX(中金品种调整!C:C,SMALL(中金品种调整!AA:AA,ROW()-2)),"")</f>
        <v/>
      </c>
    </row>
    <row r="22" spans="1:18" x14ac:dyDescent="0.15">
      <c r="A22" s="42" t="str">
        <f ca="1">IFERROR(INDEX(上期品种调整!A:A,SMALL(上期品种调整!AA:AA,ROW()-2)),"")</f>
        <v/>
      </c>
      <c r="B22" s="43" t="str">
        <f ca="1">IFERROR(INDEX(上期品种调整!B:B,SMALL(上期品种调整!AA:AA,ROW()-2)),"")</f>
        <v/>
      </c>
      <c r="C22" s="43" t="str">
        <f ca="1">IFERROR(INDEX(上期品种调整!C:C,SMALL(上期品种调整!AA:AA,ROW()-2)),"")</f>
        <v/>
      </c>
      <c r="E22" s="42" t="str">
        <f ca="1">IFERROR(INDEX(大连品种调整!A:A,SMALL(大连品种调整!AA:AA,ROW()-2)),"")</f>
        <v/>
      </c>
      <c r="F22" s="43" t="str">
        <f ca="1">IFERROR(INDEX(大连品种调整!B:B,SMALL(大连品种调整!AA:AA,ROW()-2)),"")</f>
        <v/>
      </c>
      <c r="G22" s="43" t="str">
        <f ca="1">IFERROR(INDEX(大连品种调整!C:C,SMALL(大连品种调整!AA:AA,ROW()-2)),"")</f>
        <v/>
      </c>
      <c r="I22" s="42" t="str">
        <f ca="1">IFERROR(INDEX(郑州品种调整!A:A,SMALL(郑州品种调整!Y:Y,ROW()-2)),"")</f>
        <v/>
      </c>
      <c r="J22" s="43" t="str">
        <f ca="1">IFERROR(INDEX(郑州品种调整!B:B,SMALL(郑州品种调整!Y:Y,ROW()-2)),"")</f>
        <v/>
      </c>
      <c r="K22" s="43" t="str">
        <f ca="1">IFERROR(INDEX(郑州品种调整!C:C,SMALL(郑州品种调整!Y:Y,ROW()-2)),"")</f>
        <v/>
      </c>
      <c r="M22" s="42" t="str">
        <f ca="1">IFERROR(INDEX(中金品种调整!A:A,SMALL(中金品种调整!AA:AA,ROW()-2)),"")</f>
        <v/>
      </c>
      <c r="N22" s="43" t="str">
        <f ca="1">IFERROR(INDEX(中金品种调整!B:B,SMALL(中金品种调整!AA:AA,ROW()-2)),"")</f>
        <v/>
      </c>
      <c r="O22" s="43" t="str">
        <f ca="1">IFERROR(INDEX(中金品种调整!C:C,SMALL(中金品种调整!AA:AA,ROW()-2)),"")</f>
        <v/>
      </c>
    </row>
    <row r="23" spans="1:18" x14ac:dyDescent="0.15">
      <c r="A23" s="40" t="str">
        <f ca="1">IFERROR(INDEX(上期品种调整!A:A,SMALL(上期品种调整!AA:AA,ROW()-2)),"")</f>
        <v/>
      </c>
      <c r="B23" s="41" t="str">
        <f ca="1">IFERROR(INDEX(上期品种调整!B:B,SMALL(上期品种调整!AA:AA,ROW()-2)),"")</f>
        <v/>
      </c>
      <c r="C23" s="41" t="str">
        <f ca="1">IFERROR(INDEX(上期品种调整!C:C,SMALL(上期品种调整!AA:AA,ROW()-2)),"")</f>
        <v/>
      </c>
      <c r="E23" s="40" t="str">
        <f ca="1">IFERROR(INDEX(大连品种调整!A:A,SMALL(大连品种调整!AA:AA,ROW()-2)),"")</f>
        <v/>
      </c>
      <c r="F23" s="41" t="str">
        <f ca="1">IFERROR(INDEX(大连品种调整!B:B,SMALL(大连品种调整!AA:AA,ROW()-2)),"")</f>
        <v/>
      </c>
      <c r="G23" s="41" t="str">
        <f ca="1">IFERROR(INDEX(大连品种调整!C:C,SMALL(大连品种调整!AA:AA,ROW()-2)),"")</f>
        <v/>
      </c>
      <c r="I23" s="40" t="str">
        <f ca="1">IFERROR(INDEX(郑州品种调整!A:A,SMALL(郑州品种调整!Y:Y,ROW()-2)),"")</f>
        <v/>
      </c>
      <c r="J23" s="41" t="str">
        <f ca="1">IFERROR(INDEX(郑州品种调整!B:B,SMALL(郑州品种调整!Y:Y,ROW()-2)),"")</f>
        <v/>
      </c>
      <c r="K23" s="41" t="str">
        <f ca="1">IFERROR(INDEX(郑州品种调整!C:C,SMALL(郑州品种调整!Y:Y,ROW()-2)),"")</f>
        <v/>
      </c>
      <c r="M23" s="40" t="str">
        <f ca="1">IFERROR(INDEX(中金品种调整!A:A,SMALL(中金品种调整!AA:AA,ROW()-2)),"")</f>
        <v/>
      </c>
      <c r="N23" s="41" t="str">
        <f ca="1">IFERROR(INDEX(中金品种调整!B:B,SMALL(中金品种调整!AA:AA,ROW()-2)),"")</f>
        <v/>
      </c>
      <c r="O23" s="41" t="str">
        <f ca="1">IFERROR(INDEX(中金品种调整!C:C,SMALL(中金品种调整!AA:AA,ROW()-2)),"")</f>
        <v/>
      </c>
    </row>
    <row r="24" spans="1:18" x14ac:dyDescent="0.15">
      <c r="A24" s="42" t="str">
        <f ca="1">IFERROR(INDEX(上期品种调整!A:A,SMALL(上期品种调整!AA:AA,ROW()-2)),"")</f>
        <v/>
      </c>
      <c r="B24" s="43" t="str">
        <f ca="1">IFERROR(INDEX(上期品种调整!B:B,SMALL(上期品种调整!AA:AA,ROW()-2)),"")</f>
        <v/>
      </c>
      <c r="C24" s="43" t="str">
        <f ca="1">IFERROR(INDEX(上期品种调整!C:C,SMALL(上期品种调整!AA:AA,ROW()-2)),"")</f>
        <v/>
      </c>
      <c r="E24" s="42" t="str">
        <f ca="1">IFERROR(INDEX(大连品种调整!A:A,SMALL(大连品种调整!AA:AA,ROW()-2)),"")</f>
        <v/>
      </c>
      <c r="F24" s="43" t="str">
        <f ca="1">IFERROR(INDEX(大连品种调整!B:B,SMALL(大连品种调整!AA:AA,ROW()-2)),"")</f>
        <v/>
      </c>
      <c r="G24" s="43" t="str">
        <f ca="1">IFERROR(INDEX(大连品种调整!C:C,SMALL(大连品种调整!AA:AA,ROW()-2)),"")</f>
        <v/>
      </c>
      <c r="I24" s="42" t="str">
        <f ca="1">IFERROR(INDEX(郑州品种调整!A:A,SMALL(郑州品种调整!Y:Y,ROW()-2)),"")</f>
        <v/>
      </c>
      <c r="J24" s="43" t="str">
        <f ca="1">IFERROR(INDEX(郑州品种调整!B:B,SMALL(郑州品种调整!Y:Y,ROW()-2)),"")</f>
        <v/>
      </c>
      <c r="K24" s="43" t="str">
        <f ca="1">IFERROR(INDEX(郑州品种调整!C:C,SMALL(郑州品种调整!Y:Y,ROW()-2)),"")</f>
        <v/>
      </c>
      <c r="M24" s="42" t="str">
        <f ca="1">IFERROR(INDEX(中金品种调整!A:A,SMALL(中金品种调整!AA:AA,ROW()-2)),"")</f>
        <v/>
      </c>
      <c r="N24" s="43" t="str">
        <f ca="1">IFERROR(INDEX(中金品种调整!B:B,SMALL(中金品种调整!AA:AA,ROW()-2)),"")</f>
        <v/>
      </c>
      <c r="O24" s="43" t="str">
        <f ca="1">IFERROR(INDEX(中金品种调整!C:C,SMALL(中金品种调整!AA:AA,ROW()-2)),"")</f>
        <v/>
      </c>
    </row>
    <row r="25" spans="1:18" x14ac:dyDescent="0.15">
      <c r="A25" s="40" t="str">
        <f ca="1">IFERROR(INDEX(上期品种调整!A:A,SMALL(上期品种调整!AA:AA,ROW()-2)),"")</f>
        <v/>
      </c>
      <c r="B25" s="41" t="str">
        <f ca="1">IFERROR(INDEX(上期品种调整!B:B,SMALL(上期品种调整!AA:AA,ROW()-2)),"")</f>
        <v/>
      </c>
      <c r="C25" s="41" t="str">
        <f ca="1">IFERROR(INDEX(上期品种调整!C:C,SMALL(上期品种调整!AA:AA,ROW()-2)),"")</f>
        <v/>
      </c>
      <c r="E25" s="40" t="str">
        <f ca="1">IFERROR(INDEX(大连品种调整!A:A,SMALL(大连品种调整!AA:AA,ROW()-2)),"")</f>
        <v/>
      </c>
      <c r="F25" s="41" t="str">
        <f ca="1">IFERROR(INDEX(大连品种调整!B:B,SMALL(大连品种调整!AA:AA,ROW()-2)),"")</f>
        <v/>
      </c>
      <c r="G25" s="41" t="str">
        <f ca="1">IFERROR(INDEX(大连品种调整!C:C,SMALL(大连品种调整!AA:AA,ROW()-2)),"")</f>
        <v/>
      </c>
      <c r="I25" s="40" t="str">
        <f ca="1">IFERROR(INDEX(郑州品种调整!A:A,SMALL(郑州品种调整!Y:Y,ROW()-2)),"")</f>
        <v/>
      </c>
      <c r="J25" s="41" t="str">
        <f ca="1">IFERROR(INDEX(郑州品种调整!B:B,SMALL(郑州品种调整!Y:Y,ROW()-2)),"")</f>
        <v/>
      </c>
      <c r="K25" s="41" t="str">
        <f ca="1">IFERROR(INDEX(郑州品种调整!C:C,SMALL(郑州品种调整!Y:Y,ROW()-2)),"")</f>
        <v/>
      </c>
      <c r="M25" s="40" t="str">
        <f ca="1">IFERROR(INDEX(中金品种调整!A:A,SMALL(中金品种调整!AA:AA,ROW()-2)),"")</f>
        <v/>
      </c>
      <c r="N25" s="41" t="str">
        <f ca="1">IFERROR(INDEX(中金品种调整!B:B,SMALL(中金品种调整!AA:AA,ROW()-2)),"")</f>
        <v/>
      </c>
      <c r="O25" s="41" t="str">
        <f ca="1">IFERROR(INDEX(中金品种调整!C:C,SMALL(中金品种调整!AA:AA,ROW()-2)),"")</f>
        <v/>
      </c>
    </row>
    <row r="26" spans="1:18" x14ac:dyDescent="0.15">
      <c r="A26" s="42" t="str">
        <f ca="1">IFERROR(INDEX(上期品种调整!A:A,SMALL(上期品种调整!AA:AA,ROW()-2)),"")</f>
        <v/>
      </c>
      <c r="B26" s="43" t="str">
        <f ca="1">IFERROR(INDEX(上期品种调整!B:B,SMALL(上期品种调整!AA:AA,ROW()-2)),"")</f>
        <v/>
      </c>
      <c r="C26" s="43" t="str">
        <f ca="1">IFERROR(INDEX(上期品种调整!C:C,SMALL(上期品种调整!AA:AA,ROW()-2)),"")</f>
        <v/>
      </c>
      <c r="E26" s="42" t="str">
        <f ca="1">IFERROR(INDEX(大连品种调整!A:A,SMALL(大连品种调整!AA:AA,ROW()-2)),"")</f>
        <v/>
      </c>
      <c r="F26" s="43" t="str">
        <f ca="1">IFERROR(INDEX(大连品种调整!B:B,SMALL(大连品种调整!AA:AA,ROW()-2)),"")</f>
        <v/>
      </c>
      <c r="G26" s="43" t="str">
        <f ca="1">IFERROR(INDEX(大连品种调整!C:C,SMALL(大连品种调整!AA:AA,ROW()-2)),"")</f>
        <v/>
      </c>
      <c r="I26" s="42" t="str">
        <f ca="1">IFERROR(INDEX(郑州品种调整!A:A,SMALL(郑州品种调整!Y:Y,ROW()-2)),"")</f>
        <v/>
      </c>
      <c r="J26" s="43" t="str">
        <f ca="1">IFERROR(INDEX(郑州品种调整!B:B,SMALL(郑州品种调整!Y:Y,ROW()-2)),"")</f>
        <v/>
      </c>
      <c r="K26" s="43" t="str">
        <f ca="1">IFERROR(INDEX(郑州品种调整!C:C,SMALL(郑州品种调整!Y:Y,ROW()-2)),"")</f>
        <v/>
      </c>
      <c r="M26" s="42" t="str">
        <f ca="1">IFERROR(INDEX(中金品种调整!A:A,SMALL(中金品种调整!AA:AA,ROW()-2)),"")</f>
        <v/>
      </c>
      <c r="N26" s="43" t="str">
        <f ca="1">IFERROR(INDEX(中金品种调整!B:B,SMALL(中金品种调整!AA:AA,ROW()-2)),"")</f>
        <v/>
      </c>
      <c r="O26" s="43" t="str">
        <f ca="1">IFERROR(INDEX(中金品种调整!C:C,SMALL(中金品种调整!AA:AA,ROW()-2)),"")</f>
        <v/>
      </c>
    </row>
    <row r="27" spans="1:18" x14ac:dyDescent="0.15">
      <c r="A27" s="40" t="str">
        <f ca="1">IFERROR(INDEX(上期品种调整!A:A,SMALL(上期品种调整!AA:AA,ROW()-2)),"")</f>
        <v/>
      </c>
      <c r="B27" s="41" t="str">
        <f ca="1">IFERROR(INDEX(上期品种调整!B:B,SMALL(上期品种调整!AA:AA,ROW()-2)),"")</f>
        <v/>
      </c>
      <c r="C27" s="41" t="str">
        <f ca="1">IFERROR(INDEX(上期品种调整!C:C,SMALL(上期品种调整!AA:AA,ROW()-2)),"")</f>
        <v/>
      </c>
      <c r="E27" s="40" t="str">
        <f ca="1">IFERROR(INDEX(大连品种调整!A:A,SMALL(大连品种调整!AA:AA,ROW()-2)),"")</f>
        <v/>
      </c>
      <c r="F27" s="41" t="str">
        <f ca="1">IFERROR(INDEX(大连品种调整!B:B,SMALL(大连品种调整!AA:AA,ROW()-2)),"")</f>
        <v/>
      </c>
      <c r="G27" s="41" t="str">
        <f ca="1">IFERROR(INDEX(大连品种调整!C:C,SMALL(大连品种调整!AA:AA,ROW()-2)),"")</f>
        <v/>
      </c>
      <c r="I27" s="40" t="str">
        <f ca="1">IFERROR(INDEX(郑州品种调整!A:A,SMALL(郑州品种调整!Y:Y,ROW()-2)),"")</f>
        <v/>
      </c>
      <c r="J27" s="41" t="str">
        <f ca="1">IFERROR(INDEX(郑州品种调整!B:B,SMALL(郑州品种调整!Y:Y,ROW()-2)),"")</f>
        <v/>
      </c>
      <c r="K27" s="41" t="str">
        <f ca="1">IFERROR(INDEX(郑州品种调整!C:C,SMALL(郑州品种调整!Y:Y,ROW()-2)),"")</f>
        <v/>
      </c>
      <c r="M27" s="40" t="str">
        <f ca="1">IFERROR(INDEX(中金品种调整!A:A,SMALL(中金品种调整!AA:AA,ROW()-2)),"")</f>
        <v/>
      </c>
      <c r="N27" s="41" t="str">
        <f ca="1">IFERROR(INDEX(中金品种调整!B:B,SMALL(中金品种调整!AA:AA,ROW()-2)),"")</f>
        <v/>
      </c>
      <c r="O27" s="41" t="str">
        <f ca="1">IFERROR(INDEX(中金品种调整!C:C,SMALL(中金品种调整!AA:AA,ROW()-2)),"")</f>
        <v/>
      </c>
    </row>
    <row r="28" spans="1:18" x14ac:dyDescent="0.15">
      <c r="A28" s="42" t="str">
        <f ca="1">IFERROR(INDEX(上期品种调整!A:A,SMALL(上期品种调整!AA:AA,ROW()-2)),"")</f>
        <v/>
      </c>
      <c r="B28" s="43" t="str">
        <f ca="1">IFERROR(INDEX(上期品种调整!B:B,SMALL(上期品种调整!AA:AA,ROW()-2)),"")</f>
        <v/>
      </c>
      <c r="C28" s="43" t="str">
        <f ca="1">IFERROR(INDEX(上期品种调整!C:C,SMALL(上期品种调整!AA:AA,ROW()-2)),"")</f>
        <v/>
      </c>
      <c r="E28" s="42" t="str">
        <f ca="1">IFERROR(INDEX(大连品种调整!A:A,SMALL(大连品种调整!AA:AA,ROW()-2)),"")</f>
        <v/>
      </c>
      <c r="F28" s="43" t="str">
        <f ca="1">IFERROR(INDEX(大连品种调整!B:B,SMALL(大连品种调整!AA:AA,ROW()-2)),"")</f>
        <v/>
      </c>
      <c r="G28" s="43" t="str">
        <f ca="1">IFERROR(INDEX(大连品种调整!C:C,SMALL(大连品种调整!AA:AA,ROW()-2)),"")</f>
        <v/>
      </c>
      <c r="I28" s="42" t="str">
        <f ca="1">IFERROR(INDEX(郑州品种调整!A:A,SMALL(郑州品种调整!Y:Y,ROW()-2)),"")</f>
        <v/>
      </c>
      <c r="J28" s="43" t="str">
        <f ca="1">IFERROR(INDEX(郑州品种调整!B:B,SMALL(郑州品种调整!Y:Y,ROW()-2)),"")</f>
        <v/>
      </c>
      <c r="K28" s="43" t="str">
        <f ca="1">IFERROR(INDEX(郑州品种调整!C:C,SMALL(郑州品种调整!Y:Y,ROW()-2)),"")</f>
        <v/>
      </c>
      <c r="M28" s="42" t="str">
        <f ca="1">IFERROR(INDEX(中金品种调整!A:A,SMALL(中金品种调整!AA:AA,ROW()-2)),"")</f>
        <v/>
      </c>
      <c r="N28" s="43" t="str">
        <f ca="1">IFERROR(INDEX(中金品种调整!B:B,SMALL(中金品种调整!AA:AA,ROW()-2)),"")</f>
        <v/>
      </c>
      <c r="O28" s="43" t="str">
        <f ca="1">IFERROR(INDEX(中金品种调整!C:C,SMALL(中金品种调整!AA:AA,ROW()-2)),"")</f>
        <v/>
      </c>
    </row>
    <row r="29" spans="1:18" x14ac:dyDescent="0.15">
      <c r="A29" s="40" t="str">
        <f ca="1">IFERROR(INDEX(上期品种调整!A:A,SMALL(上期品种调整!AA:AA,ROW()-2)),"")</f>
        <v/>
      </c>
      <c r="B29" s="41" t="str">
        <f ca="1">IFERROR(INDEX(上期品种调整!B:B,SMALL(上期品种调整!AA:AA,ROW()-2)),"")</f>
        <v/>
      </c>
      <c r="C29" s="41" t="str">
        <f ca="1">IFERROR(INDEX(上期品种调整!C:C,SMALL(上期品种调整!AA:AA,ROW()-2)),"")</f>
        <v/>
      </c>
      <c r="E29" s="40" t="str">
        <f ca="1">IFERROR(INDEX(大连品种调整!A:A,SMALL(大连品种调整!AA:AA,ROW()-2)),"")</f>
        <v/>
      </c>
      <c r="F29" s="41" t="str">
        <f ca="1">IFERROR(INDEX(大连品种调整!B:B,SMALL(大连品种调整!AA:AA,ROW()-2)),"")</f>
        <v/>
      </c>
      <c r="G29" s="41" t="str">
        <f ca="1">IFERROR(INDEX(大连品种调整!C:C,SMALL(大连品种调整!AA:AA,ROW()-2)),"")</f>
        <v/>
      </c>
      <c r="I29" s="40" t="str">
        <f ca="1">IFERROR(INDEX(郑州品种调整!A:A,SMALL(郑州品种调整!Y:Y,ROW()-2)),"")</f>
        <v/>
      </c>
      <c r="J29" s="41" t="str">
        <f ca="1">IFERROR(INDEX(郑州品种调整!B:B,SMALL(郑州品种调整!Y:Y,ROW()-2)),"")</f>
        <v/>
      </c>
      <c r="K29" s="41" t="str">
        <f ca="1">IFERROR(INDEX(郑州品种调整!C:C,SMALL(郑州品种调整!Y:Y,ROW()-2)),"")</f>
        <v/>
      </c>
      <c r="M29" s="40" t="str">
        <f ca="1">IFERROR(INDEX(中金品种调整!A:A,SMALL(中金品种调整!AA:AA,ROW()-2)),"")</f>
        <v/>
      </c>
      <c r="N29" s="41" t="str">
        <f ca="1">IFERROR(INDEX(中金品种调整!B:B,SMALL(中金品种调整!AA:AA,ROW()-2)),"")</f>
        <v/>
      </c>
      <c r="O29" s="41" t="str">
        <f ca="1">IFERROR(INDEX(中金品种调整!C:C,SMALL(中金品种调整!AA:AA,ROW()-2)),"")</f>
        <v/>
      </c>
    </row>
    <row r="30" spans="1:18" x14ac:dyDescent="0.15">
      <c r="A30" s="42" t="str">
        <f ca="1">IFERROR(INDEX(上期品种调整!A:A,SMALL(上期品种调整!AA:AA,ROW()-2)),"")</f>
        <v/>
      </c>
      <c r="B30" s="43" t="str">
        <f ca="1">IFERROR(INDEX(上期品种调整!B:B,SMALL(上期品种调整!AA:AA,ROW()-2)),"")</f>
        <v/>
      </c>
      <c r="C30" s="43" t="str">
        <f ca="1">IFERROR(INDEX(上期品种调整!C:C,SMALL(上期品种调整!AA:AA,ROW()-2)),"")</f>
        <v/>
      </c>
      <c r="E30" s="42" t="str">
        <f ca="1">IFERROR(INDEX(大连品种调整!A:A,SMALL(大连品种调整!AA:AA,ROW()-2)),"")</f>
        <v/>
      </c>
      <c r="F30" s="43" t="str">
        <f ca="1">IFERROR(INDEX(大连品种调整!B:B,SMALL(大连品种调整!AA:AA,ROW()-2)),"")</f>
        <v/>
      </c>
      <c r="G30" s="43" t="str">
        <f ca="1">IFERROR(INDEX(大连品种调整!C:C,SMALL(大连品种调整!AA:AA,ROW()-2)),"")</f>
        <v/>
      </c>
      <c r="I30" s="42" t="str">
        <f ca="1">IFERROR(INDEX(郑州品种调整!A:A,SMALL(郑州品种调整!Y:Y,ROW()-2)),"")</f>
        <v/>
      </c>
      <c r="J30" s="43" t="str">
        <f ca="1">IFERROR(INDEX(郑州品种调整!B:B,SMALL(郑州品种调整!Y:Y,ROW()-2)),"")</f>
        <v/>
      </c>
      <c r="K30" s="43" t="str">
        <f ca="1">IFERROR(INDEX(郑州品种调整!C:C,SMALL(郑州品种调整!Y:Y,ROW()-2)),"")</f>
        <v/>
      </c>
      <c r="M30" s="42" t="str">
        <f ca="1">IFERROR(INDEX(中金品种调整!A:A,SMALL(中金品种调整!AA:AA,ROW()-2)),"")</f>
        <v/>
      </c>
      <c r="N30" s="43" t="str">
        <f ca="1">IFERROR(INDEX(中金品种调整!B:B,SMALL(中金品种调整!AA:AA,ROW()-2)),"")</f>
        <v/>
      </c>
      <c r="O30" s="43" t="str">
        <f ca="1">IFERROR(INDEX(中金品种调整!C:C,SMALL(中金品种调整!AA:AA,ROW()-2)),"")</f>
        <v/>
      </c>
    </row>
    <row r="31" spans="1:18" x14ac:dyDescent="0.15">
      <c r="A31" s="40" t="str">
        <f ca="1">IFERROR(INDEX(上期品种调整!A:A,SMALL(上期品种调整!AA:AA,ROW()-2)),"")</f>
        <v/>
      </c>
      <c r="B31" s="41" t="str">
        <f ca="1">IFERROR(INDEX(上期品种调整!B:B,SMALL(上期品种调整!AA:AA,ROW()-2)),"")</f>
        <v/>
      </c>
      <c r="C31" s="41" t="str">
        <f ca="1">IFERROR(INDEX(上期品种调整!C:C,SMALL(上期品种调整!AA:AA,ROW()-2)),"")</f>
        <v/>
      </c>
      <c r="E31" s="40" t="str">
        <f ca="1">IFERROR(INDEX(大连品种调整!A:A,SMALL(大连品种调整!AA:AA,ROW()-2)),"")</f>
        <v/>
      </c>
      <c r="F31" s="41" t="str">
        <f ca="1">IFERROR(INDEX(大连品种调整!B:B,SMALL(大连品种调整!AA:AA,ROW()-2)),"")</f>
        <v/>
      </c>
      <c r="G31" s="41" t="str">
        <f ca="1">IFERROR(INDEX(大连品种调整!C:C,SMALL(大连品种调整!AA:AA,ROW()-2)),"")</f>
        <v/>
      </c>
      <c r="I31" s="40" t="str">
        <f ca="1">IFERROR(INDEX(郑州品种调整!A:A,SMALL(郑州品种调整!Y:Y,ROW()-2)),"")</f>
        <v/>
      </c>
      <c r="J31" s="41" t="str">
        <f ca="1">IFERROR(INDEX(郑州品种调整!B:B,SMALL(郑州品种调整!Y:Y,ROW()-2)),"")</f>
        <v/>
      </c>
      <c r="K31" s="41" t="str">
        <f ca="1">IFERROR(INDEX(郑州品种调整!C:C,SMALL(郑州品种调整!Y:Y,ROW()-2)),"")</f>
        <v/>
      </c>
      <c r="M31" s="40" t="str">
        <f ca="1">IFERROR(INDEX(中金品种调整!A:A,SMALL(中金品种调整!AA:AA,ROW()-2)),"")</f>
        <v/>
      </c>
      <c r="N31" s="41" t="str">
        <f ca="1">IFERROR(INDEX(中金品种调整!B:B,SMALL(中金品种调整!AA:AA,ROW()-2)),"")</f>
        <v/>
      </c>
      <c r="O31" s="41" t="str">
        <f ca="1">IFERROR(INDEX(中金品种调整!C:C,SMALL(中金品种调整!AA:AA,ROW()-2)),"")</f>
        <v/>
      </c>
    </row>
    <row r="32" spans="1:18" x14ac:dyDescent="0.15">
      <c r="A32" s="42" t="str">
        <f ca="1">IFERROR(INDEX(上期品种调整!A:A,SMALL(上期品种调整!AA:AA,ROW()-2)),"")</f>
        <v/>
      </c>
      <c r="B32" s="43" t="str">
        <f ca="1">IFERROR(INDEX(上期品种调整!B:B,SMALL(上期品种调整!AA:AA,ROW()-2)),"")</f>
        <v/>
      </c>
      <c r="C32" s="43" t="str">
        <f ca="1">IFERROR(INDEX(上期品种调整!C:C,SMALL(上期品种调整!AA:AA,ROW()-2)),"")</f>
        <v/>
      </c>
      <c r="E32" s="42" t="str">
        <f ca="1">IFERROR(INDEX(大连品种调整!A:A,SMALL(大连品种调整!AA:AA,ROW()-2)),"")</f>
        <v/>
      </c>
      <c r="F32" s="43" t="str">
        <f ca="1">IFERROR(INDEX(大连品种调整!B:B,SMALL(大连品种调整!AA:AA,ROW()-2)),"")</f>
        <v/>
      </c>
      <c r="G32" s="43" t="str">
        <f ca="1">IFERROR(INDEX(大连品种调整!C:C,SMALL(大连品种调整!AA:AA,ROW()-2)),"")</f>
        <v/>
      </c>
      <c r="I32" s="42" t="str">
        <f ca="1">IFERROR(INDEX(郑州品种调整!A:A,SMALL(郑州品种调整!Y:Y,ROW()-2)),"")</f>
        <v/>
      </c>
      <c r="J32" s="43" t="str">
        <f ca="1">IFERROR(INDEX(郑州品种调整!B:B,SMALL(郑州品种调整!Y:Y,ROW()-2)),"")</f>
        <v/>
      </c>
      <c r="K32" s="43" t="str">
        <f ca="1">IFERROR(INDEX(郑州品种调整!C:C,SMALL(郑州品种调整!Y:Y,ROW()-2)),"")</f>
        <v/>
      </c>
      <c r="M32" s="42" t="str">
        <f ca="1">IFERROR(INDEX(中金品种调整!A:A,SMALL(中金品种调整!AA:AA,ROW()-2)),"")</f>
        <v/>
      </c>
      <c r="N32" s="43" t="str">
        <f ca="1">IFERROR(INDEX(中金品种调整!B:B,SMALL(中金品种调整!AA:AA,ROW()-2)),"")</f>
        <v/>
      </c>
      <c r="O32" s="43" t="str">
        <f ca="1">IFERROR(INDEX(中金品种调整!C:C,SMALL(中金品种调整!AA:AA,ROW()-2)),"")</f>
        <v/>
      </c>
    </row>
    <row r="33" spans="1:15" x14ac:dyDescent="0.15">
      <c r="A33" s="40" t="str">
        <f ca="1">IFERROR(INDEX(上期品种调整!A:A,SMALL(上期品种调整!AA:AA,ROW()-2)),"")</f>
        <v/>
      </c>
      <c r="B33" s="41" t="str">
        <f ca="1">IFERROR(INDEX(上期品种调整!B:B,SMALL(上期品种调整!AA:AA,ROW()-2)),"")</f>
        <v/>
      </c>
      <c r="C33" s="41" t="str">
        <f ca="1">IFERROR(INDEX(上期品种调整!C:C,SMALL(上期品种调整!AA:AA,ROW()-2)),"")</f>
        <v/>
      </c>
      <c r="E33" s="40" t="str">
        <f ca="1">IFERROR(INDEX(大连品种调整!A:A,SMALL(大连品种调整!AA:AA,ROW()-2)),"")</f>
        <v/>
      </c>
      <c r="F33" s="41" t="str">
        <f ca="1">IFERROR(INDEX(大连品种调整!B:B,SMALL(大连品种调整!AA:AA,ROW()-2)),"")</f>
        <v/>
      </c>
      <c r="G33" s="41" t="str">
        <f ca="1">IFERROR(INDEX(大连品种调整!C:C,SMALL(大连品种调整!AA:AA,ROW()-2)),"")</f>
        <v/>
      </c>
      <c r="I33" s="40" t="str">
        <f ca="1">IFERROR(INDEX(郑州品种调整!A:A,SMALL(郑州品种调整!Y:Y,ROW()-2)),"")</f>
        <v/>
      </c>
      <c r="J33" s="41" t="str">
        <f ca="1">IFERROR(INDEX(郑州品种调整!B:B,SMALL(郑州品种调整!Y:Y,ROW()-2)),"")</f>
        <v/>
      </c>
      <c r="K33" s="41" t="str">
        <f ca="1">IFERROR(INDEX(郑州品种调整!C:C,SMALL(郑州品种调整!Y:Y,ROW()-2)),"")</f>
        <v/>
      </c>
      <c r="M33" s="40" t="str">
        <f ca="1">IFERROR(INDEX(中金品种调整!A:A,SMALL(中金品种调整!AA:AA,ROW()-2)),"")</f>
        <v/>
      </c>
      <c r="N33" s="41" t="str">
        <f ca="1">IFERROR(INDEX(中金品种调整!B:B,SMALL(中金品种调整!AA:AA,ROW()-2)),"")</f>
        <v/>
      </c>
      <c r="O33" s="41" t="str">
        <f ca="1">IFERROR(INDEX(中金品种调整!C:C,SMALL(中金品种调整!AA:AA,ROW()-2)),"")</f>
        <v/>
      </c>
    </row>
    <row r="34" spans="1:15" x14ac:dyDescent="0.15">
      <c r="A34" s="42" t="str">
        <f ca="1">IFERROR(INDEX(上期品种调整!A:A,SMALL(上期品种调整!AA:AA,ROW()-2)),"")</f>
        <v/>
      </c>
      <c r="B34" s="43" t="str">
        <f ca="1">IFERROR(INDEX(上期品种调整!B:B,SMALL(上期品种调整!AA:AA,ROW()-2)),"")</f>
        <v/>
      </c>
      <c r="C34" s="43" t="str">
        <f ca="1">IFERROR(INDEX(上期品种调整!C:C,SMALL(上期品种调整!AA:AA,ROW()-2)),"")</f>
        <v/>
      </c>
      <c r="E34" s="42" t="str">
        <f ca="1">IFERROR(INDEX(大连品种调整!A:A,SMALL(大连品种调整!AA:AA,ROW()-2)),"")</f>
        <v/>
      </c>
      <c r="F34" s="43" t="str">
        <f ca="1">IFERROR(INDEX(大连品种调整!B:B,SMALL(大连品种调整!AA:AA,ROW()-2)),"")</f>
        <v/>
      </c>
      <c r="G34" s="43" t="str">
        <f ca="1">IFERROR(INDEX(大连品种调整!C:C,SMALL(大连品种调整!AA:AA,ROW()-2)),"")</f>
        <v/>
      </c>
      <c r="I34" s="42" t="str">
        <f ca="1">IFERROR(INDEX(郑州品种调整!A:A,SMALL(郑州品种调整!Y:Y,ROW()-2)),"")</f>
        <v/>
      </c>
      <c r="J34" s="43" t="str">
        <f ca="1">IFERROR(INDEX(郑州品种调整!B:B,SMALL(郑州品种调整!Y:Y,ROW()-2)),"")</f>
        <v/>
      </c>
      <c r="K34" s="43" t="str">
        <f ca="1">IFERROR(INDEX(郑州品种调整!C:C,SMALL(郑州品种调整!Y:Y,ROW()-2)),"")</f>
        <v/>
      </c>
      <c r="M34" s="42" t="str">
        <f ca="1">IFERROR(INDEX(中金品种调整!A:A,SMALL(中金品种调整!AA:AA,ROW()-2)),"")</f>
        <v/>
      </c>
      <c r="N34" s="43" t="str">
        <f ca="1">IFERROR(INDEX(中金品种调整!B:B,SMALL(中金品种调整!AA:AA,ROW()-2)),"")</f>
        <v/>
      </c>
      <c r="O34" s="43" t="str">
        <f ca="1">IFERROR(INDEX(中金品种调整!C:C,SMALL(中金品种调整!AA:AA,ROW()-2)),"")</f>
        <v/>
      </c>
    </row>
    <row r="35" spans="1:15" x14ac:dyDescent="0.15">
      <c r="A35" s="40" t="str">
        <f ca="1">IFERROR(INDEX(上期品种调整!A:A,SMALL(上期品种调整!AA:AA,ROW()-2)),"")</f>
        <v/>
      </c>
      <c r="B35" s="41" t="str">
        <f ca="1">IFERROR(INDEX(上期品种调整!B:B,SMALL(上期品种调整!AA:AA,ROW()-2)),"")</f>
        <v/>
      </c>
      <c r="C35" s="41" t="str">
        <f ca="1">IFERROR(INDEX(上期品种调整!C:C,SMALL(上期品种调整!AA:AA,ROW()-2)),"")</f>
        <v/>
      </c>
      <c r="E35" s="40" t="str">
        <f ca="1">IFERROR(INDEX(大连品种调整!A:A,SMALL(大连品种调整!AA:AA,ROW()-2)),"")</f>
        <v/>
      </c>
      <c r="F35" s="41" t="str">
        <f ca="1">IFERROR(INDEX(大连品种调整!B:B,SMALL(大连品种调整!AA:AA,ROW()-2)),"")</f>
        <v/>
      </c>
      <c r="G35" s="41" t="str">
        <f ca="1">IFERROR(INDEX(大连品种调整!C:C,SMALL(大连品种调整!AA:AA,ROW()-2)),"")</f>
        <v/>
      </c>
      <c r="I35" s="40" t="str">
        <f ca="1">IFERROR(INDEX(郑州品种调整!A:A,SMALL(郑州品种调整!Y:Y,ROW()-2)),"")</f>
        <v/>
      </c>
      <c r="J35" s="41" t="str">
        <f ca="1">IFERROR(INDEX(郑州品种调整!B:B,SMALL(郑州品种调整!Y:Y,ROW()-2)),"")</f>
        <v/>
      </c>
      <c r="K35" s="41" t="str">
        <f ca="1">IFERROR(INDEX(郑州品种调整!C:C,SMALL(郑州品种调整!Y:Y,ROW()-2)),"")</f>
        <v/>
      </c>
      <c r="M35" s="40" t="str">
        <f ca="1">IFERROR(INDEX(中金品种调整!A:A,SMALL(中金品种调整!AA:AA,ROW()-2)),"")</f>
        <v/>
      </c>
      <c r="N35" s="41" t="str">
        <f ca="1">IFERROR(INDEX(中金品种调整!B:B,SMALL(中金品种调整!AA:AA,ROW()-2)),"")</f>
        <v/>
      </c>
      <c r="O35" s="41" t="str">
        <f ca="1">IFERROR(INDEX(中金品种调整!C:C,SMALL(中金品种调整!AA:AA,ROW()-2)),"")</f>
        <v/>
      </c>
    </row>
    <row r="36" spans="1:15" x14ac:dyDescent="0.15">
      <c r="A36" s="42" t="str">
        <f ca="1">IFERROR(INDEX(上期品种调整!A:A,SMALL(上期品种调整!AA:AA,ROW()-2)),"")</f>
        <v/>
      </c>
      <c r="B36" s="43" t="str">
        <f ca="1">IFERROR(INDEX(上期品种调整!B:B,SMALL(上期品种调整!AA:AA,ROW()-2)),"")</f>
        <v/>
      </c>
      <c r="C36" s="43" t="str">
        <f ca="1">IFERROR(INDEX(上期品种调整!C:C,SMALL(上期品种调整!AA:AA,ROW()-2)),"")</f>
        <v/>
      </c>
      <c r="E36" s="42" t="str">
        <f ca="1">IFERROR(INDEX(大连品种调整!A:A,SMALL(大连品种调整!AA:AA,ROW()-2)),"")</f>
        <v/>
      </c>
      <c r="F36" s="43" t="str">
        <f ca="1">IFERROR(INDEX(大连品种调整!B:B,SMALL(大连品种调整!AA:AA,ROW()-2)),"")</f>
        <v/>
      </c>
      <c r="G36" s="43" t="str">
        <f ca="1">IFERROR(INDEX(大连品种调整!C:C,SMALL(大连品种调整!AA:AA,ROW()-2)),"")</f>
        <v/>
      </c>
      <c r="I36" s="42" t="str">
        <f ca="1">IFERROR(INDEX(郑州品种调整!A:A,SMALL(郑州品种调整!Y:Y,ROW()-2)),"")</f>
        <v/>
      </c>
      <c r="J36" s="43" t="str">
        <f ca="1">IFERROR(INDEX(郑州品种调整!B:B,SMALL(郑州品种调整!Y:Y,ROW()-2)),"")</f>
        <v/>
      </c>
      <c r="K36" s="43" t="str">
        <f ca="1">IFERROR(INDEX(郑州品种调整!C:C,SMALL(郑州品种调整!Y:Y,ROW()-2)),"")</f>
        <v/>
      </c>
      <c r="M36" s="42" t="str">
        <f ca="1">IFERROR(INDEX(中金品种调整!A:A,SMALL(中金品种调整!AA:AA,ROW()-2)),"")</f>
        <v/>
      </c>
      <c r="N36" s="43" t="str">
        <f ca="1">IFERROR(INDEX(中金品种调整!B:B,SMALL(中金品种调整!AA:AA,ROW()-2)),"")</f>
        <v/>
      </c>
      <c r="O36" s="43" t="str">
        <f ca="1">IFERROR(INDEX(中金品种调整!C:C,SMALL(中金品种调整!AA:AA,ROW()-2)),"")</f>
        <v/>
      </c>
    </row>
    <row r="37" spans="1:15" x14ac:dyDescent="0.15">
      <c r="A37" s="40" t="str">
        <f ca="1">IFERROR(INDEX(上期品种调整!A:A,SMALL(上期品种调整!AA:AA,ROW()-2)),"")</f>
        <v/>
      </c>
      <c r="B37" s="41" t="str">
        <f ca="1">IFERROR(INDEX(上期品种调整!B:B,SMALL(上期品种调整!AA:AA,ROW()-2)),"")</f>
        <v/>
      </c>
      <c r="C37" s="41" t="str">
        <f ca="1">IFERROR(INDEX(上期品种调整!C:C,SMALL(上期品种调整!AA:AA,ROW()-2)),"")</f>
        <v/>
      </c>
      <c r="E37" s="40" t="str">
        <f ca="1">IFERROR(INDEX(大连品种调整!A:A,SMALL(大连品种调整!AA:AA,ROW()-2)),"")</f>
        <v/>
      </c>
      <c r="F37" s="41" t="str">
        <f ca="1">IFERROR(INDEX(大连品种调整!B:B,SMALL(大连品种调整!AA:AA,ROW()-2)),"")</f>
        <v/>
      </c>
      <c r="G37" s="41" t="str">
        <f ca="1">IFERROR(INDEX(大连品种调整!C:C,SMALL(大连品种调整!AA:AA,ROW()-2)),"")</f>
        <v/>
      </c>
      <c r="I37" s="40" t="str">
        <f ca="1">IFERROR(INDEX(郑州品种调整!A:A,SMALL(郑州品种调整!Y:Y,ROW()-2)),"")</f>
        <v/>
      </c>
      <c r="J37" s="41" t="str">
        <f ca="1">IFERROR(INDEX(郑州品种调整!B:B,SMALL(郑州品种调整!Y:Y,ROW()-2)),"")</f>
        <v/>
      </c>
      <c r="K37" s="41" t="str">
        <f ca="1">IFERROR(INDEX(郑州品种调整!C:C,SMALL(郑州品种调整!Y:Y,ROW()-2)),"")</f>
        <v/>
      </c>
      <c r="M37" s="40" t="str">
        <f ca="1">IFERROR(INDEX(中金品种调整!A:A,SMALL(中金品种调整!AA:AA,ROW()-2)),"")</f>
        <v/>
      </c>
      <c r="N37" s="41" t="str">
        <f ca="1">IFERROR(INDEX(中金品种调整!B:B,SMALL(中金品种调整!AA:AA,ROW()-2)),"")</f>
        <v/>
      </c>
      <c r="O37" s="41" t="str">
        <f ca="1">IFERROR(INDEX(中金品种调整!C:C,SMALL(中金品种调整!AA:AA,ROW()-2)),"")</f>
        <v/>
      </c>
    </row>
    <row r="38" spans="1:15" x14ac:dyDescent="0.15">
      <c r="A38" s="42" t="str">
        <f ca="1">IFERROR(INDEX(上期品种调整!A:A,SMALL(上期品种调整!AA:AA,ROW()-2)),"")</f>
        <v/>
      </c>
      <c r="B38" s="43" t="str">
        <f ca="1">IFERROR(INDEX(上期品种调整!B:B,SMALL(上期品种调整!AA:AA,ROW()-2)),"")</f>
        <v/>
      </c>
      <c r="C38" s="43" t="str">
        <f ca="1">IFERROR(INDEX(上期品种调整!C:C,SMALL(上期品种调整!AA:AA,ROW()-2)),"")</f>
        <v/>
      </c>
      <c r="E38" s="42" t="str">
        <f ca="1">IFERROR(INDEX(大连品种调整!A:A,SMALL(大连品种调整!AA:AA,ROW()-2)),"")</f>
        <v/>
      </c>
      <c r="F38" s="43" t="str">
        <f ca="1">IFERROR(INDEX(大连品种调整!B:B,SMALL(大连品种调整!AA:AA,ROW()-2)),"")</f>
        <v/>
      </c>
      <c r="G38" s="43" t="str">
        <f ca="1">IFERROR(INDEX(大连品种调整!C:C,SMALL(大连品种调整!AA:AA,ROW()-2)),"")</f>
        <v/>
      </c>
      <c r="I38" s="42" t="str">
        <f ca="1">IFERROR(INDEX(郑州品种调整!A:A,SMALL(郑州品种调整!Y:Y,ROW()-2)),"")</f>
        <v/>
      </c>
      <c r="J38" s="43" t="str">
        <f ca="1">IFERROR(INDEX(郑州品种调整!B:B,SMALL(郑州品种调整!Y:Y,ROW()-2)),"")</f>
        <v/>
      </c>
      <c r="K38" s="43" t="str">
        <f ca="1">IFERROR(INDEX(郑州品种调整!C:C,SMALL(郑州品种调整!Y:Y,ROW()-2)),"")</f>
        <v/>
      </c>
      <c r="M38" s="42" t="str">
        <f ca="1">IFERROR(INDEX(中金品种调整!A:A,SMALL(中金品种调整!AA:AA,ROW()-2)),"")</f>
        <v/>
      </c>
      <c r="N38" s="43" t="str">
        <f ca="1">IFERROR(INDEX(中金品种调整!B:B,SMALL(中金品种调整!AA:AA,ROW()-2)),"")</f>
        <v/>
      </c>
      <c r="O38" s="43" t="str">
        <f ca="1">IFERROR(INDEX(中金品种调整!C:C,SMALL(中金品种调整!AA:AA,ROW()-2)),"")</f>
        <v/>
      </c>
    </row>
    <row r="39" spans="1:15" x14ac:dyDescent="0.15">
      <c r="A39" s="40" t="str">
        <f ca="1">IFERROR(INDEX(上期品种调整!A:A,SMALL(上期品种调整!AA:AA,ROW()-2)),"")</f>
        <v/>
      </c>
      <c r="B39" s="41" t="str">
        <f ca="1">IFERROR(INDEX(上期品种调整!B:B,SMALL(上期品种调整!AA:AA,ROW()-2)),"")</f>
        <v/>
      </c>
      <c r="C39" s="41" t="str">
        <f ca="1">IFERROR(INDEX(上期品种调整!C:C,SMALL(上期品种调整!AA:AA,ROW()-2)),"")</f>
        <v/>
      </c>
      <c r="E39" s="40" t="str">
        <f ca="1">IFERROR(INDEX(大连品种调整!A:A,SMALL(大连品种调整!AA:AA,ROW()-2)),"")</f>
        <v/>
      </c>
      <c r="F39" s="41" t="str">
        <f ca="1">IFERROR(INDEX(大连品种调整!B:B,SMALL(大连品种调整!AA:AA,ROW()-2)),"")</f>
        <v/>
      </c>
      <c r="G39" s="41" t="str">
        <f ca="1">IFERROR(INDEX(大连品种调整!C:C,SMALL(大连品种调整!AA:AA,ROW()-2)),"")</f>
        <v/>
      </c>
      <c r="I39" s="40" t="str">
        <f ca="1">IFERROR(INDEX(郑州品种调整!A:A,SMALL(郑州品种调整!Y:Y,ROW()-2)),"")</f>
        <v/>
      </c>
      <c r="J39" s="41" t="str">
        <f ca="1">IFERROR(INDEX(郑州品种调整!B:B,SMALL(郑州品种调整!Y:Y,ROW()-2)),"")</f>
        <v/>
      </c>
      <c r="K39" s="41" t="str">
        <f ca="1">IFERROR(INDEX(郑州品种调整!C:C,SMALL(郑州品种调整!Y:Y,ROW()-2)),"")</f>
        <v/>
      </c>
      <c r="M39" s="40" t="str">
        <f ca="1">IFERROR(INDEX(中金品种调整!A:A,SMALL(中金品种调整!AA:AA,ROW()-2)),"")</f>
        <v/>
      </c>
      <c r="N39" s="41" t="str">
        <f ca="1">IFERROR(INDEX(中金品种调整!B:B,SMALL(中金品种调整!AA:AA,ROW()-2)),"")</f>
        <v/>
      </c>
      <c r="O39" s="41" t="str">
        <f ca="1">IFERROR(INDEX(中金品种调整!C:C,SMALL(中金品种调整!AA:AA,ROW()-2)),"")</f>
        <v/>
      </c>
    </row>
    <row r="40" spans="1:15" x14ac:dyDescent="0.15">
      <c r="A40" s="42" t="str">
        <f ca="1">IFERROR(INDEX(上期品种调整!A:A,SMALL(上期品种调整!AA:AA,ROW()-2)),"")</f>
        <v/>
      </c>
      <c r="B40" s="43" t="str">
        <f ca="1">IFERROR(INDEX(上期品种调整!B:B,SMALL(上期品种调整!AA:AA,ROW()-2)),"")</f>
        <v/>
      </c>
      <c r="C40" s="43" t="str">
        <f ca="1">IFERROR(INDEX(上期品种调整!C:C,SMALL(上期品种调整!AA:AA,ROW()-2)),"")</f>
        <v/>
      </c>
      <c r="E40" s="42" t="str">
        <f ca="1">IFERROR(INDEX(大连品种调整!A:A,SMALL(大连品种调整!AA:AA,ROW()-2)),"")</f>
        <v/>
      </c>
      <c r="F40" s="43" t="str">
        <f ca="1">IFERROR(INDEX(大连品种调整!B:B,SMALL(大连品种调整!AA:AA,ROW()-2)),"")</f>
        <v/>
      </c>
      <c r="G40" s="43" t="str">
        <f ca="1">IFERROR(INDEX(大连品种调整!C:C,SMALL(大连品种调整!AA:AA,ROW()-2)),"")</f>
        <v/>
      </c>
      <c r="I40" s="42" t="str">
        <f ca="1">IFERROR(INDEX(郑州品种调整!A:A,SMALL(郑州品种调整!Y:Y,ROW()-2)),"")</f>
        <v/>
      </c>
      <c r="J40" s="43" t="str">
        <f ca="1">IFERROR(INDEX(郑州品种调整!B:B,SMALL(郑州品种调整!Y:Y,ROW()-2)),"")</f>
        <v/>
      </c>
      <c r="K40" s="43" t="str">
        <f ca="1">IFERROR(INDEX(郑州品种调整!C:C,SMALL(郑州品种调整!Y:Y,ROW()-2)),"")</f>
        <v/>
      </c>
      <c r="M40" s="42" t="str">
        <f ca="1">IFERROR(INDEX(中金品种调整!A:A,SMALL(中金品种调整!AA:AA,ROW()-2)),"")</f>
        <v/>
      </c>
      <c r="N40" s="43" t="str">
        <f ca="1">IFERROR(INDEX(中金品种调整!B:B,SMALL(中金品种调整!AA:AA,ROW()-2)),"")</f>
        <v/>
      </c>
      <c r="O40" s="43" t="str">
        <f ca="1">IFERROR(INDEX(中金品种调整!C:C,SMALL(中金品种调整!AA:AA,ROW()-2)),"")</f>
        <v/>
      </c>
    </row>
    <row r="41" spans="1:15" x14ac:dyDescent="0.15">
      <c r="A41" s="40" t="str">
        <f ca="1">IFERROR(INDEX(上期品种调整!A:A,SMALL(上期品种调整!AA:AA,ROW()-2)),"")</f>
        <v/>
      </c>
      <c r="B41" s="41" t="str">
        <f ca="1">IFERROR(INDEX(上期品种调整!B:B,SMALL(上期品种调整!AA:AA,ROW()-2)),"")</f>
        <v/>
      </c>
      <c r="C41" s="41" t="str">
        <f ca="1">IFERROR(INDEX(上期品种调整!C:C,SMALL(上期品种调整!AA:AA,ROW()-2)),"")</f>
        <v/>
      </c>
      <c r="E41" s="40" t="str">
        <f ca="1">IFERROR(INDEX(大连品种调整!A:A,SMALL(大连品种调整!AA:AA,ROW()-2)),"")</f>
        <v/>
      </c>
      <c r="F41" s="41" t="str">
        <f ca="1">IFERROR(INDEX(大连品种调整!B:B,SMALL(大连品种调整!AA:AA,ROW()-2)),"")</f>
        <v/>
      </c>
      <c r="G41" s="41" t="str">
        <f ca="1">IFERROR(INDEX(大连品种调整!C:C,SMALL(大连品种调整!AA:AA,ROW()-2)),"")</f>
        <v/>
      </c>
      <c r="I41" s="40" t="str">
        <f ca="1">IFERROR(INDEX(郑州品种调整!A:A,SMALL(郑州品种调整!Y:Y,ROW()-2)),"")</f>
        <v/>
      </c>
      <c r="J41" s="41" t="str">
        <f ca="1">IFERROR(INDEX(郑州品种调整!B:B,SMALL(郑州品种调整!Y:Y,ROW()-2)),"")</f>
        <v/>
      </c>
      <c r="K41" s="41" t="str">
        <f ca="1">IFERROR(INDEX(郑州品种调整!C:C,SMALL(郑州品种调整!Y:Y,ROW()-2)),"")</f>
        <v/>
      </c>
      <c r="M41" s="40" t="str">
        <f ca="1">IFERROR(INDEX(中金品种调整!A:A,SMALL(中金品种调整!AA:AA,ROW()-2)),"")</f>
        <v/>
      </c>
      <c r="N41" s="41" t="str">
        <f ca="1">IFERROR(INDEX(中金品种调整!B:B,SMALL(中金品种调整!AA:AA,ROW()-2)),"")</f>
        <v/>
      </c>
      <c r="O41" s="41" t="str">
        <f ca="1">IFERROR(INDEX(中金品种调整!C:C,SMALL(中金品种调整!AA:AA,ROW()-2)),"")</f>
        <v/>
      </c>
    </row>
    <row r="42" spans="1:15" x14ac:dyDescent="0.15">
      <c r="A42" s="42" t="str">
        <f ca="1">IFERROR(INDEX(上期品种调整!A:A,SMALL(上期品种调整!AA:AA,ROW()-2)),"")</f>
        <v/>
      </c>
      <c r="B42" s="43" t="str">
        <f ca="1">IFERROR(INDEX(上期品种调整!B:B,SMALL(上期品种调整!AA:AA,ROW()-2)),"")</f>
        <v/>
      </c>
      <c r="C42" s="43" t="str">
        <f ca="1">IFERROR(INDEX(上期品种调整!C:C,SMALL(上期品种调整!AA:AA,ROW()-2)),"")</f>
        <v/>
      </c>
      <c r="E42" s="42" t="str">
        <f ca="1">IFERROR(INDEX(大连品种调整!A:A,SMALL(大连品种调整!AA:AA,ROW()-2)),"")</f>
        <v/>
      </c>
      <c r="F42" s="43" t="str">
        <f ca="1">IFERROR(INDEX(大连品种调整!B:B,SMALL(大连品种调整!AA:AA,ROW()-2)),"")</f>
        <v/>
      </c>
      <c r="G42" s="43" t="str">
        <f ca="1">IFERROR(INDEX(大连品种调整!C:C,SMALL(大连品种调整!AA:AA,ROW()-2)),"")</f>
        <v/>
      </c>
      <c r="I42" s="42" t="str">
        <f ca="1">IFERROR(INDEX(郑州品种调整!A:A,SMALL(郑州品种调整!Y:Y,ROW()-2)),"")</f>
        <v/>
      </c>
      <c r="J42" s="43" t="str">
        <f ca="1">IFERROR(INDEX(郑州品种调整!B:B,SMALL(郑州品种调整!Y:Y,ROW()-2)),"")</f>
        <v/>
      </c>
      <c r="K42" s="43" t="str">
        <f ca="1">IFERROR(INDEX(郑州品种调整!C:C,SMALL(郑州品种调整!Y:Y,ROW()-2)),"")</f>
        <v/>
      </c>
      <c r="M42" s="42" t="str">
        <f ca="1">IFERROR(INDEX(中金品种调整!A:A,SMALL(中金品种调整!AA:AA,ROW()-2)),"")</f>
        <v/>
      </c>
      <c r="N42" s="43" t="str">
        <f ca="1">IFERROR(INDEX(中金品种调整!B:B,SMALL(中金品种调整!AA:AA,ROW()-2)),"")</f>
        <v/>
      </c>
      <c r="O42" s="43" t="str">
        <f ca="1">IFERROR(INDEX(中金品种调整!C:C,SMALL(中金品种调整!AA:AA,ROW()-2)),"")</f>
        <v/>
      </c>
    </row>
    <row r="43" spans="1:15" x14ac:dyDescent="0.15">
      <c r="A43" s="40" t="str">
        <f ca="1">IFERROR(INDEX(上期品种调整!A:A,SMALL(上期品种调整!AA:AA,ROW()-2)),"")</f>
        <v/>
      </c>
      <c r="B43" s="41" t="str">
        <f ca="1">IFERROR(INDEX(上期品种调整!B:B,SMALL(上期品种调整!AA:AA,ROW()-2)),"")</f>
        <v/>
      </c>
      <c r="C43" s="41" t="str">
        <f ca="1">IFERROR(INDEX(上期品种调整!C:C,SMALL(上期品种调整!AA:AA,ROW()-2)),"")</f>
        <v/>
      </c>
      <c r="E43" s="40" t="str">
        <f ca="1">IFERROR(INDEX(大连品种调整!A:A,SMALL(大连品种调整!AA:AA,ROW()-2)),"")</f>
        <v/>
      </c>
      <c r="F43" s="41" t="str">
        <f ca="1">IFERROR(INDEX(大连品种调整!B:B,SMALL(大连品种调整!AA:AA,ROW()-2)),"")</f>
        <v/>
      </c>
      <c r="G43" s="41" t="str">
        <f ca="1">IFERROR(INDEX(大连品种调整!C:C,SMALL(大连品种调整!AA:AA,ROW()-2)),"")</f>
        <v/>
      </c>
      <c r="I43" s="40" t="str">
        <f ca="1">IFERROR(INDEX(郑州品种调整!A:A,SMALL(郑州品种调整!Y:Y,ROW()-2)),"")</f>
        <v/>
      </c>
      <c r="J43" s="41" t="str">
        <f ca="1">IFERROR(INDEX(郑州品种调整!B:B,SMALL(郑州品种调整!Y:Y,ROW()-2)),"")</f>
        <v/>
      </c>
      <c r="K43" s="41" t="str">
        <f ca="1">IFERROR(INDEX(郑州品种调整!C:C,SMALL(郑州品种调整!Y:Y,ROW()-2)),"")</f>
        <v/>
      </c>
      <c r="M43" s="40" t="str">
        <f ca="1">IFERROR(INDEX(中金品种调整!A:A,SMALL(中金品种调整!AA:AA,ROW()-2)),"")</f>
        <v/>
      </c>
      <c r="N43" s="41" t="str">
        <f ca="1">IFERROR(INDEX(中金品种调整!B:B,SMALL(中金品种调整!AA:AA,ROW()-2)),"")</f>
        <v/>
      </c>
      <c r="O43" s="41" t="str">
        <f ca="1">IFERROR(INDEX(中金品种调整!C:C,SMALL(中金品种调整!AA:AA,ROW()-2)),"")</f>
        <v/>
      </c>
    </row>
    <row r="44" spans="1:15" x14ac:dyDescent="0.15">
      <c r="A44" s="42" t="str">
        <f ca="1">IFERROR(INDEX(上期品种调整!A:A,SMALL(上期品种调整!AA:AA,ROW()-2)),"")</f>
        <v/>
      </c>
      <c r="B44" s="43" t="str">
        <f ca="1">IFERROR(INDEX(上期品种调整!B:B,SMALL(上期品种调整!AA:AA,ROW()-2)),"")</f>
        <v/>
      </c>
      <c r="C44" s="43" t="str">
        <f ca="1">IFERROR(INDEX(上期品种调整!C:C,SMALL(上期品种调整!AA:AA,ROW()-2)),"")</f>
        <v/>
      </c>
      <c r="E44" s="42" t="str">
        <f ca="1">IFERROR(INDEX(大连品种调整!A:A,SMALL(大连品种调整!AA:AA,ROW()-2)),"")</f>
        <v/>
      </c>
      <c r="F44" s="43" t="str">
        <f ca="1">IFERROR(INDEX(大连品种调整!B:B,SMALL(大连品种调整!AA:AA,ROW()-2)),"")</f>
        <v/>
      </c>
      <c r="G44" s="43" t="str">
        <f ca="1">IFERROR(INDEX(大连品种调整!C:C,SMALL(大连品种调整!AA:AA,ROW()-2)),"")</f>
        <v/>
      </c>
      <c r="I44" s="42" t="str">
        <f ca="1">IFERROR(INDEX(郑州品种调整!A:A,SMALL(郑州品种调整!Y:Y,ROW()-2)),"")</f>
        <v/>
      </c>
      <c r="J44" s="43" t="str">
        <f ca="1">IFERROR(INDEX(郑州品种调整!B:B,SMALL(郑州品种调整!Y:Y,ROW()-2)),"")</f>
        <v/>
      </c>
      <c r="K44" s="43" t="str">
        <f ca="1">IFERROR(INDEX(郑州品种调整!C:C,SMALL(郑州品种调整!Y:Y,ROW()-2)),"")</f>
        <v/>
      </c>
      <c r="M44" s="42" t="str">
        <f ca="1">IFERROR(INDEX(中金品种调整!A:A,SMALL(中金品种调整!AA:AA,ROW()-2)),"")</f>
        <v/>
      </c>
      <c r="N44" s="43" t="str">
        <f ca="1">IFERROR(INDEX(中金品种调整!B:B,SMALL(中金品种调整!AA:AA,ROW()-2)),"")</f>
        <v/>
      </c>
      <c r="O44" s="43" t="str">
        <f ca="1">IFERROR(INDEX(中金品种调整!C:C,SMALL(中金品种调整!AA:AA,ROW()-2)),"")</f>
        <v/>
      </c>
    </row>
    <row r="45" spans="1:15" x14ac:dyDescent="0.15">
      <c r="A45" s="40" t="str">
        <f ca="1">IFERROR(INDEX(上期品种调整!A:A,SMALL(上期品种调整!AA:AA,ROW()-2)),"")</f>
        <v/>
      </c>
      <c r="B45" s="41" t="str">
        <f ca="1">IFERROR(INDEX(上期品种调整!B:B,SMALL(上期品种调整!AA:AA,ROW()-2)),"")</f>
        <v/>
      </c>
      <c r="C45" s="41" t="str">
        <f ca="1">IFERROR(INDEX(上期品种调整!C:C,SMALL(上期品种调整!AA:AA,ROW()-2)),"")</f>
        <v/>
      </c>
      <c r="E45" s="40" t="str">
        <f ca="1">IFERROR(INDEX(大连品种调整!A:A,SMALL(大连品种调整!AA:AA,ROW()-2)),"")</f>
        <v/>
      </c>
      <c r="F45" s="41" t="str">
        <f ca="1">IFERROR(INDEX(大连品种调整!B:B,SMALL(大连品种调整!AA:AA,ROW()-2)),"")</f>
        <v/>
      </c>
      <c r="G45" s="41" t="str">
        <f ca="1">IFERROR(INDEX(大连品种调整!C:C,SMALL(大连品种调整!AA:AA,ROW()-2)),"")</f>
        <v/>
      </c>
      <c r="I45" s="40" t="str">
        <f ca="1">IFERROR(INDEX(郑州品种调整!A:A,SMALL(郑州品种调整!Y:Y,ROW()-2)),"")</f>
        <v/>
      </c>
      <c r="J45" s="41" t="str">
        <f ca="1">IFERROR(INDEX(郑州品种调整!B:B,SMALL(郑州品种调整!Y:Y,ROW()-2)),"")</f>
        <v/>
      </c>
      <c r="K45" s="41" t="str">
        <f ca="1">IFERROR(INDEX(郑州品种调整!C:C,SMALL(郑州品种调整!Y:Y,ROW()-2)),"")</f>
        <v/>
      </c>
      <c r="M45" s="40" t="str">
        <f ca="1">IFERROR(INDEX(中金品种调整!A:A,SMALL(中金品种调整!AA:AA,ROW()-2)),"")</f>
        <v/>
      </c>
      <c r="N45" s="41" t="str">
        <f ca="1">IFERROR(INDEX(中金品种调整!B:B,SMALL(中金品种调整!AA:AA,ROW()-2)),"")</f>
        <v/>
      </c>
      <c r="O45" s="41" t="str">
        <f ca="1">IFERROR(INDEX(中金品种调整!C:C,SMALL(中金品种调整!AA:AA,ROW()-2)),"")</f>
        <v/>
      </c>
    </row>
    <row r="46" spans="1:15" x14ac:dyDescent="0.15">
      <c r="A46" s="42" t="str">
        <f ca="1">IFERROR(INDEX(上期品种调整!A:A,SMALL(上期品种调整!AA:AA,ROW()-2)),"")</f>
        <v/>
      </c>
      <c r="B46" s="43" t="str">
        <f ca="1">IFERROR(INDEX(上期品种调整!B:B,SMALL(上期品种调整!AA:AA,ROW()-2)),"")</f>
        <v/>
      </c>
      <c r="C46" s="43" t="str">
        <f ca="1">IFERROR(INDEX(上期品种调整!C:C,SMALL(上期品种调整!AA:AA,ROW()-2)),"")</f>
        <v/>
      </c>
      <c r="E46" s="42" t="str">
        <f ca="1">IFERROR(INDEX(大连品种调整!A:A,SMALL(大连品种调整!AA:AA,ROW()-2)),"")</f>
        <v/>
      </c>
      <c r="F46" s="43" t="str">
        <f ca="1">IFERROR(INDEX(大连品种调整!B:B,SMALL(大连品种调整!AA:AA,ROW()-2)),"")</f>
        <v/>
      </c>
      <c r="G46" s="43" t="str">
        <f ca="1">IFERROR(INDEX(大连品种调整!C:C,SMALL(大连品种调整!AA:AA,ROW()-2)),"")</f>
        <v/>
      </c>
      <c r="I46" s="42" t="str">
        <f ca="1">IFERROR(INDEX(郑州品种调整!A:A,SMALL(郑州品种调整!Y:Y,ROW()-2)),"")</f>
        <v/>
      </c>
      <c r="J46" s="43" t="str">
        <f ca="1">IFERROR(INDEX(郑州品种调整!B:B,SMALL(郑州品种调整!Y:Y,ROW()-2)),"")</f>
        <v/>
      </c>
      <c r="K46" s="43" t="str">
        <f ca="1">IFERROR(INDEX(郑州品种调整!C:C,SMALL(郑州品种调整!Y:Y,ROW()-2)),"")</f>
        <v/>
      </c>
      <c r="M46" s="42" t="str">
        <f ca="1">IFERROR(INDEX(中金品种调整!A:A,SMALL(中金品种调整!AA:AA,ROW()-2)),"")</f>
        <v/>
      </c>
      <c r="N46" s="43" t="str">
        <f ca="1">IFERROR(INDEX(中金品种调整!B:B,SMALL(中金品种调整!AA:AA,ROW()-2)),"")</f>
        <v/>
      </c>
      <c r="O46" s="43" t="str">
        <f ca="1">IFERROR(INDEX(中金品种调整!C:C,SMALL(中金品种调整!AA:AA,ROW()-2)),"")</f>
        <v/>
      </c>
    </row>
    <row r="47" spans="1:15" x14ac:dyDescent="0.15">
      <c r="A47" s="40" t="str">
        <f ca="1">IFERROR(INDEX(上期品种调整!A:A,SMALL(上期品种调整!AA:AA,ROW()-2)),"")</f>
        <v/>
      </c>
      <c r="B47" s="41" t="str">
        <f ca="1">IFERROR(INDEX(上期品种调整!B:B,SMALL(上期品种调整!AA:AA,ROW()-2)),"")</f>
        <v/>
      </c>
      <c r="C47" s="41" t="str">
        <f ca="1">IFERROR(INDEX(上期品种调整!C:C,SMALL(上期品种调整!AA:AA,ROW()-2)),"")</f>
        <v/>
      </c>
      <c r="E47" s="40" t="str">
        <f ca="1">IFERROR(INDEX(大连品种调整!A:A,SMALL(大连品种调整!AA:AA,ROW()-2)),"")</f>
        <v/>
      </c>
      <c r="F47" s="41" t="str">
        <f ca="1">IFERROR(INDEX(大连品种调整!B:B,SMALL(大连品种调整!AA:AA,ROW()-2)),"")</f>
        <v/>
      </c>
      <c r="G47" s="41" t="str">
        <f ca="1">IFERROR(INDEX(大连品种调整!C:C,SMALL(大连品种调整!AA:AA,ROW()-2)),"")</f>
        <v/>
      </c>
      <c r="I47" s="40" t="str">
        <f ca="1">IFERROR(INDEX(郑州品种调整!A:A,SMALL(郑州品种调整!Y:Y,ROW()-2)),"")</f>
        <v/>
      </c>
      <c r="J47" s="41" t="str">
        <f ca="1">IFERROR(INDEX(郑州品种调整!B:B,SMALL(郑州品种调整!Y:Y,ROW()-2)),"")</f>
        <v/>
      </c>
      <c r="K47" s="41" t="str">
        <f ca="1">IFERROR(INDEX(郑州品种调整!C:C,SMALL(郑州品种调整!Y:Y,ROW()-2)),"")</f>
        <v/>
      </c>
      <c r="M47" s="40" t="str">
        <f ca="1">IFERROR(INDEX(中金品种调整!A:A,SMALL(中金品种调整!AA:AA,ROW()-2)),"")</f>
        <v/>
      </c>
      <c r="N47" s="41" t="str">
        <f ca="1">IFERROR(INDEX(中金品种调整!B:B,SMALL(中金品种调整!AA:AA,ROW()-2)),"")</f>
        <v/>
      </c>
      <c r="O47" s="41" t="str">
        <f ca="1">IFERROR(INDEX(中金品种调整!C:C,SMALL(中金品种调整!AA:AA,ROW()-2)),"")</f>
        <v/>
      </c>
    </row>
    <row r="48" spans="1:15" x14ac:dyDescent="0.15">
      <c r="A48" s="42" t="str">
        <f ca="1">IFERROR(INDEX(上期品种调整!A:A,SMALL(上期品种调整!AA:AA,ROW()-2)),"")</f>
        <v/>
      </c>
      <c r="B48" s="43" t="str">
        <f ca="1">IFERROR(INDEX(上期品种调整!B:B,SMALL(上期品种调整!AA:AA,ROW()-2)),"")</f>
        <v/>
      </c>
      <c r="C48" s="43" t="str">
        <f ca="1">IFERROR(INDEX(上期品种调整!C:C,SMALL(上期品种调整!AA:AA,ROW()-2)),"")</f>
        <v/>
      </c>
      <c r="E48" s="42" t="str">
        <f ca="1">IFERROR(INDEX(大连品种调整!A:A,SMALL(大连品种调整!AA:AA,ROW()-2)),"")</f>
        <v/>
      </c>
      <c r="F48" s="43" t="str">
        <f ca="1">IFERROR(INDEX(大连品种调整!B:B,SMALL(大连品种调整!AA:AA,ROW()-2)),"")</f>
        <v/>
      </c>
      <c r="G48" s="43" t="str">
        <f ca="1">IFERROR(INDEX(大连品种调整!C:C,SMALL(大连品种调整!AA:AA,ROW()-2)),"")</f>
        <v/>
      </c>
      <c r="I48" s="42" t="str">
        <f ca="1">IFERROR(INDEX(郑州品种调整!A:A,SMALL(郑州品种调整!Y:Y,ROW()-2)),"")</f>
        <v/>
      </c>
      <c r="J48" s="43" t="str">
        <f ca="1">IFERROR(INDEX(郑州品种调整!B:B,SMALL(郑州品种调整!Y:Y,ROW()-2)),"")</f>
        <v/>
      </c>
      <c r="K48" s="43" t="str">
        <f ca="1">IFERROR(INDEX(郑州品种调整!C:C,SMALL(郑州品种调整!Y:Y,ROW()-2)),"")</f>
        <v/>
      </c>
      <c r="M48" s="42" t="str">
        <f ca="1">IFERROR(INDEX(中金品种调整!A:A,SMALL(中金品种调整!AA:AA,ROW()-2)),"")</f>
        <v/>
      </c>
      <c r="N48" s="43" t="str">
        <f ca="1">IFERROR(INDEX(中金品种调整!B:B,SMALL(中金品种调整!AA:AA,ROW()-2)),"")</f>
        <v/>
      </c>
      <c r="O48" s="43" t="str">
        <f ca="1">IFERROR(INDEX(中金品种调整!C:C,SMALL(中金品种调整!AA:AA,ROW()-2)),"")</f>
        <v/>
      </c>
    </row>
    <row r="49" spans="1:15" x14ac:dyDescent="0.15">
      <c r="A49" s="40" t="str">
        <f ca="1">IFERROR(INDEX(上期品种调整!A:A,SMALL(上期品种调整!AA:AA,ROW()-2)),"")</f>
        <v/>
      </c>
      <c r="B49" s="41" t="str">
        <f ca="1">IFERROR(INDEX(上期品种调整!B:B,SMALL(上期品种调整!AA:AA,ROW()-2)),"")</f>
        <v/>
      </c>
      <c r="C49" s="41" t="str">
        <f ca="1">IFERROR(INDEX(上期品种调整!C:C,SMALL(上期品种调整!AA:AA,ROW()-2)),"")</f>
        <v/>
      </c>
      <c r="E49" s="40" t="str">
        <f ca="1">IFERROR(INDEX(大连品种调整!A:A,SMALL(大连品种调整!AA:AA,ROW()-2)),"")</f>
        <v/>
      </c>
      <c r="F49" s="41" t="str">
        <f ca="1">IFERROR(INDEX(大连品种调整!B:B,SMALL(大连品种调整!AA:AA,ROW()-2)),"")</f>
        <v/>
      </c>
      <c r="G49" s="41" t="str">
        <f ca="1">IFERROR(INDEX(大连品种调整!C:C,SMALL(大连品种调整!AA:AA,ROW()-2)),"")</f>
        <v/>
      </c>
      <c r="I49" s="40" t="str">
        <f ca="1">IFERROR(INDEX(郑州品种调整!A:A,SMALL(郑州品种调整!Y:Y,ROW()-2)),"")</f>
        <v/>
      </c>
      <c r="J49" s="41" t="str">
        <f ca="1">IFERROR(INDEX(郑州品种调整!B:B,SMALL(郑州品种调整!Y:Y,ROW()-2)),"")</f>
        <v/>
      </c>
      <c r="K49" s="41" t="str">
        <f ca="1">IFERROR(INDEX(郑州品种调整!C:C,SMALL(郑州品种调整!Y:Y,ROW()-2)),"")</f>
        <v/>
      </c>
      <c r="M49" s="40" t="str">
        <f ca="1">IFERROR(INDEX(中金品种调整!A:A,SMALL(中金品种调整!AA:AA,ROW()-2)),"")</f>
        <v/>
      </c>
      <c r="N49" s="41" t="str">
        <f ca="1">IFERROR(INDEX(中金品种调整!B:B,SMALL(中金品种调整!AA:AA,ROW()-2)),"")</f>
        <v/>
      </c>
      <c r="O49" s="41" t="str">
        <f ca="1">IFERROR(INDEX(中金品种调整!C:C,SMALL(中金品种调整!AA:AA,ROW()-2)),"")</f>
        <v/>
      </c>
    </row>
    <row r="50" spans="1:15" x14ac:dyDescent="0.15">
      <c r="A50" s="42" t="str">
        <f ca="1">IFERROR(INDEX(上期品种调整!A:A,SMALL(上期品种调整!AA:AA,ROW()-2)),"")</f>
        <v/>
      </c>
      <c r="B50" s="43" t="str">
        <f ca="1">IFERROR(INDEX(上期品种调整!B:B,SMALL(上期品种调整!AA:AA,ROW()-2)),"")</f>
        <v/>
      </c>
      <c r="C50" s="43" t="str">
        <f ca="1">IFERROR(INDEX(上期品种调整!C:C,SMALL(上期品种调整!AA:AA,ROW()-2)),"")</f>
        <v/>
      </c>
      <c r="E50" s="42" t="str">
        <f ca="1">IFERROR(INDEX(大连品种调整!A:A,SMALL(大连品种调整!AA:AA,ROW()-2)),"")</f>
        <v/>
      </c>
      <c r="F50" s="43" t="str">
        <f ca="1">IFERROR(INDEX(大连品种调整!B:B,SMALL(大连品种调整!AA:AA,ROW()-2)),"")</f>
        <v/>
      </c>
      <c r="G50" s="43" t="str">
        <f ca="1">IFERROR(INDEX(大连品种调整!C:C,SMALL(大连品种调整!AA:AA,ROW()-2)),"")</f>
        <v/>
      </c>
      <c r="I50" s="42" t="str">
        <f ca="1">IFERROR(INDEX(郑州品种调整!A:A,SMALL(郑州品种调整!Y:Y,ROW()-2)),"")</f>
        <v/>
      </c>
      <c r="J50" s="43" t="str">
        <f ca="1">IFERROR(INDEX(郑州品种调整!B:B,SMALL(郑州品种调整!Y:Y,ROW()-2)),"")</f>
        <v/>
      </c>
      <c r="K50" s="43" t="str">
        <f ca="1">IFERROR(INDEX(郑州品种调整!C:C,SMALL(郑州品种调整!Y:Y,ROW()-2)),"")</f>
        <v/>
      </c>
      <c r="M50" s="42" t="str">
        <f ca="1">IFERROR(INDEX(中金品种调整!A:A,SMALL(中金品种调整!AA:AA,ROW()-2)),"")</f>
        <v/>
      </c>
      <c r="N50" s="43" t="str">
        <f ca="1">IFERROR(INDEX(中金品种调整!B:B,SMALL(中金品种调整!AA:AA,ROW()-2)),"")</f>
        <v/>
      </c>
      <c r="O50" s="43" t="str">
        <f ca="1">IFERROR(INDEX(中金品种调整!C:C,SMALL(中金品种调整!AA:AA,ROW()-2)),"")</f>
        <v/>
      </c>
    </row>
    <row r="51" spans="1:15" x14ac:dyDescent="0.15">
      <c r="A51" s="40" t="str">
        <f ca="1">IFERROR(INDEX(上期品种调整!A:A,SMALL(上期品种调整!AA:AA,ROW()-2)),"")</f>
        <v/>
      </c>
      <c r="B51" s="41" t="str">
        <f ca="1">IFERROR(INDEX(上期品种调整!B:B,SMALL(上期品种调整!AA:AA,ROW()-2)),"")</f>
        <v/>
      </c>
      <c r="C51" s="41" t="str">
        <f ca="1">IFERROR(INDEX(上期品种调整!C:C,SMALL(上期品种调整!AA:AA,ROW()-2)),"")</f>
        <v/>
      </c>
      <c r="E51" s="40" t="str">
        <f ca="1">IFERROR(INDEX(大连品种调整!A:A,SMALL(大连品种调整!AA:AA,ROW()-2)),"")</f>
        <v/>
      </c>
      <c r="F51" s="41" t="str">
        <f ca="1">IFERROR(INDEX(大连品种调整!B:B,SMALL(大连品种调整!AA:AA,ROW()-2)),"")</f>
        <v/>
      </c>
      <c r="G51" s="41" t="str">
        <f ca="1">IFERROR(INDEX(大连品种调整!C:C,SMALL(大连品种调整!AA:AA,ROW()-2)),"")</f>
        <v/>
      </c>
      <c r="I51" s="40" t="str">
        <f ca="1">IFERROR(INDEX(郑州品种调整!A:A,SMALL(郑州品种调整!Y:Y,ROW()-2)),"")</f>
        <v/>
      </c>
      <c r="J51" s="41" t="str">
        <f ca="1">IFERROR(INDEX(郑州品种调整!B:B,SMALL(郑州品种调整!Y:Y,ROW()-2)),"")</f>
        <v/>
      </c>
      <c r="K51" s="41" t="str">
        <f ca="1">IFERROR(INDEX(郑州品种调整!C:C,SMALL(郑州品种调整!Y:Y,ROW()-2)),"")</f>
        <v/>
      </c>
      <c r="M51" s="40" t="str">
        <f ca="1">IFERROR(INDEX(中金品种调整!A:A,SMALL(中金品种调整!AA:AA,ROW()-2)),"")</f>
        <v/>
      </c>
      <c r="N51" s="41" t="str">
        <f ca="1">IFERROR(INDEX(中金品种调整!B:B,SMALL(中金品种调整!AA:AA,ROW()-2)),"")</f>
        <v/>
      </c>
      <c r="O51" s="41" t="str">
        <f ca="1">IFERROR(INDEX(中金品种调整!C:C,SMALL(中金品种调整!AA:AA,ROW()-2)),"")</f>
        <v/>
      </c>
    </row>
    <row r="52" spans="1:15" x14ac:dyDescent="0.15">
      <c r="A52" s="42" t="str">
        <f ca="1">IFERROR(INDEX(上期品种调整!A:A,SMALL(上期品种调整!AA:AA,ROW()-2)),"")</f>
        <v/>
      </c>
      <c r="B52" s="43" t="str">
        <f ca="1">IFERROR(INDEX(上期品种调整!B:B,SMALL(上期品种调整!AA:AA,ROW()-2)),"")</f>
        <v/>
      </c>
      <c r="C52" s="43" t="str">
        <f ca="1">IFERROR(INDEX(上期品种调整!C:C,SMALL(上期品种调整!AA:AA,ROW()-2)),"")</f>
        <v/>
      </c>
      <c r="E52" s="42" t="str">
        <f ca="1">IFERROR(INDEX(大连品种调整!A:A,SMALL(大连品种调整!AA:AA,ROW()-2)),"")</f>
        <v/>
      </c>
      <c r="F52" s="43" t="str">
        <f ca="1">IFERROR(INDEX(大连品种调整!B:B,SMALL(大连品种调整!AA:AA,ROW()-2)),"")</f>
        <v/>
      </c>
      <c r="G52" s="43" t="str">
        <f ca="1">IFERROR(INDEX(大连品种调整!C:C,SMALL(大连品种调整!AA:AA,ROW()-2)),"")</f>
        <v/>
      </c>
      <c r="I52" s="42" t="str">
        <f ca="1">IFERROR(INDEX(郑州品种调整!A:A,SMALL(郑州品种调整!Y:Y,ROW()-2)),"")</f>
        <v/>
      </c>
      <c r="J52" s="43" t="str">
        <f ca="1">IFERROR(INDEX(郑州品种调整!B:B,SMALL(郑州品种调整!Y:Y,ROW()-2)),"")</f>
        <v/>
      </c>
      <c r="K52" s="43" t="str">
        <f ca="1">IFERROR(INDEX(郑州品种调整!C:C,SMALL(郑州品种调整!Y:Y,ROW()-2)),"")</f>
        <v/>
      </c>
      <c r="M52" s="42" t="str">
        <f ca="1">IFERROR(INDEX(中金品种调整!A:A,SMALL(中金品种调整!AA:AA,ROW()-2)),"")</f>
        <v/>
      </c>
      <c r="N52" s="43" t="str">
        <f ca="1">IFERROR(INDEX(中金品种调整!B:B,SMALL(中金品种调整!AA:AA,ROW()-2)),"")</f>
        <v/>
      </c>
      <c r="O52" s="43" t="str">
        <f ca="1">IFERROR(INDEX(中金品种调整!C:C,SMALL(中金品种调整!AA:AA,ROW()-2)),"")</f>
        <v/>
      </c>
    </row>
  </sheetData>
  <mergeCells count="4">
    <mergeCell ref="A1:C1"/>
    <mergeCell ref="E1:G1"/>
    <mergeCell ref="I1:K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2"/>
  <sheetViews>
    <sheetView topLeftCell="A31" workbookViewId="0">
      <selection activeCell="B75" sqref="B75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15.625" bestFit="1" customWidth="1"/>
    <col min="4" max="4" width="31.75" bestFit="1" customWidth="1"/>
    <col min="5" max="5" width="28.75" customWidth="1"/>
    <col min="6" max="6" width="31.75" customWidth="1"/>
    <col min="7" max="7" width="22.75" customWidth="1"/>
    <col min="8" max="8" width="24.75" customWidth="1"/>
  </cols>
  <sheetData>
    <row r="1" spans="1:6" x14ac:dyDescent="0.15">
      <c r="A1" t="s">
        <v>0</v>
      </c>
      <c r="D1" s="5">
        <v>0.1</v>
      </c>
      <c r="E1" s="5">
        <v>0.15</v>
      </c>
      <c r="F1" s="5">
        <v>0.2</v>
      </c>
    </row>
    <row r="2" spans="1:6" s="30" customFormat="1" x14ac:dyDescent="0.15">
      <c r="B2" s="30" t="s">
        <v>46</v>
      </c>
      <c r="C2" s="30" t="s">
        <v>1</v>
      </c>
      <c r="D2" s="30" t="s">
        <v>9</v>
      </c>
      <c r="E2" s="30" t="s">
        <v>11</v>
      </c>
      <c r="F2" s="30" t="s">
        <v>12</v>
      </c>
    </row>
    <row r="3" spans="1:6" x14ac:dyDescent="0.15">
      <c r="A3" t="str">
        <f ca="1">"Cu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Cu1507</v>
      </c>
      <c r="B3" s="1">
        <f t="shared" ref="B3:B16" ca="1" si="0">IF(RIGHT(A3,4)="1602",DATE(2015,2,16),WORKDAY(IF(NETWORKDAYS(DATE("20"&amp;(MID(A3,LEN(A3)-3,2)-1),RIGHT(A3,2),IF(RIGHT(A3,4)="1201","13","15")),DATE("20"&amp;(MID(A3,LEN(A3)-3,2)-1),RIGHT(A3,2),IF(RIGHT(A3,4)="1201","13","15")),Holiday)=0,WORKDAY(DATE("20"&amp;(MID(A3,LEN(A3)-3,2)-1),RIGHT(A3,2),IF(RIGHT(A3,4)="1201","13","15")),1,Holiday),DATE("20"&amp;(MID(A3,LEN(A3)-3,2)-1),RIGHT(A3,2),IF(RIGHT(A3,4)="1201","13","15"))),1,Holiday))</f>
        <v>41836</v>
      </c>
      <c r="C3" s="1">
        <f t="shared" ref="C3:C16" ca="1" si="1">IF(RIGHT(A3,4)="1502",DATE(2015,2,10),IF(NETWORKDAYS(DATE("20"&amp;MID(A3,LEN(A3)-3,2),RIGHT(A3,2),IF(RIGHT(A3,4)="1201","13","15")),DATE("20"&amp;MID(A3,LEN(A3)-3,2),RIGHT(A3,2),IF(RIGHT(A3,4)="1201","13","15")),Holiday)=0,WORKDAY(DATE("20"&amp;MID(A3,LEN(A3)-3,2),RIGHT(A3,2),IF(RIGHT(A3,4)="1201","13","15")),1,Holiday),DATE("20"&amp;MID(A3,LEN(A3)-3,2),RIGHT(A3,2),IF(RIGHT(A3,4)="1201","13","15"))))</f>
        <v>42200</v>
      </c>
      <c r="D3" s="1">
        <f t="shared" ref="D3:D14" ca="1" si="2">WORKDAY(DATE("20"&amp;MID(A3,LEN(A3)-3,2),RIGHT(A3,2)-1,"0"),1,Holiday)</f>
        <v>42156</v>
      </c>
      <c r="E3" s="1">
        <f t="shared" ref="E3:E14" ca="1" si="3">WORKDAY(DATE("20"&amp;MID(A3,LEN(A3)-3,2),RIGHT(A3,2),"0"),1,Holiday)</f>
        <v>42186</v>
      </c>
      <c r="F3" s="1">
        <f t="shared" ref="F3:F14" ca="1" si="4">WORKDAY(C3,-2,Holiday)</f>
        <v>42198</v>
      </c>
    </row>
    <row r="4" spans="1:6" x14ac:dyDescent="0.15">
      <c r="A4" t="str">
        <f ca="1">"Cu"&amp;TEXT(DATE("20"&amp;MID(A3,LEN(A3)-3,2),RIGHT(A3,2)+1,"15"),"yymm")</f>
        <v>Cu1508</v>
      </c>
      <c r="B4" s="1">
        <f t="shared" ca="1" si="0"/>
        <v>41869</v>
      </c>
      <c r="C4" s="1">
        <f t="shared" ca="1" si="1"/>
        <v>42233</v>
      </c>
      <c r="D4" s="1">
        <f t="shared" ca="1" si="2"/>
        <v>42186</v>
      </c>
      <c r="E4" s="1">
        <f t="shared" ca="1" si="3"/>
        <v>42219</v>
      </c>
      <c r="F4" s="1">
        <f t="shared" ca="1" si="4"/>
        <v>42229</v>
      </c>
    </row>
    <row r="5" spans="1:6" x14ac:dyDescent="0.15">
      <c r="A5" t="str">
        <f ca="1">"Cu"&amp;TEXT(DATE("20"&amp;MID(A4,LEN(A4)-3,2),RIGHT(A4,2)+1,"15"),"yymm")</f>
        <v>Cu1509</v>
      </c>
      <c r="B5" s="1">
        <f t="shared" ca="1" si="0"/>
        <v>41898</v>
      </c>
      <c r="C5" s="1">
        <f t="shared" ca="1" si="1"/>
        <v>42262</v>
      </c>
      <c r="D5" s="1">
        <f t="shared" ca="1" si="2"/>
        <v>42219</v>
      </c>
      <c r="E5" s="1">
        <f t="shared" ca="1" si="3"/>
        <v>42248</v>
      </c>
      <c r="F5" s="1">
        <f t="shared" ca="1" si="4"/>
        <v>42258</v>
      </c>
    </row>
    <row r="6" spans="1:6" x14ac:dyDescent="0.15">
      <c r="A6" t="str">
        <f ca="1">"Cu"&amp;TEXT(DATE("20"&amp;MID(A5,LEN(A5)-3,2),RIGHT(A5,2)+1,"15"),"yymm")</f>
        <v>Cu1510</v>
      </c>
      <c r="B6" s="1">
        <f t="shared" ca="1" si="0"/>
        <v>41928</v>
      </c>
      <c r="C6" s="1">
        <f t="shared" ca="1" si="1"/>
        <v>42292</v>
      </c>
      <c r="D6" s="1">
        <f t="shared" ca="1" si="2"/>
        <v>42248</v>
      </c>
      <c r="E6" s="1">
        <f t="shared" ca="1" si="3"/>
        <v>42285</v>
      </c>
      <c r="F6" s="1">
        <f t="shared" ca="1" si="4"/>
        <v>42290</v>
      </c>
    </row>
    <row r="7" spans="1:6" x14ac:dyDescent="0.15">
      <c r="A7" t="str">
        <f t="shared" ref="A7:A16" ca="1" si="5">"Cu"&amp;TEXT(DATE("20"&amp;MID(A6,LEN(A6)-3,2),RIGHT(A6,2)+1,"15"),"yymm")</f>
        <v>Cu1511</v>
      </c>
      <c r="B7" s="1">
        <f t="shared" ca="1" si="0"/>
        <v>41961</v>
      </c>
      <c r="C7" s="1">
        <f t="shared" ca="1" si="1"/>
        <v>42324</v>
      </c>
      <c r="D7" s="1">
        <f t="shared" ca="1" si="2"/>
        <v>42285</v>
      </c>
      <c r="E7" s="1">
        <f t="shared" ca="1" si="3"/>
        <v>42310</v>
      </c>
      <c r="F7" s="1">
        <f t="shared" ca="1" si="4"/>
        <v>42320</v>
      </c>
    </row>
    <row r="8" spans="1:6" x14ac:dyDescent="0.15">
      <c r="A8" t="str">
        <f t="shared" ca="1" si="5"/>
        <v>Cu1512</v>
      </c>
      <c r="B8" s="1">
        <f t="shared" ca="1" si="0"/>
        <v>41989</v>
      </c>
      <c r="C8" s="1">
        <f t="shared" ca="1" si="1"/>
        <v>42353</v>
      </c>
      <c r="D8" s="1">
        <f t="shared" ca="1" si="2"/>
        <v>42310</v>
      </c>
      <c r="E8" s="1">
        <f t="shared" ca="1" si="3"/>
        <v>42339</v>
      </c>
      <c r="F8" s="1">
        <f t="shared" ca="1" si="4"/>
        <v>42349</v>
      </c>
    </row>
    <row r="9" spans="1:6" x14ac:dyDescent="0.15">
      <c r="A9" t="str">
        <f t="shared" ca="1" si="5"/>
        <v>Cu1601</v>
      </c>
      <c r="B9" s="1">
        <f t="shared" ca="1" si="0"/>
        <v>42020</v>
      </c>
      <c r="C9" s="1">
        <f t="shared" ca="1" si="1"/>
        <v>42384</v>
      </c>
      <c r="D9" s="1">
        <f t="shared" ca="1" si="2"/>
        <v>42339</v>
      </c>
      <c r="E9" s="1">
        <f t="shared" ca="1" si="3"/>
        <v>42370</v>
      </c>
      <c r="F9" s="1">
        <f t="shared" ca="1" si="4"/>
        <v>42382</v>
      </c>
    </row>
    <row r="10" spans="1:6" x14ac:dyDescent="0.15">
      <c r="A10" t="str">
        <f t="shared" ca="1" si="5"/>
        <v>Cu1602</v>
      </c>
      <c r="B10" s="1">
        <f t="shared" ca="1" si="0"/>
        <v>42051</v>
      </c>
      <c r="C10" s="1">
        <f t="shared" ca="1" si="1"/>
        <v>42415</v>
      </c>
      <c r="D10" s="1">
        <f t="shared" ca="1" si="2"/>
        <v>42370</v>
      </c>
      <c r="E10" s="1">
        <f t="shared" ca="1" si="3"/>
        <v>42401</v>
      </c>
      <c r="F10" s="1">
        <f t="shared" ca="1" si="4"/>
        <v>42411</v>
      </c>
    </row>
    <row r="11" spans="1:6" x14ac:dyDescent="0.15">
      <c r="A11" t="str">
        <f t="shared" ca="1" si="5"/>
        <v>Cu1603</v>
      </c>
      <c r="B11" s="1">
        <f t="shared" ca="1" si="0"/>
        <v>42080</v>
      </c>
      <c r="C11" s="1">
        <f t="shared" ca="1" si="1"/>
        <v>42444</v>
      </c>
      <c r="D11" s="1">
        <f t="shared" ca="1" si="2"/>
        <v>42401</v>
      </c>
      <c r="E11" s="1">
        <f t="shared" ca="1" si="3"/>
        <v>42430</v>
      </c>
      <c r="F11" s="1">
        <f t="shared" ca="1" si="4"/>
        <v>42440</v>
      </c>
    </row>
    <row r="12" spans="1:6" x14ac:dyDescent="0.15">
      <c r="A12" t="str">
        <f t="shared" ca="1" si="5"/>
        <v>Cu1604</v>
      </c>
      <c r="B12" s="1">
        <f t="shared" ca="1" si="0"/>
        <v>42110</v>
      </c>
      <c r="C12" s="1">
        <f t="shared" ca="1" si="1"/>
        <v>42475</v>
      </c>
      <c r="D12" s="1">
        <f t="shared" ca="1" si="2"/>
        <v>42430</v>
      </c>
      <c r="E12" s="1">
        <f t="shared" ca="1" si="3"/>
        <v>42461</v>
      </c>
      <c r="F12" s="1">
        <f t="shared" ca="1" si="4"/>
        <v>42473</v>
      </c>
    </row>
    <row r="13" spans="1:6" x14ac:dyDescent="0.15">
      <c r="A13" t="str">
        <f t="shared" ca="1" si="5"/>
        <v>Cu1605</v>
      </c>
      <c r="B13" s="1">
        <f t="shared" ca="1" si="0"/>
        <v>42142</v>
      </c>
      <c r="C13" s="1">
        <f t="shared" ca="1" si="1"/>
        <v>42506</v>
      </c>
      <c r="D13" s="1">
        <f t="shared" ca="1" si="2"/>
        <v>42461</v>
      </c>
      <c r="E13" s="1">
        <f t="shared" ca="1" si="3"/>
        <v>42492</v>
      </c>
      <c r="F13" s="1">
        <f t="shared" ca="1" si="4"/>
        <v>42502</v>
      </c>
    </row>
    <row r="14" spans="1:6" x14ac:dyDescent="0.15">
      <c r="A14" t="str">
        <f t="shared" ca="1" si="5"/>
        <v>Cu1606</v>
      </c>
      <c r="B14" s="1">
        <f t="shared" ca="1" si="0"/>
        <v>42171</v>
      </c>
      <c r="C14" s="1">
        <f t="shared" ca="1" si="1"/>
        <v>42536</v>
      </c>
      <c r="D14" s="1">
        <f t="shared" ca="1" si="2"/>
        <v>42492</v>
      </c>
      <c r="E14" s="1">
        <f t="shared" ca="1" si="3"/>
        <v>42522</v>
      </c>
      <c r="F14" s="1">
        <f t="shared" ca="1" si="4"/>
        <v>42534</v>
      </c>
    </row>
    <row r="15" spans="1:6" x14ac:dyDescent="0.15">
      <c r="A15" t="str">
        <f t="shared" ca="1" si="5"/>
        <v>Cu1607</v>
      </c>
      <c r="B15" s="1">
        <f t="shared" ca="1" si="0"/>
        <v>42201</v>
      </c>
      <c r="C15" s="1">
        <f t="shared" ca="1" si="1"/>
        <v>42566</v>
      </c>
      <c r="D15" s="1">
        <f t="shared" ref="D15:D16" ca="1" si="6">WORKDAY(DATE("20"&amp;MID(A15,LEN(A15)-3,2),RIGHT(A15,2)-1,"0"),1,Holiday)</f>
        <v>42522</v>
      </c>
      <c r="E15" s="1">
        <f t="shared" ref="E15:E16" ca="1" si="7">WORKDAY(DATE("20"&amp;MID(A15,LEN(A15)-3,2),RIGHT(A15,2),"0"),1,Holiday)</f>
        <v>42552</v>
      </c>
      <c r="F15" s="1">
        <f t="shared" ref="F15:F16" ca="1" si="8">WORKDAY(C15,-2,Holiday)</f>
        <v>42564</v>
      </c>
    </row>
    <row r="16" spans="1:6" x14ac:dyDescent="0.15">
      <c r="A16" t="str">
        <f t="shared" ca="1" si="5"/>
        <v>Cu1608</v>
      </c>
      <c r="B16" s="1">
        <f t="shared" ca="1" si="0"/>
        <v>42234</v>
      </c>
      <c r="C16" s="1">
        <f t="shared" ca="1" si="1"/>
        <v>42597</v>
      </c>
      <c r="D16" s="1">
        <f t="shared" ca="1" si="6"/>
        <v>42552</v>
      </c>
      <c r="E16" s="1">
        <f t="shared" ca="1" si="7"/>
        <v>42583</v>
      </c>
      <c r="F16" s="1">
        <f t="shared" ca="1" si="8"/>
        <v>42593</v>
      </c>
    </row>
    <row r="19" spans="1:6" x14ac:dyDescent="0.15">
      <c r="A19" t="s">
        <v>24</v>
      </c>
      <c r="D19" s="5">
        <v>0.1</v>
      </c>
      <c r="E19" s="5">
        <v>0.15</v>
      </c>
      <c r="F19" s="5">
        <v>0.2</v>
      </c>
    </row>
    <row r="20" spans="1:6" x14ac:dyDescent="0.15">
      <c r="B20" s="30" t="s">
        <v>46</v>
      </c>
      <c r="C20" s="2" t="s">
        <v>1</v>
      </c>
      <c r="D20" s="32" t="s">
        <v>9</v>
      </c>
      <c r="E20" s="32" t="s">
        <v>11</v>
      </c>
      <c r="F20" s="32" t="s">
        <v>12</v>
      </c>
    </row>
    <row r="21" spans="1:6" x14ac:dyDescent="0.15">
      <c r="A21" t="str">
        <f ca="1">"Zn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Zn1507</v>
      </c>
      <c r="B21" s="1">
        <f t="shared" ref="B21:B34" ca="1" si="9">IF(RIGHT(A21,4)="1602",DATE(2015,2,16),WORKDAY(IF(NETWORKDAYS(DATE("20"&amp;(MID(A21,LEN(A21)-3,2)-1),RIGHT(A21,2),IF(RIGHT(A21,4)="1201","13","15")),DATE("20"&amp;(MID(A21,LEN(A21)-3,2)-1),RIGHT(A21,2),IF(RIGHT(A21,4)="1201","13","15")),Holiday)=0,WORKDAY(DATE("20"&amp;(MID(A21,LEN(A21)-3,2)-1),RIGHT(A21,2),IF(RIGHT(A21,4)="1201","13","15")),1,Holiday),DATE("20"&amp;(MID(A21,LEN(A21)-3,2)-1),RIGHT(A21,2),IF(RIGHT(A21,4)="1201","13","15"))),1,Holiday))</f>
        <v>41836</v>
      </c>
      <c r="C21" s="1">
        <f t="shared" ref="C21:C34" ca="1" si="10">IF(RIGHT(A21,4)="1502",DATE(2015,2,10),IF(NETWORKDAYS(DATE("20"&amp;MID(A21,LEN(A21)-3,2),RIGHT(A21,2),IF(RIGHT(A21,4)="1201","13","15")),DATE("20"&amp;MID(A21,LEN(A21)-3,2),RIGHT(A21,2),IF(RIGHT(A21,4)="1201","13","15")),Holiday)=0,WORKDAY(DATE("20"&amp;MID(A21,LEN(A21)-3,2),RIGHT(A21,2),IF(RIGHT(A21,4)="1201","13","15")),1,Holiday),DATE("20"&amp;MID(A21,LEN(A21)-3,2),RIGHT(A21,2),IF(RIGHT(A21,4)="1201","13","15"))))</f>
        <v>42200</v>
      </c>
      <c r="D21" s="1">
        <f t="shared" ref="D21:D34" ca="1" si="11">WORKDAY(DATE("20"&amp;MID(A21,LEN(A21)-3,2),RIGHT(A21,2)-1,"0"),1,Holiday)</f>
        <v>42156</v>
      </c>
      <c r="E21" s="1">
        <f t="shared" ref="E21:E34" ca="1" si="12">WORKDAY(DATE("20"&amp;MID(A21,LEN(A21)-3,2),RIGHT(A21,2),"0"),1,Holiday)</f>
        <v>42186</v>
      </c>
      <c r="F21" s="1">
        <f t="shared" ref="F21:F34" ca="1" si="13">WORKDAY(C21,-2,Holiday)</f>
        <v>42198</v>
      </c>
    </row>
    <row r="22" spans="1:6" x14ac:dyDescent="0.15">
      <c r="A22" t="str">
        <f ca="1">"Zn"&amp;TEXT(DATE("20"&amp;MID(A21,LEN(A21)-3,2),RIGHT(A21,2)+1,"15"),"yymm")</f>
        <v>Zn1508</v>
      </c>
      <c r="B22" s="1">
        <f t="shared" ca="1" si="9"/>
        <v>41869</v>
      </c>
      <c r="C22" s="1">
        <f t="shared" ca="1" si="10"/>
        <v>42233</v>
      </c>
      <c r="D22" s="1">
        <f t="shared" ca="1" si="11"/>
        <v>42186</v>
      </c>
      <c r="E22" s="1">
        <f t="shared" ca="1" si="12"/>
        <v>42219</v>
      </c>
      <c r="F22" s="1">
        <f t="shared" ca="1" si="13"/>
        <v>42229</v>
      </c>
    </row>
    <row r="23" spans="1:6" x14ac:dyDescent="0.15">
      <c r="A23" t="str">
        <f t="shared" ref="A23:A34" ca="1" si="14">"Zn"&amp;TEXT(DATE("20"&amp;MID(A22,LEN(A22)-3,2),RIGHT(A22,2)+1,"15"),"yymm")</f>
        <v>Zn1509</v>
      </c>
      <c r="B23" s="1">
        <f t="shared" ca="1" si="9"/>
        <v>41898</v>
      </c>
      <c r="C23" s="1">
        <f t="shared" ca="1" si="10"/>
        <v>42262</v>
      </c>
      <c r="D23" s="1">
        <f t="shared" ca="1" si="11"/>
        <v>42219</v>
      </c>
      <c r="E23" s="1">
        <f t="shared" ca="1" si="12"/>
        <v>42248</v>
      </c>
      <c r="F23" s="1">
        <f t="shared" ca="1" si="13"/>
        <v>42258</v>
      </c>
    </row>
    <row r="24" spans="1:6" x14ac:dyDescent="0.15">
      <c r="A24" t="str">
        <f t="shared" ca="1" si="14"/>
        <v>Zn1510</v>
      </c>
      <c r="B24" s="1">
        <f t="shared" ca="1" si="9"/>
        <v>41928</v>
      </c>
      <c r="C24" s="1">
        <f t="shared" ca="1" si="10"/>
        <v>42292</v>
      </c>
      <c r="D24" s="1">
        <f t="shared" ca="1" si="11"/>
        <v>42248</v>
      </c>
      <c r="E24" s="1">
        <f t="shared" ca="1" si="12"/>
        <v>42285</v>
      </c>
      <c r="F24" s="1">
        <f t="shared" ca="1" si="13"/>
        <v>42290</v>
      </c>
    </row>
    <row r="25" spans="1:6" x14ac:dyDescent="0.15">
      <c r="A25" t="str">
        <f t="shared" ca="1" si="14"/>
        <v>Zn1511</v>
      </c>
      <c r="B25" s="1">
        <f t="shared" ca="1" si="9"/>
        <v>41961</v>
      </c>
      <c r="C25" s="1">
        <f t="shared" ca="1" si="10"/>
        <v>42324</v>
      </c>
      <c r="D25" s="1">
        <f t="shared" ca="1" si="11"/>
        <v>42285</v>
      </c>
      <c r="E25" s="1">
        <f t="shared" ca="1" si="12"/>
        <v>42310</v>
      </c>
      <c r="F25" s="1">
        <f t="shared" ca="1" si="13"/>
        <v>42320</v>
      </c>
    </row>
    <row r="26" spans="1:6" x14ac:dyDescent="0.15">
      <c r="A26" t="str">
        <f t="shared" ca="1" si="14"/>
        <v>Zn1512</v>
      </c>
      <c r="B26" s="1">
        <f t="shared" ca="1" si="9"/>
        <v>41989</v>
      </c>
      <c r="C26" s="1">
        <f t="shared" ca="1" si="10"/>
        <v>42353</v>
      </c>
      <c r="D26" s="1">
        <f t="shared" ca="1" si="11"/>
        <v>42310</v>
      </c>
      <c r="E26" s="1">
        <f t="shared" ca="1" si="12"/>
        <v>42339</v>
      </c>
      <c r="F26" s="1">
        <f t="shared" ca="1" si="13"/>
        <v>42349</v>
      </c>
    </row>
    <row r="27" spans="1:6" x14ac:dyDescent="0.15">
      <c r="A27" t="str">
        <f t="shared" ca="1" si="14"/>
        <v>Zn1601</v>
      </c>
      <c r="B27" s="1">
        <f t="shared" ca="1" si="9"/>
        <v>42020</v>
      </c>
      <c r="C27" s="1">
        <f t="shared" ca="1" si="10"/>
        <v>42384</v>
      </c>
      <c r="D27" s="1">
        <f t="shared" ca="1" si="11"/>
        <v>42339</v>
      </c>
      <c r="E27" s="1">
        <f t="shared" ca="1" si="12"/>
        <v>42370</v>
      </c>
      <c r="F27" s="1">
        <f t="shared" ca="1" si="13"/>
        <v>42382</v>
      </c>
    </row>
    <row r="28" spans="1:6" x14ac:dyDescent="0.15">
      <c r="A28" t="str">
        <f t="shared" ca="1" si="14"/>
        <v>Zn1602</v>
      </c>
      <c r="B28" s="1">
        <f t="shared" ca="1" si="9"/>
        <v>42051</v>
      </c>
      <c r="C28" s="1">
        <f t="shared" ca="1" si="10"/>
        <v>42415</v>
      </c>
      <c r="D28" s="1">
        <f t="shared" ca="1" si="11"/>
        <v>42370</v>
      </c>
      <c r="E28" s="1">
        <f t="shared" ca="1" si="12"/>
        <v>42401</v>
      </c>
      <c r="F28" s="1">
        <f t="shared" ca="1" si="13"/>
        <v>42411</v>
      </c>
    </row>
    <row r="29" spans="1:6" x14ac:dyDescent="0.15">
      <c r="A29" t="str">
        <f t="shared" ca="1" si="14"/>
        <v>Zn1603</v>
      </c>
      <c r="B29" s="1">
        <f t="shared" ca="1" si="9"/>
        <v>42080</v>
      </c>
      <c r="C29" s="1">
        <f t="shared" ca="1" si="10"/>
        <v>42444</v>
      </c>
      <c r="D29" s="1">
        <f t="shared" ca="1" si="11"/>
        <v>42401</v>
      </c>
      <c r="E29" s="1">
        <f t="shared" ca="1" si="12"/>
        <v>42430</v>
      </c>
      <c r="F29" s="1">
        <f t="shared" ca="1" si="13"/>
        <v>42440</v>
      </c>
    </row>
    <row r="30" spans="1:6" x14ac:dyDescent="0.15">
      <c r="A30" t="str">
        <f t="shared" ca="1" si="14"/>
        <v>Zn1604</v>
      </c>
      <c r="B30" s="1">
        <f t="shared" ca="1" si="9"/>
        <v>42110</v>
      </c>
      <c r="C30" s="1">
        <f t="shared" ca="1" si="10"/>
        <v>42475</v>
      </c>
      <c r="D30" s="1">
        <f t="shared" ca="1" si="11"/>
        <v>42430</v>
      </c>
      <c r="E30" s="1">
        <f t="shared" ca="1" si="12"/>
        <v>42461</v>
      </c>
      <c r="F30" s="1">
        <f t="shared" ca="1" si="13"/>
        <v>42473</v>
      </c>
    </row>
    <row r="31" spans="1:6" x14ac:dyDescent="0.15">
      <c r="A31" t="str">
        <f t="shared" ca="1" si="14"/>
        <v>Zn1605</v>
      </c>
      <c r="B31" s="1">
        <f t="shared" ca="1" si="9"/>
        <v>42142</v>
      </c>
      <c r="C31" s="1">
        <f t="shared" ca="1" si="10"/>
        <v>42506</v>
      </c>
      <c r="D31" s="1">
        <f t="shared" ca="1" si="11"/>
        <v>42461</v>
      </c>
      <c r="E31" s="1">
        <f t="shared" ca="1" si="12"/>
        <v>42492</v>
      </c>
      <c r="F31" s="1">
        <f t="shared" ca="1" si="13"/>
        <v>42502</v>
      </c>
    </row>
    <row r="32" spans="1:6" x14ac:dyDescent="0.15">
      <c r="A32" t="str">
        <f t="shared" ca="1" si="14"/>
        <v>Zn1606</v>
      </c>
      <c r="B32" s="1">
        <f t="shared" ca="1" si="9"/>
        <v>42171</v>
      </c>
      <c r="C32" s="1">
        <f t="shared" ca="1" si="10"/>
        <v>42536</v>
      </c>
      <c r="D32" s="1">
        <f t="shared" ca="1" si="11"/>
        <v>42492</v>
      </c>
      <c r="E32" s="1">
        <f t="shared" ca="1" si="12"/>
        <v>42522</v>
      </c>
      <c r="F32" s="1">
        <f t="shared" ca="1" si="13"/>
        <v>42534</v>
      </c>
    </row>
    <row r="33" spans="1:6" x14ac:dyDescent="0.15">
      <c r="A33" t="str">
        <f t="shared" ca="1" si="14"/>
        <v>Zn1607</v>
      </c>
      <c r="B33" s="1">
        <f t="shared" ca="1" si="9"/>
        <v>42201</v>
      </c>
      <c r="C33" s="1">
        <f t="shared" ca="1" si="10"/>
        <v>42566</v>
      </c>
      <c r="D33" s="1">
        <f t="shared" ca="1" si="11"/>
        <v>42522</v>
      </c>
      <c r="E33" s="1">
        <f t="shared" ca="1" si="12"/>
        <v>42552</v>
      </c>
      <c r="F33" s="1">
        <f t="shared" ca="1" si="13"/>
        <v>42564</v>
      </c>
    </row>
    <row r="34" spans="1:6" x14ac:dyDescent="0.15">
      <c r="A34" t="str">
        <f t="shared" ca="1" si="14"/>
        <v>Zn1608</v>
      </c>
      <c r="B34" s="1">
        <f t="shared" ca="1" si="9"/>
        <v>42234</v>
      </c>
      <c r="C34" s="1">
        <f t="shared" ca="1" si="10"/>
        <v>42597</v>
      </c>
      <c r="D34" s="1">
        <f t="shared" ca="1" si="11"/>
        <v>42552</v>
      </c>
      <c r="E34" s="1">
        <f t="shared" ca="1" si="12"/>
        <v>42583</v>
      </c>
      <c r="F34" s="1">
        <f t="shared" ca="1" si="13"/>
        <v>42593</v>
      </c>
    </row>
    <row r="35" spans="1:6" x14ac:dyDescent="0.15">
      <c r="C35" s="1"/>
      <c r="D35" s="1"/>
      <c r="E35" s="1"/>
      <c r="F35" s="1"/>
    </row>
    <row r="36" spans="1:6" x14ac:dyDescent="0.15">
      <c r="C36" s="1"/>
      <c r="D36" s="1"/>
      <c r="E36" s="1"/>
      <c r="F36" s="1"/>
    </row>
    <row r="37" spans="1:6" x14ac:dyDescent="0.15">
      <c r="A37" t="s">
        <v>25</v>
      </c>
      <c r="D37" s="5">
        <v>0.1</v>
      </c>
      <c r="E37" s="5">
        <v>0.15</v>
      </c>
      <c r="F37" s="5">
        <v>0.2</v>
      </c>
    </row>
    <row r="38" spans="1:6" x14ac:dyDescent="0.15">
      <c r="B38" s="30" t="s">
        <v>46</v>
      </c>
      <c r="C38" s="2" t="s">
        <v>1</v>
      </c>
      <c r="D38" s="32" t="s">
        <v>9</v>
      </c>
      <c r="E38" s="32" t="s">
        <v>11</v>
      </c>
      <c r="F38" s="32" t="s">
        <v>12</v>
      </c>
    </row>
    <row r="39" spans="1:6" x14ac:dyDescent="0.15">
      <c r="A39" t="str">
        <f ca="1">"AL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AL1507</v>
      </c>
      <c r="B39" s="1">
        <f t="shared" ref="B39:B52" ca="1" si="15">IF(RIGHT(A39,4)="1602",DATE(2015,2,16),WORKDAY(IF(NETWORKDAYS(DATE("20"&amp;(MID(A39,LEN(A39)-3,2)-1),RIGHT(A39,2),IF(RIGHT(A39,4)="1201","13","15")),DATE("20"&amp;(MID(A39,LEN(A39)-3,2)-1),RIGHT(A39,2),IF(RIGHT(A39,4)="1201","13","15")),Holiday)=0,WORKDAY(DATE("20"&amp;(MID(A39,LEN(A39)-3,2)-1),RIGHT(A39,2),IF(RIGHT(A39,4)="1201","13","15")),1,Holiday),DATE("20"&amp;(MID(A39,LEN(A39)-3,2)-1),RIGHT(A39,2),IF(RIGHT(A39,4)="1201","13","15"))),1,Holiday))</f>
        <v>41836</v>
      </c>
      <c r="C39" s="1">
        <f t="shared" ref="C39:C52" ca="1" si="16">IF(RIGHT(A39,4)="1502",DATE(2015,2,10),IF(NETWORKDAYS(DATE("20"&amp;MID(A39,LEN(A39)-3,2),RIGHT(A39,2),IF(RIGHT(A39,4)="1201","13","15")),DATE("20"&amp;MID(A39,LEN(A39)-3,2),RIGHT(A39,2),IF(RIGHT(A39,4)="1201","13","15")),Holiday)=0,WORKDAY(DATE("20"&amp;MID(A39,LEN(A39)-3,2),RIGHT(A39,2),IF(RIGHT(A39,4)="1201","13","15")),1,Holiday),DATE("20"&amp;MID(A39,LEN(A39)-3,2),RIGHT(A39,2),IF(RIGHT(A39,4)="1201","13","15"))))</f>
        <v>42200</v>
      </c>
      <c r="D39" s="1">
        <f t="shared" ref="D39:D52" ca="1" si="17">WORKDAY(DATE("20"&amp;MID(A39,LEN(A39)-3,2),RIGHT(A39,2)-1,"0"),1,Holiday)</f>
        <v>42156</v>
      </c>
      <c r="E39" s="1">
        <f t="shared" ref="E39:E52" ca="1" si="18">WORKDAY(DATE("20"&amp;MID(A39,LEN(A39)-3,2),RIGHT(A39,2),"0"),1,Holiday)</f>
        <v>42186</v>
      </c>
      <c r="F39" s="1">
        <f t="shared" ref="F39:F52" ca="1" si="19">WORKDAY(C39,-2,Holiday)</f>
        <v>42198</v>
      </c>
    </row>
    <row r="40" spans="1:6" x14ac:dyDescent="0.15">
      <c r="A40" t="str">
        <f ca="1">"AL"&amp;TEXT(DATE("20"&amp;MID(A39,LEN(A39)-3,2),RIGHT(A39,2)+1,"15"),"yymm")</f>
        <v>AL1508</v>
      </c>
      <c r="B40" s="1">
        <f t="shared" ca="1" si="15"/>
        <v>41869</v>
      </c>
      <c r="C40" s="1">
        <f t="shared" ca="1" si="16"/>
        <v>42233</v>
      </c>
      <c r="D40" s="1">
        <f t="shared" ca="1" si="17"/>
        <v>42186</v>
      </c>
      <c r="E40" s="1">
        <f t="shared" ca="1" si="18"/>
        <v>42219</v>
      </c>
      <c r="F40" s="1">
        <f t="shared" ca="1" si="19"/>
        <v>42229</v>
      </c>
    </row>
    <row r="41" spans="1:6" x14ac:dyDescent="0.15">
      <c r="A41" t="str">
        <f ca="1">"AL"&amp;TEXT(DATE("20"&amp;MID(A40,LEN(A40)-3,2),RIGHT(A40,2)+1,"15"),"yymm")</f>
        <v>AL1509</v>
      </c>
      <c r="B41" s="1">
        <f t="shared" ca="1" si="15"/>
        <v>41898</v>
      </c>
      <c r="C41" s="1">
        <f t="shared" ca="1" si="16"/>
        <v>42262</v>
      </c>
      <c r="D41" s="1">
        <f t="shared" ca="1" si="17"/>
        <v>42219</v>
      </c>
      <c r="E41" s="1">
        <f t="shared" ca="1" si="18"/>
        <v>42248</v>
      </c>
      <c r="F41" s="1">
        <f t="shared" ca="1" si="19"/>
        <v>42258</v>
      </c>
    </row>
    <row r="42" spans="1:6" x14ac:dyDescent="0.15">
      <c r="A42" t="str">
        <f ca="1">"AL"&amp;TEXT(DATE("20"&amp;MID(A41,LEN(A41)-3,2),RIGHT(A41,2)+1,"15"),"yymm")</f>
        <v>AL1510</v>
      </c>
      <c r="B42" s="1">
        <f t="shared" ca="1" si="15"/>
        <v>41928</v>
      </c>
      <c r="C42" s="1">
        <f t="shared" ca="1" si="16"/>
        <v>42292</v>
      </c>
      <c r="D42" s="1">
        <f t="shared" ca="1" si="17"/>
        <v>42248</v>
      </c>
      <c r="E42" s="1">
        <f t="shared" ca="1" si="18"/>
        <v>42285</v>
      </c>
      <c r="F42" s="1">
        <f t="shared" ca="1" si="19"/>
        <v>42290</v>
      </c>
    </row>
    <row r="43" spans="1:6" x14ac:dyDescent="0.15">
      <c r="A43" t="str">
        <f t="shared" ref="A43:A52" ca="1" si="20">"AL"&amp;TEXT(DATE("20"&amp;MID(A42,LEN(A42)-3,2),RIGHT(A42,2)+1,"15"),"yymm")</f>
        <v>AL1511</v>
      </c>
      <c r="B43" s="1">
        <f t="shared" ca="1" si="15"/>
        <v>41961</v>
      </c>
      <c r="C43" s="1">
        <f t="shared" ca="1" si="16"/>
        <v>42324</v>
      </c>
      <c r="D43" s="1">
        <f t="shared" ca="1" si="17"/>
        <v>42285</v>
      </c>
      <c r="E43" s="1">
        <f t="shared" ca="1" si="18"/>
        <v>42310</v>
      </c>
      <c r="F43" s="1">
        <f t="shared" ca="1" si="19"/>
        <v>42320</v>
      </c>
    </row>
    <row r="44" spans="1:6" x14ac:dyDescent="0.15">
      <c r="A44" t="str">
        <f t="shared" ca="1" si="20"/>
        <v>AL1512</v>
      </c>
      <c r="B44" s="1">
        <f t="shared" ca="1" si="15"/>
        <v>41989</v>
      </c>
      <c r="C44" s="1">
        <f t="shared" ca="1" si="16"/>
        <v>42353</v>
      </c>
      <c r="D44" s="1">
        <f t="shared" ca="1" si="17"/>
        <v>42310</v>
      </c>
      <c r="E44" s="1">
        <f t="shared" ca="1" si="18"/>
        <v>42339</v>
      </c>
      <c r="F44" s="1">
        <f t="shared" ca="1" si="19"/>
        <v>42349</v>
      </c>
    </row>
    <row r="45" spans="1:6" x14ac:dyDescent="0.15">
      <c r="A45" t="str">
        <f t="shared" ca="1" si="20"/>
        <v>AL1601</v>
      </c>
      <c r="B45" s="1">
        <f t="shared" ca="1" si="15"/>
        <v>42020</v>
      </c>
      <c r="C45" s="1">
        <f t="shared" ca="1" si="16"/>
        <v>42384</v>
      </c>
      <c r="D45" s="1">
        <f t="shared" ca="1" si="17"/>
        <v>42339</v>
      </c>
      <c r="E45" s="1">
        <f t="shared" ca="1" si="18"/>
        <v>42370</v>
      </c>
      <c r="F45" s="1">
        <f t="shared" ca="1" si="19"/>
        <v>42382</v>
      </c>
    </row>
    <row r="46" spans="1:6" x14ac:dyDescent="0.15">
      <c r="A46" t="str">
        <f t="shared" ca="1" si="20"/>
        <v>AL1602</v>
      </c>
      <c r="B46" s="1">
        <f t="shared" ca="1" si="15"/>
        <v>42051</v>
      </c>
      <c r="C46" s="1">
        <f t="shared" ca="1" si="16"/>
        <v>42415</v>
      </c>
      <c r="D46" s="1">
        <f t="shared" ca="1" si="17"/>
        <v>42370</v>
      </c>
      <c r="E46" s="1">
        <f t="shared" ca="1" si="18"/>
        <v>42401</v>
      </c>
      <c r="F46" s="1">
        <f t="shared" ca="1" si="19"/>
        <v>42411</v>
      </c>
    </row>
    <row r="47" spans="1:6" x14ac:dyDescent="0.15">
      <c r="A47" t="str">
        <f t="shared" ca="1" si="20"/>
        <v>AL1603</v>
      </c>
      <c r="B47" s="1">
        <f t="shared" ca="1" si="15"/>
        <v>42080</v>
      </c>
      <c r="C47" s="1">
        <f t="shared" ca="1" si="16"/>
        <v>42444</v>
      </c>
      <c r="D47" s="1">
        <f t="shared" ca="1" si="17"/>
        <v>42401</v>
      </c>
      <c r="E47" s="1">
        <f t="shared" ca="1" si="18"/>
        <v>42430</v>
      </c>
      <c r="F47" s="1">
        <f t="shared" ca="1" si="19"/>
        <v>42440</v>
      </c>
    </row>
    <row r="48" spans="1:6" x14ac:dyDescent="0.15">
      <c r="A48" t="str">
        <f t="shared" ca="1" si="20"/>
        <v>AL1604</v>
      </c>
      <c r="B48" s="1">
        <f t="shared" ca="1" si="15"/>
        <v>42110</v>
      </c>
      <c r="C48" s="1">
        <f t="shared" ca="1" si="16"/>
        <v>42475</v>
      </c>
      <c r="D48" s="1">
        <f t="shared" ca="1" si="17"/>
        <v>42430</v>
      </c>
      <c r="E48" s="1">
        <f t="shared" ca="1" si="18"/>
        <v>42461</v>
      </c>
      <c r="F48" s="1">
        <f t="shared" ca="1" si="19"/>
        <v>42473</v>
      </c>
    </row>
    <row r="49" spans="1:7" x14ac:dyDescent="0.15">
      <c r="A49" t="str">
        <f t="shared" ca="1" si="20"/>
        <v>AL1605</v>
      </c>
      <c r="B49" s="1">
        <f t="shared" ca="1" si="15"/>
        <v>42142</v>
      </c>
      <c r="C49" s="1">
        <f t="shared" ca="1" si="16"/>
        <v>42506</v>
      </c>
      <c r="D49" s="1">
        <f t="shared" ca="1" si="17"/>
        <v>42461</v>
      </c>
      <c r="E49" s="1">
        <f t="shared" ca="1" si="18"/>
        <v>42492</v>
      </c>
      <c r="F49" s="1">
        <f t="shared" ca="1" si="19"/>
        <v>42502</v>
      </c>
    </row>
    <row r="50" spans="1:7" x14ac:dyDescent="0.15">
      <c r="A50" t="str">
        <f t="shared" ca="1" si="20"/>
        <v>AL1606</v>
      </c>
      <c r="B50" s="1">
        <f t="shared" ca="1" si="15"/>
        <v>42171</v>
      </c>
      <c r="C50" s="1">
        <f t="shared" ca="1" si="16"/>
        <v>42536</v>
      </c>
      <c r="D50" s="1">
        <f t="shared" ca="1" si="17"/>
        <v>42492</v>
      </c>
      <c r="E50" s="1">
        <f t="shared" ca="1" si="18"/>
        <v>42522</v>
      </c>
      <c r="F50" s="1">
        <f t="shared" ca="1" si="19"/>
        <v>42534</v>
      </c>
    </row>
    <row r="51" spans="1:7" x14ac:dyDescent="0.15">
      <c r="A51" t="str">
        <f t="shared" ca="1" si="20"/>
        <v>AL1607</v>
      </c>
      <c r="B51" s="1">
        <f t="shared" ca="1" si="15"/>
        <v>42201</v>
      </c>
      <c r="C51" s="1">
        <f t="shared" ca="1" si="16"/>
        <v>42566</v>
      </c>
      <c r="D51" s="1">
        <f t="shared" ca="1" si="17"/>
        <v>42522</v>
      </c>
      <c r="E51" s="1">
        <f t="shared" ca="1" si="18"/>
        <v>42552</v>
      </c>
      <c r="F51" s="1">
        <f t="shared" ca="1" si="19"/>
        <v>42564</v>
      </c>
    </row>
    <row r="52" spans="1:7" x14ac:dyDescent="0.15">
      <c r="A52" t="str">
        <f t="shared" ca="1" si="20"/>
        <v>AL1608</v>
      </c>
      <c r="B52" s="1">
        <f t="shared" ca="1" si="15"/>
        <v>42234</v>
      </c>
      <c r="C52" s="1">
        <f t="shared" ca="1" si="16"/>
        <v>42597</v>
      </c>
      <c r="D52" s="1">
        <f t="shared" ca="1" si="17"/>
        <v>42552</v>
      </c>
      <c r="E52" s="1">
        <f t="shared" ca="1" si="18"/>
        <v>42583</v>
      </c>
      <c r="F52" s="1">
        <f t="shared" ca="1" si="19"/>
        <v>42593</v>
      </c>
    </row>
    <row r="53" spans="1:7" x14ac:dyDescent="0.15">
      <c r="C53" s="1"/>
      <c r="D53" s="1"/>
      <c r="E53" s="1"/>
      <c r="F53" s="1"/>
      <c r="G53" s="1"/>
    </row>
    <row r="54" spans="1:7" x14ac:dyDescent="0.15">
      <c r="C54" s="1"/>
      <c r="D54" s="1"/>
      <c r="E54" s="1"/>
      <c r="F54" s="1"/>
      <c r="G54" s="1"/>
    </row>
    <row r="55" spans="1:7" x14ac:dyDescent="0.15">
      <c r="A55" t="s">
        <v>13</v>
      </c>
      <c r="D55" s="5">
        <v>0.1</v>
      </c>
      <c r="E55" s="5">
        <v>0.15</v>
      </c>
      <c r="F55" s="5">
        <v>0.2</v>
      </c>
    </row>
    <row r="56" spans="1:7" x14ac:dyDescent="0.15">
      <c r="B56" s="30" t="s">
        <v>46</v>
      </c>
      <c r="C56" s="2" t="s">
        <v>1</v>
      </c>
      <c r="D56" s="32" t="s">
        <v>9</v>
      </c>
      <c r="E56" s="32" t="s">
        <v>11</v>
      </c>
      <c r="F56" s="32" t="s">
        <v>12</v>
      </c>
    </row>
    <row r="57" spans="1:7" x14ac:dyDescent="0.15">
      <c r="A57" t="str">
        <f ca="1">"Pb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Pb1507</v>
      </c>
      <c r="B57" s="1">
        <f t="shared" ref="B57:B70" ca="1" si="21">IF(RIGHT(A57,4)="1602",DATE(2015,2,16),WORKDAY(IF(NETWORKDAYS(DATE("20"&amp;(MID(A57,LEN(A57)-3,2)-1),RIGHT(A57,2),IF(RIGHT(A57,4)="1201","13","15")),DATE("20"&amp;(MID(A57,LEN(A57)-3,2)-1),RIGHT(A57,2),IF(RIGHT(A57,4)="1201","13","15")),Holiday)=0,WORKDAY(DATE("20"&amp;(MID(A57,LEN(A57)-3,2)-1),RIGHT(A57,2),IF(RIGHT(A57,4)="1201","13","15")),1,Holiday),DATE("20"&amp;(MID(A57,LEN(A57)-3,2)-1),RIGHT(A57,2),IF(RIGHT(A57,4)="1201","13","15"))),1,Holiday))</f>
        <v>41836</v>
      </c>
      <c r="C57" s="1">
        <f t="shared" ref="C57:C70" ca="1" si="22">IF(RIGHT(A57,4)="1502",DATE(2015,2,10),IF(NETWORKDAYS(DATE("20"&amp;MID(A57,LEN(A57)-3,2),RIGHT(A57,2),IF(RIGHT(A57,4)="1201","13","15")),DATE("20"&amp;MID(A57,LEN(A57)-3,2),RIGHT(A57,2),IF(RIGHT(A57,4)="1201","13","15")),Holiday)=0,WORKDAY(DATE("20"&amp;MID(A57,LEN(A57)-3,2),RIGHT(A57,2),IF(RIGHT(A57,4)="1201","13","15")),1,Holiday),DATE("20"&amp;MID(A57,LEN(A57)-3,2),RIGHT(A57,2),IF(RIGHT(A57,4)="1201","13","15"))))</f>
        <v>42200</v>
      </c>
      <c r="D57" s="1">
        <f t="shared" ref="D57:D70" ca="1" si="23">WORKDAY(DATE("20"&amp;MID(A57,LEN(A57)-3,2),RIGHT(A57,2)-1,"0"),1,Holiday)</f>
        <v>42156</v>
      </c>
      <c r="E57" s="1">
        <f t="shared" ref="E57:E70" ca="1" si="24">WORKDAY(DATE("20"&amp;MID(A57,LEN(A57)-3,2),RIGHT(A57,2),"0"),1,Holiday)</f>
        <v>42186</v>
      </c>
      <c r="F57" s="1">
        <f t="shared" ref="F57:F70" ca="1" si="25">WORKDAY(C57,-2,Holiday)</f>
        <v>42198</v>
      </c>
    </row>
    <row r="58" spans="1:7" x14ac:dyDescent="0.15">
      <c r="A58" t="str">
        <f ca="1">"Pb"&amp;TEXT(DATE("20"&amp;MID(A57,LEN(A57)-3,2),RIGHT(A57,2)+1,"15"),"yymm")</f>
        <v>Pb1508</v>
      </c>
      <c r="B58" s="1">
        <f t="shared" ca="1" si="21"/>
        <v>41869</v>
      </c>
      <c r="C58" s="1">
        <f t="shared" ca="1" si="22"/>
        <v>42233</v>
      </c>
      <c r="D58" s="1">
        <f t="shared" ca="1" si="23"/>
        <v>42186</v>
      </c>
      <c r="E58" s="1">
        <f t="shared" ca="1" si="24"/>
        <v>42219</v>
      </c>
      <c r="F58" s="1">
        <f t="shared" ca="1" si="25"/>
        <v>42229</v>
      </c>
    </row>
    <row r="59" spans="1:7" x14ac:dyDescent="0.15">
      <c r="A59" t="str">
        <f t="shared" ref="A59:A70" ca="1" si="26">"Pb"&amp;TEXT(DATE("20"&amp;MID(A58,LEN(A58)-3,2),RIGHT(A58,2)+1,"15"),"yymm")</f>
        <v>Pb1509</v>
      </c>
      <c r="B59" s="1">
        <f t="shared" ca="1" si="21"/>
        <v>41898</v>
      </c>
      <c r="C59" s="1">
        <f t="shared" ca="1" si="22"/>
        <v>42262</v>
      </c>
      <c r="D59" s="1">
        <f t="shared" ca="1" si="23"/>
        <v>42219</v>
      </c>
      <c r="E59" s="1">
        <f t="shared" ca="1" si="24"/>
        <v>42248</v>
      </c>
      <c r="F59" s="1">
        <f t="shared" ca="1" si="25"/>
        <v>42258</v>
      </c>
    </row>
    <row r="60" spans="1:7" x14ac:dyDescent="0.15">
      <c r="A60" t="str">
        <f t="shared" ca="1" si="26"/>
        <v>Pb1510</v>
      </c>
      <c r="B60" s="1">
        <f t="shared" ca="1" si="21"/>
        <v>41928</v>
      </c>
      <c r="C60" s="1">
        <f t="shared" ca="1" si="22"/>
        <v>42292</v>
      </c>
      <c r="D60" s="1">
        <f t="shared" ca="1" si="23"/>
        <v>42248</v>
      </c>
      <c r="E60" s="1">
        <f t="shared" ca="1" si="24"/>
        <v>42285</v>
      </c>
      <c r="F60" s="1">
        <f t="shared" ca="1" si="25"/>
        <v>42290</v>
      </c>
    </row>
    <row r="61" spans="1:7" x14ac:dyDescent="0.15">
      <c r="A61" t="str">
        <f t="shared" ca="1" si="26"/>
        <v>Pb1511</v>
      </c>
      <c r="B61" s="1">
        <f t="shared" ca="1" si="21"/>
        <v>41961</v>
      </c>
      <c r="C61" s="1">
        <f t="shared" ca="1" si="22"/>
        <v>42324</v>
      </c>
      <c r="D61" s="1">
        <f t="shared" ca="1" si="23"/>
        <v>42285</v>
      </c>
      <c r="E61" s="1">
        <f t="shared" ca="1" si="24"/>
        <v>42310</v>
      </c>
      <c r="F61" s="1">
        <f t="shared" ca="1" si="25"/>
        <v>42320</v>
      </c>
    </row>
    <row r="62" spans="1:7" x14ac:dyDescent="0.15">
      <c r="A62" t="str">
        <f t="shared" ca="1" si="26"/>
        <v>Pb1512</v>
      </c>
      <c r="B62" s="1">
        <f t="shared" ca="1" si="21"/>
        <v>41989</v>
      </c>
      <c r="C62" s="1">
        <f t="shared" ca="1" si="22"/>
        <v>42353</v>
      </c>
      <c r="D62" s="1">
        <f t="shared" ca="1" si="23"/>
        <v>42310</v>
      </c>
      <c r="E62" s="1">
        <f t="shared" ca="1" si="24"/>
        <v>42339</v>
      </c>
      <c r="F62" s="1">
        <f t="shared" ca="1" si="25"/>
        <v>42349</v>
      </c>
    </row>
    <row r="63" spans="1:7" x14ac:dyDescent="0.15">
      <c r="A63" t="str">
        <f t="shared" ca="1" si="26"/>
        <v>Pb1601</v>
      </c>
      <c r="B63" s="1">
        <f t="shared" ca="1" si="21"/>
        <v>42020</v>
      </c>
      <c r="C63" s="1">
        <f t="shared" ca="1" si="22"/>
        <v>42384</v>
      </c>
      <c r="D63" s="1">
        <f t="shared" ca="1" si="23"/>
        <v>42339</v>
      </c>
      <c r="E63" s="1">
        <f t="shared" ca="1" si="24"/>
        <v>42370</v>
      </c>
      <c r="F63" s="1">
        <f t="shared" ca="1" si="25"/>
        <v>42382</v>
      </c>
    </row>
    <row r="64" spans="1:7" x14ac:dyDescent="0.15">
      <c r="A64" t="str">
        <f t="shared" ca="1" si="26"/>
        <v>Pb1602</v>
      </c>
      <c r="B64" s="1">
        <f t="shared" ca="1" si="21"/>
        <v>42051</v>
      </c>
      <c r="C64" s="1">
        <f t="shared" ca="1" si="22"/>
        <v>42415</v>
      </c>
      <c r="D64" s="1">
        <f t="shared" ca="1" si="23"/>
        <v>42370</v>
      </c>
      <c r="E64" s="1">
        <f t="shared" ca="1" si="24"/>
        <v>42401</v>
      </c>
      <c r="F64" s="1">
        <f t="shared" ca="1" si="25"/>
        <v>42411</v>
      </c>
    </row>
    <row r="65" spans="1:8" x14ac:dyDescent="0.15">
      <c r="A65" t="str">
        <f t="shared" ca="1" si="26"/>
        <v>Pb1603</v>
      </c>
      <c r="B65" s="1">
        <f t="shared" ca="1" si="21"/>
        <v>42080</v>
      </c>
      <c r="C65" s="1">
        <f t="shared" ca="1" si="22"/>
        <v>42444</v>
      </c>
      <c r="D65" s="1">
        <f t="shared" ca="1" si="23"/>
        <v>42401</v>
      </c>
      <c r="E65" s="1">
        <f t="shared" ca="1" si="24"/>
        <v>42430</v>
      </c>
      <c r="F65" s="1">
        <f t="shared" ca="1" si="25"/>
        <v>42440</v>
      </c>
    </row>
    <row r="66" spans="1:8" x14ac:dyDescent="0.15">
      <c r="A66" t="str">
        <f t="shared" ca="1" si="26"/>
        <v>Pb1604</v>
      </c>
      <c r="B66" s="1">
        <f t="shared" ca="1" si="21"/>
        <v>42110</v>
      </c>
      <c r="C66" s="1">
        <f t="shared" ca="1" si="22"/>
        <v>42475</v>
      </c>
      <c r="D66" s="1">
        <f t="shared" ca="1" si="23"/>
        <v>42430</v>
      </c>
      <c r="E66" s="1">
        <f t="shared" ca="1" si="24"/>
        <v>42461</v>
      </c>
      <c r="F66" s="1">
        <f t="shared" ca="1" si="25"/>
        <v>42473</v>
      </c>
    </row>
    <row r="67" spans="1:8" x14ac:dyDescent="0.15">
      <c r="A67" t="str">
        <f t="shared" ca="1" si="26"/>
        <v>Pb1605</v>
      </c>
      <c r="B67" s="1">
        <f t="shared" ca="1" si="21"/>
        <v>42142</v>
      </c>
      <c r="C67" s="1">
        <f t="shared" ca="1" si="22"/>
        <v>42506</v>
      </c>
      <c r="D67" s="1">
        <f t="shared" ca="1" si="23"/>
        <v>42461</v>
      </c>
      <c r="E67" s="1">
        <f t="shared" ca="1" si="24"/>
        <v>42492</v>
      </c>
      <c r="F67" s="1">
        <f t="shared" ca="1" si="25"/>
        <v>42502</v>
      </c>
    </row>
    <row r="68" spans="1:8" x14ac:dyDescent="0.15">
      <c r="A68" t="str">
        <f t="shared" ca="1" si="26"/>
        <v>Pb1606</v>
      </c>
      <c r="B68" s="1">
        <f t="shared" ca="1" si="21"/>
        <v>42171</v>
      </c>
      <c r="C68" s="1">
        <f t="shared" ca="1" si="22"/>
        <v>42536</v>
      </c>
      <c r="D68" s="1">
        <f t="shared" ca="1" si="23"/>
        <v>42492</v>
      </c>
      <c r="E68" s="1">
        <f t="shared" ca="1" si="24"/>
        <v>42522</v>
      </c>
      <c r="F68" s="1">
        <f t="shared" ca="1" si="25"/>
        <v>42534</v>
      </c>
    </row>
    <row r="69" spans="1:8" x14ac:dyDescent="0.15">
      <c r="A69" t="str">
        <f t="shared" ca="1" si="26"/>
        <v>Pb1607</v>
      </c>
      <c r="B69" s="1">
        <f t="shared" ca="1" si="21"/>
        <v>42201</v>
      </c>
      <c r="C69" s="1">
        <f t="shared" ca="1" si="22"/>
        <v>42566</v>
      </c>
      <c r="D69" s="1">
        <f t="shared" ca="1" si="23"/>
        <v>42522</v>
      </c>
      <c r="E69" s="1">
        <f t="shared" ca="1" si="24"/>
        <v>42552</v>
      </c>
      <c r="F69" s="1">
        <f t="shared" ca="1" si="25"/>
        <v>42564</v>
      </c>
    </row>
    <row r="70" spans="1:8" x14ac:dyDescent="0.15">
      <c r="A70" t="str">
        <f t="shared" ca="1" si="26"/>
        <v>Pb1608</v>
      </c>
      <c r="B70" s="1">
        <f t="shared" ca="1" si="21"/>
        <v>42234</v>
      </c>
      <c r="C70" s="1">
        <f t="shared" ca="1" si="22"/>
        <v>42597</v>
      </c>
      <c r="D70" s="1">
        <f t="shared" ca="1" si="23"/>
        <v>42552</v>
      </c>
      <c r="E70" s="1">
        <f t="shared" ca="1" si="24"/>
        <v>42583</v>
      </c>
      <c r="F70" s="1">
        <f t="shared" ca="1" si="25"/>
        <v>42593</v>
      </c>
    </row>
    <row r="72" spans="1:8" x14ac:dyDescent="0.15">
      <c r="C72" s="1"/>
      <c r="D72" s="1"/>
      <c r="E72" s="1"/>
      <c r="F72" s="1"/>
      <c r="G72" s="1"/>
      <c r="H72" s="1"/>
    </row>
    <row r="73" spans="1:8" x14ac:dyDescent="0.15">
      <c r="A73" t="s">
        <v>14</v>
      </c>
      <c r="D73" s="5">
        <v>0.1</v>
      </c>
      <c r="E73" s="5">
        <v>0.15</v>
      </c>
      <c r="F73" s="5">
        <v>0.2</v>
      </c>
    </row>
    <row r="74" spans="1:8" x14ac:dyDescent="0.15">
      <c r="B74" s="30" t="s">
        <v>46</v>
      </c>
      <c r="C74" s="2" t="s">
        <v>1</v>
      </c>
      <c r="D74" t="s">
        <v>9</v>
      </c>
      <c r="E74" t="s">
        <v>11</v>
      </c>
      <c r="F74" t="s">
        <v>12</v>
      </c>
    </row>
    <row r="75" spans="1:8" x14ac:dyDescent="0.15">
      <c r="A75" t="str">
        <f ca="1">"Au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Au1507</v>
      </c>
      <c r="B75" s="1">
        <f t="shared" ref="B75:B90" ca="1" si="27">IF(RIGHT(A75,4)="1505",DATE(2015,2,16),IF(RIGHT(A75,4)="1604",DATE(2015,4,16),IF(RIGHT(A75,4)*1&lt;=1408,WORKDAY(IF(NETWORKDAYS(DATE("20"&amp;(MID(A75,LEN(A75)-3,2)-1),RIGHT(A75,2),"15"),DATE("20"&amp;(MID(A75,LEN(A75)-3,2)-1),RIGHT(A75,2),"15"),Holiday)=0,WORKDAY(DATE("20"&amp;(MID(A75,LEN(A75)-3,2)-1),RIGHT(A75,2),"15"),1,Holiday),DATE("20"&amp;(MID(A75,LEN(A75)-3,2)-1),RIGHT(A75,2),"15")),1,Holiday),IF(ISODD(RIGHT(A75,4)),IF(NETWORKDAYS(DATE(20&amp;MID(A75,3,2),RIGHT(A75,2)-3,15),DATE(20&amp;MID(A75,3,2),RIGHT(A75,2)-3,15),Holiday)=0,WORKDAY(DATE(20&amp;MID(A75,3,2),RIGHT(A75,2)-3,15),2,Holiday),WORKDAY(DATE(20&amp;MID(A75,3,2),RIGHT(A75,2)-3,15),1,Holiday)),IF(NETWORKDAYS(DATE(20&amp;MID(A75,3,2),RIGHT(A75,2)-IF(RIGHT(A75,4)*1&lt;1506,12,IF(RIGHT(A75,4)*1&lt;=1604,11,13)),15),DATE(20&amp;MID(A75,3,2),RIGHT(A75,2)-IF(RIGHT(A75,4)*1&lt;1506,12,IF(RIGHT(A75,4)*1&lt;=1604,11,13)),15),Holiday)=0,WORKDAY(DATE(20&amp;MID(A75,3,2),RIGHT(A75,2)-IF(RIGHT(A75,4)*1&lt;1506,12,IF(RIGHT(A75,4)*1&lt;=1604,11,13)),15),2,Holiday),WORKDAY(DATE(20&amp;MID(A75,3,2),RIGHT(A75,2)-IF(RIGHT(A75,4)*1&lt;1506,12,IF(RIGHT(A75,4)*1&lt;=1604,11,13)),15),1,Holiday))))))</f>
        <v>42110</v>
      </c>
      <c r="C75" s="1">
        <f t="shared" ref="C75:C88" ca="1" si="28">IF(RIGHT(A75,4)="1502",DATE(2015,2,10),IF(NETWORKDAYS(DATE("20"&amp;MID(A75,LEN(A75)-3,2),RIGHT(A75,2),IF(RIGHT(A75,4)="1201","13","15")),DATE("20"&amp;MID(A75,LEN(A75)-3,2),RIGHT(A75,2),IF(RIGHT(A75,4)="1201","13","15")),Holiday)=0,WORKDAY(DATE("20"&amp;MID(A75,LEN(A75)-3,2),RIGHT(A75,2),IF(RIGHT(A75,4)="1201","13","15")),1,Holiday),DATE("20"&amp;MID(A75,LEN(A75)-3,2),RIGHT(A75,2),IF(RIGHT(A75,4)="1201","13","15"))))</f>
        <v>42200</v>
      </c>
      <c r="D75" s="1">
        <f t="shared" ref="D75:D86" ca="1" si="29">WORKDAY(DATE("20"&amp;MID(A75,LEN(A75)-3,2),RIGHT(A75,2)-1,"0"),1,Holiday)</f>
        <v>42156</v>
      </c>
      <c r="E75" s="1">
        <f t="shared" ref="E75:E86" ca="1" si="30">WORKDAY(DATE("20"&amp;MID(A75,LEN(A75)-3,2),RIGHT(A75,2),"0"),1,Holiday)</f>
        <v>42186</v>
      </c>
      <c r="F75" s="1">
        <f t="shared" ref="F75:F86" ca="1" si="31">WORKDAY(C75,-2,Holiday)</f>
        <v>42198</v>
      </c>
    </row>
    <row r="76" spans="1:8" x14ac:dyDescent="0.15">
      <c r="A76" t="str">
        <f ca="1">"Au"&amp;TEXT(DATE("20"&amp;MID(A75,LEN(A75)-3,2),RIGHT(A75,2)+1,"15"),"yymm")</f>
        <v>Au1508</v>
      </c>
      <c r="B76" s="1">
        <f t="shared" ca="1" si="27"/>
        <v>41898</v>
      </c>
      <c r="C76" s="1">
        <f t="shared" ca="1" si="28"/>
        <v>42233</v>
      </c>
      <c r="D76" s="1">
        <f t="shared" ca="1" si="29"/>
        <v>42186</v>
      </c>
      <c r="E76" s="1">
        <f t="shared" ca="1" si="30"/>
        <v>42219</v>
      </c>
      <c r="F76" s="1">
        <f t="shared" ca="1" si="31"/>
        <v>42229</v>
      </c>
    </row>
    <row r="77" spans="1:8" x14ac:dyDescent="0.15">
      <c r="A77" t="str">
        <f ca="1">"Au"&amp;TEXT(DATE("20"&amp;MID(A76,LEN(A76)-3,2),RIGHT(A76,2)+1,"15"),"yymm")</f>
        <v>Au1509</v>
      </c>
      <c r="B77" s="1">
        <f t="shared" ca="1" si="27"/>
        <v>42171</v>
      </c>
      <c r="C77" s="1">
        <f t="shared" ca="1" si="28"/>
        <v>42262</v>
      </c>
      <c r="D77" s="1">
        <f t="shared" ca="1" si="29"/>
        <v>42219</v>
      </c>
      <c r="E77" s="1">
        <f t="shared" ca="1" si="30"/>
        <v>42248</v>
      </c>
      <c r="F77" s="1">
        <f t="shared" ca="1" si="31"/>
        <v>42258</v>
      </c>
    </row>
    <row r="78" spans="1:8" x14ac:dyDescent="0.15">
      <c r="A78" t="str">
        <f t="shared" ref="A78:A90" ca="1" si="32">"Au"&amp;TEXT(DATE("20"&amp;MID(A77,LEN(A77)-3,2),RIGHT(A77,2)+1,"15"),"yymm")</f>
        <v>Au1510</v>
      </c>
      <c r="B78" s="1">
        <f t="shared" ca="1" si="27"/>
        <v>41961</v>
      </c>
      <c r="C78" s="1">
        <f t="shared" ca="1" si="28"/>
        <v>42292</v>
      </c>
      <c r="D78" s="1">
        <f t="shared" ca="1" si="29"/>
        <v>42248</v>
      </c>
      <c r="E78" s="1">
        <f t="shared" ca="1" si="30"/>
        <v>42285</v>
      </c>
      <c r="F78" s="1">
        <f t="shared" ca="1" si="31"/>
        <v>42290</v>
      </c>
    </row>
    <row r="79" spans="1:8" x14ac:dyDescent="0.15">
      <c r="A79" t="str">
        <f t="shared" ca="1" si="32"/>
        <v>Au1511</v>
      </c>
      <c r="B79" s="1">
        <f t="shared" ca="1" si="27"/>
        <v>42234</v>
      </c>
      <c r="C79" s="1">
        <f t="shared" ca="1" si="28"/>
        <v>42324</v>
      </c>
      <c r="D79" s="1">
        <f t="shared" ca="1" si="29"/>
        <v>42285</v>
      </c>
      <c r="E79" s="1">
        <f t="shared" ca="1" si="30"/>
        <v>42310</v>
      </c>
      <c r="F79" s="1">
        <f t="shared" ca="1" si="31"/>
        <v>42320</v>
      </c>
    </row>
    <row r="80" spans="1:8" x14ac:dyDescent="0.15">
      <c r="A80" t="str">
        <f t="shared" ca="1" si="32"/>
        <v>Au1512</v>
      </c>
      <c r="B80" s="1">
        <f t="shared" ca="1" si="27"/>
        <v>42020</v>
      </c>
      <c r="C80" s="1">
        <f t="shared" ca="1" si="28"/>
        <v>42353</v>
      </c>
      <c r="D80" s="1">
        <f t="shared" ca="1" si="29"/>
        <v>42310</v>
      </c>
      <c r="E80" s="1">
        <f t="shared" ca="1" si="30"/>
        <v>42339</v>
      </c>
      <c r="F80" s="1">
        <f t="shared" ca="1" si="31"/>
        <v>42349</v>
      </c>
    </row>
    <row r="81" spans="1:8" x14ac:dyDescent="0.15">
      <c r="A81" t="str">
        <f t="shared" ca="1" si="32"/>
        <v>Au1601</v>
      </c>
      <c r="B81" s="1">
        <f t="shared" ca="1" si="27"/>
        <v>42293</v>
      </c>
      <c r="C81" s="1">
        <f t="shared" ca="1" si="28"/>
        <v>42384</v>
      </c>
      <c r="D81" s="1">
        <f t="shared" ca="1" si="29"/>
        <v>42339</v>
      </c>
      <c r="E81" s="1">
        <f t="shared" ca="1" si="30"/>
        <v>42370</v>
      </c>
      <c r="F81" s="1">
        <f t="shared" ca="1" si="31"/>
        <v>42382</v>
      </c>
    </row>
    <row r="82" spans="1:8" x14ac:dyDescent="0.15">
      <c r="A82" t="str">
        <f t="shared" ca="1" si="32"/>
        <v>Au1602</v>
      </c>
      <c r="B82" s="1">
        <f t="shared" ca="1" si="27"/>
        <v>42080</v>
      </c>
      <c r="C82" s="1">
        <f t="shared" ca="1" si="28"/>
        <v>42415</v>
      </c>
      <c r="D82" s="1">
        <f t="shared" ca="1" si="29"/>
        <v>42370</v>
      </c>
      <c r="E82" s="1">
        <f t="shared" ca="1" si="30"/>
        <v>42401</v>
      </c>
      <c r="F82" s="1">
        <f t="shared" ca="1" si="31"/>
        <v>42411</v>
      </c>
    </row>
    <row r="83" spans="1:8" x14ac:dyDescent="0.15">
      <c r="A83" t="str">
        <f t="shared" ca="1" si="32"/>
        <v>Au1603</v>
      </c>
      <c r="B83" s="1">
        <f t="shared" ca="1" si="27"/>
        <v>42354</v>
      </c>
      <c r="C83" s="1">
        <f t="shared" ca="1" si="28"/>
        <v>42444</v>
      </c>
      <c r="D83" s="1">
        <f t="shared" ca="1" si="29"/>
        <v>42401</v>
      </c>
      <c r="E83" s="1">
        <f t="shared" ca="1" si="30"/>
        <v>42430</v>
      </c>
      <c r="F83" s="1">
        <f t="shared" ca="1" si="31"/>
        <v>42440</v>
      </c>
    </row>
    <row r="84" spans="1:8" x14ac:dyDescent="0.15">
      <c r="A84" t="str">
        <f t="shared" ca="1" si="32"/>
        <v>Au1604</v>
      </c>
      <c r="B84" s="1">
        <f t="shared" ca="1" si="27"/>
        <v>42110</v>
      </c>
      <c r="C84" s="1">
        <f t="shared" ca="1" si="28"/>
        <v>42475</v>
      </c>
      <c r="D84" s="1">
        <f t="shared" ca="1" si="29"/>
        <v>42430</v>
      </c>
      <c r="E84" s="1">
        <f t="shared" ca="1" si="30"/>
        <v>42461</v>
      </c>
      <c r="F84" s="1">
        <f t="shared" ca="1" si="31"/>
        <v>42473</v>
      </c>
    </row>
    <row r="85" spans="1:8" x14ac:dyDescent="0.15">
      <c r="A85" t="str">
        <f t="shared" ca="1" si="32"/>
        <v>Au1605</v>
      </c>
      <c r="B85" s="1">
        <f t="shared" ca="1" si="27"/>
        <v>42416</v>
      </c>
      <c r="C85" s="1">
        <f t="shared" ca="1" si="28"/>
        <v>42506</v>
      </c>
      <c r="D85" s="1">
        <f t="shared" ca="1" si="29"/>
        <v>42461</v>
      </c>
      <c r="E85" s="1">
        <f t="shared" ca="1" si="30"/>
        <v>42492</v>
      </c>
      <c r="F85" s="1">
        <f t="shared" ca="1" si="31"/>
        <v>42502</v>
      </c>
    </row>
    <row r="86" spans="1:8" x14ac:dyDescent="0.15">
      <c r="A86" t="str">
        <f t="shared" ca="1" si="32"/>
        <v>Au1606</v>
      </c>
      <c r="B86" s="1">
        <f t="shared" ca="1" si="27"/>
        <v>42142</v>
      </c>
      <c r="C86" s="1">
        <f t="shared" ca="1" si="28"/>
        <v>42536</v>
      </c>
      <c r="D86" s="1">
        <f t="shared" ca="1" si="29"/>
        <v>42492</v>
      </c>
      <c r="E86" s="1">
        <f t="shared" ca="1" si="30"/>
        <v>42522</v>
      </c>
      <c r="F86" s="1">
        <f t="shared" ca="1" si="31"/>
        <v>42534</v>
      </c>
    </row>
    <row r="87" spans="1:8" x14ac:dyDescent="0.15">
      <c r="A87" t="str">
        <f t="shared" ca="1" si="32"/>
        <v>Au1607</v>
      </c>
      <c r="B87" s="1">
        <f t="shared" ca="1" si="27"/>
        <v>42478</v>
      </c>
      <c r="C87" s="1">
        <f t="shared" ca="1" si="28"/>
        <v>42566</v>
      </c>
      <c r="D87" s="1">
        <f t="shared" ref="D87:D88" ca="1" si="33">WORKDAY(DATE("20"&amp;MID(A87,LEN(A87)-3,2),RIGHT(A87,2)-1,"0"),1,Holiday)</f>
        <v>42522</v>
      </c>
      <c r="E87" s="1">
        <f t="shared" ref="E87:E88" ca="1" si="34">WORKDAY(DATE("20"&amp;MID(A87,LEN(A87)-3,2),RIGHT(A87,2),"0"),1,Holiday)</f>
        <v>42552</v>
      </c>
      <c r="F87" s="1">
        <f t="shared" ref="F87:F88" ca="1" si="35">WORKDAY(C87,-2,Holiday)</f>
        <v>42564</v>
      </c>
    </row>
    <row r="88" spans="1:8" x14ac:dyDescent="0.15">
      <c r="A88" t="str">
        <f t="shared" ca="1" si="32"/>
        <v>Au1608</v>
      </c>
      <c r="B88" s="1">
        <f t="shared" ca="1" si="27"/>
        <v>42201</v>
      </c>
      <c r="C88" s="1">
        <f t="shared" ca="1" si="28"/>
        <v>42597</v>
      </c>
      <c r="D88" s="1">
        <f t="shared" ca="1" si="33"/>
        <v>42552</v>
      </c>
      <c r="E88" s="1">
        <f t="shared" ca="1" si="34"/>
        <v>42583</v>
      </c>
      <c r="F88" s="1">
        <f t="shared" ca="1" si="35"/>
        <v>42593</v>
      </c>
    </row>
    <row r="89" spans="1:8" x14ac:dyDescent="0.15">
      <c r="A89" t="str">
        <f t="shared" ca="1" si="32"/>
        <v>Au1609</v>
      </c>
      <c r="B89" s="1">
        <f t="shared" ca="1" si="27"/>
        <v>42537</v>
      </c>
      <c r="C89" s="1">
        <f t="shared" ref="C89" ca="1" si="36">IF(RIGHT(A89,4)="1502",DATE(2015,2,10),IF(NETWORKDAYS(DATE("20"&amp;MID(A89,LEN(A89)-3,2),RIGHT(A89,2),IF(RIGHT(A89,4)="1201","13","15")),DATE("20"&amp;MID(A89,LEN(A89)-3,2),RIGHT(A89,2),IF(RIGHT(A89,4)="1201","13","15")),Holiday)=0,WORKDAY(DATE("20"&amp;MID(A89,LEN(A89)-3,2),RIGHT(A89,2),IF(RIGHT(A89,4)="1201","13","15")),1,Holiday),DATE("20"&amp;MID(A89,LEN(A89)-3,2),RIGHT(A89,2),IF(RIGHT(A89,4)="1201","13","15"))))</f>
        <v>42628</v>
      </c>
      <c r="D89" s="1">
        <f t="shared" ref="D89" ca="1" si="37">WORKDAY(DATE("20"&amp;MID(A89,LEN(A89)-3,2),RIGHT(A89,2)-1,"0"),1,Holiday)</f>
        <v>42583</v>
      </c>
      <c r="E89" s="1">
        <f t="shared" ref="E89" ca="1" si="38">WORKDAY(DATE("20"&amp;MID(A89,LEN(A89)-3,2),RIGHT(A89,2),"0"),1,Holiday)</f>
        <v>42614</v>
      </c>
      <c r="F89" s="1">
        <f t="shared" ref="F89" ca="1" si="39">WORKDAY(C89,-2,Holiday)</f>
        <v>42626</v>
      </c>
      <c r="G89" s="1"/>
      <c r="H89" s="1"/>
    </row>
    <row r="90" spans="1:8" x14ac:dyDescent="0.15">
      <c r="A90" t="str">
        <f t="shared" ca="1" si="32"/>
        <v>Au1610</v>
      </c>
      <c r="B90" s="1">
        <f t="shared" ca="1" si="27"/>
        <v>42263</v>
      </c>
      <c r="C90" s="1">
        <f t="shared" ref="C90" ca="1" si="40">IF(RIGHT(A90,4)="1502",DATE(2015,2,10),IF(NETWORKDAYS(DATE("20"&amp;MID(A90,LEN(A90)-3,2),RIGHT(A90,2),IF(RIGHT(A90,4)="1201","13","15")),DATE("20"&amp;MID(A90,LEN(A90)-3,2),RIGHT(A90,2),IF(RIGHT(A90,4)="1201","13","15")),Holiday)=0,WORKDAY(DATE("20"&amp;MID(A90,LEN(A90)-3,2),RIGHT(A90,2),IF(RIGHT(A90,4)="1201","13","15")),1,Holiday),DATE("20"&amp;MID(A90,LEN(A90)-3,2),RIGHT(A90,2),IF(RIGHT(A90,4)="1201","13","15"))))</f>
        <v>42660</v>
      </c>
      <c r="D90" s="1">
        <f t="shared" ref="D90" ca="1" si="41">WORKDAY(DATE("20"&amp;MID(A90,LEN(A90)-3,2),RIGHT(A90,2)-1,"0"),1,Holiday)</f>
        <v>42614</v>
      </c>
      <c r="E90" s="1">
        <f t="shared" ref="E90" ca="1" si="42">WORKDAY(DATE("20"&amp;MID(A90,LEN(A90)-3,2),RIGHT(A90,2),"0"),1,Holiday)</f>
        <v>42646</v>
      </c>
      <c r="F90" s="1">
        <f t="shared" ref="F90" ca="1" si="43">WORKDAY(C90,-2,Holiday)</f>
        <v>42656</v>
      </c>
      <c r="G90" s="1"/>
      <c r="H90" s="1"/>
    </row>
    <row r="91" spans="1:8" x14ac:dyDescent="0.15">
      <c r="B91" s="1"/>
      <c r="C91" s="1"/>
      <c r="D91" s="1"/>
      <c r="E91" s="1"/>
      <c r="F91" s="1"/>
      <c r="G91" s="1"/>
      <c r="H91" s="1"/>
    </row>
    <row r="92" spans="1:8" x14ac:dyDescent="0.15">
      <c r="B92" s="1"/>
      <c r="C92" s="1"/>
      <c r="D92" s="1"/>
      <c r="E92" s="1"/>
      <c r="F92" s="1"/>
      <c r="G92" s="1"/>
      <c r="H92" s="1"/>
    </row>
    <row r="93" spans="1:8" x14ac:dyDescent="0.15">
      <c r="A93" t="s">
        <v>15</v>
      </c>
      <c r="D93" s="5">
        <v>0.1</v>
      </c>
      <c r="E93" s="5">
        <v>0.15</v>
      </c>
      <c r="F93" s="5">
        <v>0.2</v>
      </c>
    </row>
    <row r="94" spans="1:8" x14ac:dyDescent="0.15">
      <c r="B94" s="30" t="s">
        <v>46</v>
      </c>
      <c r="C94" s="2" t="s">
        <v>1</v>
      </c>
      <c r="D94" s="32" t="s">
        <v>9</v>
      </c>
      <c r="E94" s="32" t="s">
        <v>11</v>
      </c>
      <c r="F94" s="32" t="s">
        <v>12</v>
      </c>
    </row>
    <row r="95" spans="1:8" x14ac:dyDescent="0.15">
      <c r="A95" t="str">
        <f ca="1">"Ru"&amp;TEXT(IF(OR(MONTH(TODAY())=2,MONTH(TODAY())=12),DATE(YEAR(TODAY()),MONTH(TODAY())+1,"15"),IF(OR(MONTH(TODAY())=1,MONTH(TODAY())=11),DATE(YEAR(TODAY()),MONTH(TODAY())+IF(TEXT(DAY(TODAY()),"dd")&gt;IF(NETWORKDAYS(DATE(YEAR(TODAY()),MONTH(TODAY()),"15"),DATE(YEAR(TODAY()),MONTH(TODAY()),"15"),Holiday)=1,"15",TEXT(WORKDAY(DATE(YEAR(TODAY()),MONTH(TODAY()),"15"),1,Holiday),"dd")),2,0),"15"),DATE(YEAR(TODAY()),MONTH(TODAY())+IF(TEXT(DAY(TODAY()),"dd")&gt;IF(NETWORKDAYS(DATE(YEAR(TODAY()),MONTH(TODAY()),"15"),DATE(YEAR(TODAY()),MONTH(TODAY()),"15"),Holiday)=1,"15",TEXT(WORKDAY(DATE(YEAR(TODAY()),MONTH(TODAY()),"15"),1,Holiday),"dd")),1,0),"15"))),"yymm")</f>
        <v>Ru1507</v>
      </c>
      <c r="B95" s="1">
        <f t="shared" ref="B95:B106" ca="1" si="44">WORKDAY(IF(NETWORKDAYS(DATE("20"&amp;(MID(A95,LEN(A95)-3,2)-1),RIGHT(A95,2),IF(RIGHT(A95,4)="1201","13","15")),DATE("20"&amp;(MID(A95,LEN(A95)-3,2)-1),RIGHT(A95,2),IF(RIGHT(A95,4)="1201","13","15")),Holiday)=0,WORKDAY(DATE("20"&amp;(MID(A95,LEN(A95)-3,2)-1),RIGHT(A95,2),IF(RIGHT(A95,4)="1201","13","15")),1,Holiday),DATE("20"&amp;(MID(A95,LEN(A95)-3,2)-1),RIGHT(A95,2),IF(RIGHT(A95,4)="1201","13","15"))),1,Holiday)</f>
        <v>41836</v>
      </c>
      <c r="C95" s="1">
        <f ca="1">IF(NETWORKDAYS(DATE("20"&amp;MID(A95,LEN(A95)-3,2),RIGHT(A95,2),IF(RIGHT(A95,4)="1201","13","15")),DATE("20"&amp;MID(A95,LEN(A95)-3,2),RIGHT(A95,2),IF(RIGHT(A95,4)="1201","13","15")),Holiday)=0,WORKDAY(DATE("20"&amp;MID(A95,LEN(A95)-3,2),RIGHT(A95,2),IF(RIGHT(A95,4)="1201","13","15")),1,Holiday),DATE("20"&amp;MID(A95,LEN(A95)-3,2),RIGHT(A95,2),IF(RIGHT(A95,4)="1201","13","15")))</f>
        <v>42200</v>
      </c>
      <c r="D95" s="1">
        <f t="shared" ref="D95:D104" ca="1" si="45">WORKDAY(DATE("20"&amp;MID(A95,LEN(A95)-3,2),RIGHT(A95,2)-1,"0"),1,Holiday)</f>
        <v>42156</v>
      </c>
      <c r="E95" s="1">
        <f t="shared" ref="E95:E104" ca="1" si="46">WORKDAY(DATE("20"&amp;MID(A95,LEN(A95)-3,2),RIGHT(A95,2),"0"),1,Holiday)</f>
        <v>42186</v>
      </c>
      <c r="F95" s="1">
        <f t="shared" ref="F95:F104" ca="1" si="47">WORKDAY(C95,-2,Holiday)</f>
        <v>42198</v>
      </c>
    </row>
    <row r="96" spans="1:8" x14ac:dyDescent="0.15">
      <c r="A96" t="str">
        <f ca="1">"Ru"&amp;TEXT(DATE("20"&amp;MID(A95,LEN(A95)-3,2),RIGHT(A95,2)+IF(RIGHT(A95,1)="1",2,1),"15"),"yymm")</f>
        <v>Ru1508</v>
      </c>
      <c r="B96" s="1">
        <f t="shared" ca="1" si="44"/>
        <v>41869</v>
      </c>
      <c r="C96" s="1">
        <f t="shared" ref="C96:C104" ca="1" si="48">IF(NETWORKDAYS(DATE("20"&amp;MID(A96,LEN(A96)-3,2),RIGHT(A96,2),"15"),DATE("20"&amp;MID(A96,LEN(A96)-3,2),RIGHT(A96,2),"15"),Holiday)=0,WORKDAY(DATE("20"&amp;MID(A96,LEN(A96)-3,2),RIGHT(A96,2),"15"),1,Holiday),DATE("20"&amp;MID(A96,LEN(A96)-3,2),RIGHT(A96,2),"15"))</f>
        <v>42233</v>
      </c>
      <c r="D96" s="1">
        <f t="shared" ca="1" si="45"/>
        <v>42186</v>
      </c>
      <c r="E96" s="1">
        <f t="shared" ca="1" si="46"/>
        <v>42219</v>
      </c>
      <c r="F96" s="1">
        <f t="shared" ca="1" si="47"/>
        <v>42229</v>
      </c>
    </row>
    <row r="97" spans="1:6" x14ac:dyDescent="0.15">
      <c r="A97" t="str">
        <f t="shared" ref="A97:A106" ca="1" si="49">"Ru"&amp;TEXT(DATE("20"&amp;MID(A96,LEN(A96)-3,2),RIGHT(A96,2)+IF(RIGHT(A96,1)="1",2,1),"15"),"yymm")</f>
        <v>Ru1509</v>
      </c>
      <c r="B97" s="1">
        <f t="shared" ca="1" si="44"/>
        <v>41898</v>
      </c>
      <c r="C97" s="1">
        <f t="shared" ca="1" si="48"/>
        <v>42262</v>
      </c>
      <c r="D97" s="1">
        <f t="shared" ca="1" si="45"/>
        <v>42219</v>
      </c>
      <c r="E97" s="1">
        <f t="shared" ca="1" si="46"/>
        <v>42248</v>
      </c>
      <c r="F97" s="1">
        <f t="shared" ca="1" si="47"/>
        <v>42258</v>
      </c>
    </row>
    <row r="98" spans="1:6" x14ac:dyDescent="0.15">
      <c r="A98" t="str">
        <f t="shared" ca="1" si="49"/>
        <v>Ru1510</v>
      </c>
      <c r="B98" s="1">
        <f t="shared" ca="1" si="44"/>
        <v>41928</v>
      </c>
      <c r="C98" s="1">
        <f t="shared" ca="1" si="48"/>
        <v>42292</v>
      </c>
      <c r="D98" s="1">
        <f t="shared" ca="1" si="45"/>
        <v>42248</v>
      </c>
      <c r="E98" s="1">
        <f t="shared" ca="1" si="46"/>
        <v>42285</v>
      </c>
      <c r="F98" s="1">
        <f t="shared" ca="1" si="47"/>
        <v>42290</v>
      </c>
    </row>
    <row r="99" spans="1:6" x14ac:dyDescent="0.15">
      <c r="A99" t="str">
        <f t="shared" ca="1" si="49"/>
        <v>Ru1511</v>
      </c>
      <c r="B99" s="1">
        <f t="shared" ca="1" si="44"/>
        <v>41961</v>
      </c>
      <c r="C99" s="1">
        <f t="shared" ca="1" si="48"/>
        <v>42324</v>
      </c>
      <c r="D99" s="1">
        <f t="shared" ca="1" si="45"/>
        <v>42285</v>
      </c>
      <c r="E99" s="1">
        <f t="shared" ca="1" si="46"/>
        <v>42310</v>
      </c>
      <c r="F99" s="1">
        <f t="shared" ca="1" si="47"/>
        <v>42320</v>
      </c>
    </row>
    <row r="100" spans="1:6" x14ac:dyDescent="0.15">
      <c r="A100" t="str">
        <f t="shared" ca="1" si="49"/>
        <v>Ru1601</v>
      </c>
      <c r="B100" s="1">
        <f t="shared" ca="1" si="44"/>
        <v>42020</v>
      </c>
      <c r="C100" s="1">
        <f t="shared" ca="1" si="48"/>
        <v>42384</v>
      </c>
      <c r="D100" s="1">
        <f t="shared" ca="1" si="45"/>
        <v>42339</v>
      </c>
      <c r="E100" s="1">
        <f t="shared" ca="1" si="46"/>
        <v>42370</v>
      </c>
      <c r="F100" s="1">
        <f t="shared" ca="1" si="47"/>
        <v>42382</v>
      </c>
    </row>
    <row r="101" spans="1:6" x14ac:dyDescent="0.15">
      <c r="A101" t="str">
        <f t="shared" ca="1" si="49"/>
        <v>Ru1603</v>
      </c>
      <c r="B101" s="1">
        <f t="shared" ca="1" si="44"/>
        <v>42080</v>
      </c>
      <c r="C101" s="1">
        <f t="shared" ca="1" si="48"/>
        <v>42444</v>
      </c>
      <c r="D101" s="1">
        <f t="shared" ca="1" si="45"/>
        <v>42401</v>
      </c>
      <c r="E101" s="1">
        <f t="shared" ca="1" si="46"/>
        <v>42430</v>
      </c>
      <c r="F101" s="1">
        <f t="shared" ca="1" si="47"/>
        <v>42440</v>
      </c>
    </row>
    <row r="102" spans="1:6" x14ac:dyDescent="0.15">
      <c r="A102" t="str">
        <f t="shared" ca="1" si="49"/>
        <v>Ru1604</v>
      </c>
      <c r="B102" s="1">
        <f t="shared" ca="1" si="44"/>
        <v>42110</v>
      </c>
      <c r="C102" s="1">
        <f t="shared" ca="1" si="48"/>
        <v>42475</v>
      </c>
      <c r="D102" s="1">
        <f t="shared" ca="1" si="45"/>
        <v>42430</v>
      </c>
      <c r="E102" s="1">
        <f t="shared" ca="1" si="46"/>
        <v>42461</v>
      </c>
      <c r="F102" s="1">
        <f t="shared" ca="1" si="47"/>
        <v>42473</v>
      </c>
    </row>
    <row r="103" spans="1:6" x14ac:dyDescent="0.15">
      <c r="A103" t="str">
        <f t="shared" ca="1" si="49"/>
        <v>Ru1605</v>
      </c>
      <c r="B103" s="1">
        <f t="shared" ca="1" si="44"/>
        <v>42142</v>
      </c>
      <c r="C103" s="1">
        <f t="shared" ca="1" si="48"/>
        <v>42506</v>
      </c>
      <c r="D103" s="1">
        <f t="shared" ca="1" si="45"/>
        <v>42461</v>
      </c>
      <c r="E103" s="1">
        <f t="shared" ca="1" si="46"/>
        <v>42492</v>
      </c>
      <c r="F103" s="1">
        <f t="shared" ca="1" si="47"/>
        <v>42502</v>
      </c>
    </row>
    <row r="104" spans="1:6" x14ac:dyDescent="0.15">
      <c r="A104" t="str">
        <f t="shared" ca="1" si="49"/>
        <v>Ru1606</v>
      </c>
      <c r="B104" s="1">
        <f t="shared" ca="1" si="44"/>
        <v>42171</v>
      </c>
      <c r="C104" s="1">
        <f t="shared" ca="1" si="48"/>
        <v>42536</v>
      </c>
      <c r="D104" s="1">
        <f t="shared" ca="1" si="45"/>
        <v>42492</v>
      </c>
      <c r="E104" s="1">
        <f t="shared" ca="1" si="46"/>
        <v>42522</v>
      </c>
      <c r="F104" s="1">
        <f t="shared" ca="1" si="47"/>
        <v>42534</v>
      </c>
    </row>
    <row r="105" spans="1:6" x14ac:dyDescent="0.15">
      <c r="A105" t="str">
        <f t="shared" ca="1" si="49"/>
        <v>Ru1607</v>
      </c>
      <c r="B105" s="1">
        <f t="shared" ca="1" si="44"/>
        <v>42201</v>
      </c>
      <c r="C105" s="1">
        <f t="shared" ref="C105:C106" ca="1" si="50">IF(NETWORKDAYS(DATE("20"&amp;MID(A105,LEN(A105)-3,2),RIGHT(A105,2),"15"),DATE("20"&amp;MID(A105,LEN(A105)-3,2),RIGHT(A105,2),"15"),Holiday)=0,WORKDAY(DATE("20"&amp;MID(A105,LEN(A105)-3,2),RIGHT(A105,2),"15"),1,Holiday),DATE("20"&amp;MID(A105,LEN(A105)-3,2),RIGHT(A105,2),"15"))</f>
        <v>42566</v>
      </c>
      <c r="D105" s="1">
        <f t="shared" ref="D105:D106" ca="1" si="51">WORKDAY(DATE("20"&amp;MID(A105,LEN(A105)-3,2),RIGHT(A105,2)-1,"0"),1,Holiday)</f>
        <v>42522</v>
      </c>
      <c r="E105" s="1">
        <f t="shared" ref="E105:E106" ca="1" si="52">WORKDAY(DATE("20"&amp;MID(A105,LEN(A105)-3,2),RIGHT(A105,2),"0"),1,Holiday)</f>
        <v>42552</v>
      </c>
      <c r="F105" s="1">
        <f t="shared" ref="F105:F106" ca="1" si="53">WORKDAY(C105,-2,Holiday)</f>
        <v>42564</v>
      </c>
    </row>
    <row r="106" spans="1:6" x14ac:dyDescent="0.15">
      <c r="A106" t="str">
        <f t="shared" ca="1" si="49"/>
        <v>Ru1608</v>
      </c>
      <c r="B106" s="1">
        <f t="shared" ca="1" si="44"/>
        <v>42234</v>
      </c>
      <c r="C106" s="1">
        <f t="shared" ca="1" si="50"/>
        <v>42597</v>
      </c>
      <c r="D106" s="1">
        <f t="shared" ca="1" si="51"/>
        <v>42552</v>
      </c>
      <c r="E106" s="1">
        <f t="shared" ca="1" si="52"/>
        <v>42583</v>
      </c>
      <c r="F106" s="1">
        <f t="shared" ca="1" si="53"/>
        <v>42593</v>
      </c>
    </row>
    <row r="109" spans="1:6" x14ac:dyDescent="0.15">
      <c r="A109" t="s">
        <v>26</v>
      </c>
      <c r="D109" s="5">
        <v>0.1</v>
      </c>
      <c r="E109" s="5">
        <v>0.15</v>
      </c>
      <c r="F109" s="5">
        <v>0.2</v>
      </c>
    </row>
    <row r="110" spans="1:6" x14ac:dyDescent="0.15">
      <c r="B110" t="s">
        <v>46</v>
      </c>
      <c r="C110" s="2" t="s">
        <v>1</v>
      </c>
      <c r="D110" s="32" t="s">
        <v>9</v>
      </c>
      <c r="E110" s="32" t="s">
        <v>11</v>
      </c>
      <c r="F110" s="32" t="s">
        <v>12</v>
      </c>
    </row>
    <row r="111" spans="1:6" x14ac:dyDescent="0.15">
      <c r="A111" t="str">
        <f ca="1">"Rb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Rb1507</v>
      </c>
      <c r="B111" s="1">
        <f t="shared" ref="B111:B124" ca="1" si="54">IF(RIGHT(A111,4)="1602",DATE(2015,2,16),WORKDAY(IF(NETWORKDAYS(DATE("20"&amp;(MID(A111,LEN(A111)-3,2)-1),RIGHT(A111,2),IF(RIGHT(A111,4)="1201","13","15")),DATE("20"&amp;(MID(A111,LEN(A111)-3,2)-1),RIGHT(A111,2),IF(RIGHT(A111,4)="1201","13","15")),Holiday)=0,WORKDAY(DATE("20"&amp;(MID(A111,LEN(A111)-3,2)-1),RIGHT(A111,2),IF(RIGHT(A111,4)="1201","13","15")),1,Holiday),DATE("20"&amp;(MID(A111,LEN(A111)-3,2)-1),RIGHT(A111,2),IF(RIGHT(A111,4)="1201","13","15"))),1,Holiday))</f>
        <v>41836</v>
      </c>
      <c r="C111" s="1">
        <f t="shared" ref="C111:C124" ca="1" si="55">IF(RIGHT(A111,4)="1502",DATE(2015,2,10),IF(NETWORKDAYS(DATE("20"&amp;MID(A111,LEN(A111)-3,2),RIGHT(A111,2),IF(RIGHT(A111,4)="1201","13","15")),DATE("20"&amp;MID(A111,LEN(A111)-3,2),RIGHT(A111,2),IF(RIGHT(A111,4)="1201","13","15")),Holiday)=0,WORKDAY(DATE("20"&amp;MID(A111,LEN(A111)-3,2),RIGHT(A111,2),IF(RIGHT(A111,4)="1201","13","15")),1,Holiday),DATE("20"&amp;MID(A111,LEN(A111)-3,2),RIGHT(A111,2),IF(RIGHT(A111,4)="1201","13","15"))))</f>
        <v>42200</v>
      </c>
      <c r="D111" s="1">
        <f t="shared" ref="D111:D124" ca="1" si="56">WORKDAY(DATE("20"&amp;MID(A111,LEN(A111)-3,2),RIGHT(A111,2)-1,"0"),1,Holiday)</f>
        <v>42156</v>
      </c>
      <c r="E111" s="1">
        <f t="shared" ref="E111:E124" ca="1" si="57">WORKDAY(DATE("20"&amp;MID(A111,LEN(A111)-3,2),RIGHT(A111,2),"0"),1,Holiday)</f>
        <v>42186</v>
      </c>
      <c r="F111" s="1">
        <f t="shared" ref="F111:F124" ca="1" si="58">WORKDAY(C111,-2,Holiday)</f>
        <v>42198</v>
      </c>
    </row>
    <row r="112" spans="1:6" x14ac:dyDescent="0.15">
      <c r="A112" t="str">
        <f ca="1">"Rb"&amp;TEXT(DATE("20"&amp;MID(A111,LEN(A111)-3,2),RIGHT(A111,2)+1,"15"),"yymm")</f>
        <v>Rb1508</v>
      </c>
      <c r="B112" s="1">
        <f t="shared" ca="1" si="54"/>
        <v>41869</v>
      </c>
      <c r="C112" s="1">
        <f t="shared" ca="1" si="55"/>
        <v>42233</v>
      </c>
      <c r="D112" s="1">
        <f t="shared" ca="1" si="56"/>
        <v>42186</v>
      </c>
      <c r="E112" s="1">
        <f t="shared" ca="1" si="57"/>
        <v>42219</v>
      </c>
      <c r="F112" s="1">
        <f t="shared" ca="1" si="58"/>
        <v>42229</v>
      </c>
    </row>
    <row r="113" spans="1:6" x14ac:dyDescent="0.15">
      <c r="A113" t="str">
        <f t="shared" ref="A113:A124" ca="1" si="59">"Rb"&amp;TEXT(DATE("20"&amp;MID(A112,LEN(A112)-3,2),RIGHT(A112,2)+1,"15"),"yymm")</f>
        <v>Rb1509</v>
      </c>
      <c r="B113" s="1">
        <f t="shared" ca="1" si="54"/>
        <v>41898</v>
      </c>
      <c r="C113" s="1">
        <f t="shared" ca="1" si="55"/>
        <v>42262</v>
      </c>
      <c r="D113" s="1">
        <f t="shared" ca="1" si="56"/>
        <v>42219</v>
      </c>
      <c r="E113" s="1">
        <f t="shared" ca="1" si="57"/>
        <v>42248</v>
      </c>
      <c r="F113" s="1">
        <f t="shared" ca="1" si="58"/>
        <v>42258</v>
      </c>
    </row>
    <row r="114" spans="1:6" x14ac:dyDescent="0.15">
      <c r="A114" t="str">
        <f t="shared" ca="1" si="59"/>
        <v>Rb1510</v>
      </c>
      <c r="B114" s="1">
        <f t="shared" ca="1" si="54"/>
        <v>41928</v>
      </c>
      <c r="C114" s="1">
        <f t="shared" ca="1" si="55"/>
        <v>42292</v>
      </c>
      <c r="D114" s="1">
        <f t="shared" ca="1" si="56"/>
        <v>42248</v>
      </c>
      <c r="E114" s="1">
        <f t="shared" ca="1" si="57"/>
        <v>42285</v>
      </c>
      <c r="F114" s="1">
        <f t="shared" ca="1" si="58"/>
        <v>42290</v>
      </c>
    </row>
    <row r="115" spans="1:6" x14ac:dyDescent="0.15">
      <c r="A115" t="str">
        <f t="shared" ca="1" si="59"/>
        <v>Rb1511</v>
      </c>
      <c r="B115" s="1">
        <f t="shared" ca="1" si="54"/>
        <v>41961</v>
      </c>
      <c r="C115" s="1">
        <f t="shared" ca="1" si="55"/>
        <v>42324</v>
      </c>
      <c r="D115" s="1">
        <f t="shared" ca="1" si="56"/>
        <v>42285</v>
      </c>
      <c r="E115" s="1">
        <f t="shared" ca="1" si="57"/>
        <v>42310</v>
      </c>
      <c r="F115" s="1">
        <f t="shared" ca="1" si="58"/>
        <v>42320</v>
      </c>
    </row>
    <row r="116" spans="1:6" x14ac:dyDescent="0.15">
      <c r="A116" t="str">
        <f t="shared" ca="1" si="59"/>
        <v>Rb1512</v>
      </c>
      <c r="B116" s="1">
        <f t="shared" ca="1" si="54"/>
        <v>41989</v>
      </c>
      <c r="C116" s="1">
        <f t="shared" ca="1" si="55"/>
        <v>42353</v>
      </c>
      <c r="D116" s="1">
        <f t="shared" ca="1" si="56"/>
        <v>42310</v>
      </c>
      <c r="E116" s="1">
        <f t="shared" ca="1" si="57"/>
        <v>42339</v>
      </c>
      <c r="F116" s="1">
        <f t="shared" ca="1" si="58"/>
        <v>42349</v>
      </c>
    </row>
    <row r="117" spans="1:6" x14ac:dyDescent="0.15">
      <c r="A117" t="str">
        <f t="shared" ca="1" si="59"/>
        <v>Rb1601</v>
      </c>
      <c r="B117" s="1">
        <f t="shared" ca="1" si="54"/>
        <v>42020</v>
      </c>
      <c r="C117" s="1">
        <f t="shared" ca="1" si="55"/>
        <v>42384</v>
      </c>
      <c r="D117" s="1">
        <f t="shared" ca="1" si="56"/>
        <v>42339</v>
      </c>
      <c r="E117" s="1">
        <f t="shared" ca="1" si="57"/>
        <v>42370</v>
      </c>
      <c r="F117" s="1">
        <f t="shared" ca="1" si="58"/>
        <v>42382</v>
      </c>
    </row>
    <row r="118" spans="1:6" x14ac:dyDescent="0.15">
      <c r="A118" t="str">
        <f t="shared" ca="1" si="59"/>
        <v>Rb1602</v>
      </c>
      <c r="B118" s="1">
        <f t="shared" ca="1" si="54"/>
        <v>42051</v>
      </c>
      <c r="C118" s="1">
        <f t="shared" ca="1" si="55"/>
        <v>42415</v>
      </c>
      <c r="D118" s="1">
        <f t="shared" ca="1" si="56"/>
        <v>42370</v>
      </c>
      <c r="E118" s="1">
        <f t="shared" ca="1" si="57"/>
        <v>42401</v>
      </c>
      <c r="F118" s="1">
        <f t="shared" ca="1" si="58"/>
        <v>42411</v>
      </c>
    </row>
    <row r="119" spans="1:6" x14ac:dyDescent="0.15">
      <c r="A119" t="str">
        <f t="shared" ca="1" si="59"/>
        <v>Rb1603</v>
      </c>
      <c r="B119" s="1">
        <f t="shared" ca="1" si="54"/>
        <v>42080</v>
      </c>
      <c r="C119" s="1">
        <f t="shared" ca="1" si="55"/>
        <v>42444</v>
      </c>
      <c r="D119" s="1">
        <f t="shared" ca="1" si="56"/>
        <v>42401</v>
      </c>
      <c r="E119" s="1">
        <f t="shared" ca="1" si="57"/>
        <v>42430</v>
      </c>
      <c r="F119" s="1">
        <f t="shared" ca="1" si="58"/>
        <v>42440</v>
      </c>
    </row>
    <row r="120" spans="1:6" x14ac:dyDescent="0.15">
      <c r="A120" t="str">
        <f t="shared" ca="1" si="59"/>
        <v>Rb1604</v>
      </c>
      <c r="B120" s="1">
        <f t="shared" ca="1" si="54"/>
        <v>42110</v>
      </c>
      <c r="C120" s="1">
        <f t="shared" ca="1" si="55"/>
        <v>42475</v>
      </c>
      <c r="D120" s="1">
        <f t="shared" ca="1" si="56"/>
        <v>42430</v>
      </c>
      <c r="E120" s="1">
        <f t="shared" ca="1" si="57"/>
        <v>42461</v>
      </c>
      <c r="F120" s="1">
        <f t="shared" ca="1" si="58"/>
        <v>42473</v>
      </c>
    </row>
    <row r="121" spans="1:6" x14ac:dyDescent="0.15">
      <c r="A121" t="str">
        <f t="shared" ca="1" si="59"/>
        <v>Rb1605</v>
      </c>
      <c r="B121" s="1">
        <f t="shared" ca="1" si="54"/>
        <v>42142</v>
      </c>
      <c r="C121" s="1">
        <f t="shared" ca="1" si="55"/>
        <v>42506</v>
      </c>
      <c r="D121" s="1">
        <f t="shared" ca="1" si="56"/>
        <v>42461</v>
      </c>
      <c r="E121" s="1">
        <f t="shared" ca="1" si="57"/>
        <v>42492</v>
      </c>
      <c r="F121" s="1">
        <f t="shared" ca="1" si="58"/>
        <v>42502</v>
      </c>
    </row>
    <row r="122" spans="1:6" x14ac:dyDescent="0.15">
      <c r="A122" t="str">
        <f t="shared" ca="1" si="59"/>
        <v>Rb1606</v>
      </c>
      <c r="B122" s="1">
        <f t="shared" ca="1" si="54"/>
        <v>42171</v>
      </c>
      <c r="C122" s="1">
        <f t="shared" ca="1" si="55"/>
        <v>42536</v>
      </c>
      <c r="D122" s="1">
        <f t="shared" ca="1" si="56"/>
        <v>42492</v>
      </c>
      <c r="E122" s="1">
        <f t="shared" ca="1" si="57"/>
        <v>42522</v>
      </c>
      <c r="F122" s="1">
        <f t="shared" ca="1" si="58"/>
        <v>42534</v>
      </c>
    </row>
    <row r="123" spans="1:6" x14ac:dyDescent="0.15">
      <c r="A123" t="str">
        <f t="shared" ca="1" si="59"/>
        <v>Rb1607</v>
      </c>
      <c r="B123" s="1">
        <f t="shared" ca="1" si="54"/>
        <v>42201</v>
      </c>
      <c r="C123" s="1">
        <f t="shared" ca="1" si="55"/>
        <v>42566</v>
      </c>
      <c r="D123" s="1">
        <f t="shared" ca="1" si="56"/>
        <v>42522</v>
      </c>
      <c r="E123" s="1">
        <f t="shared" ca="1" si="57"/>
        <v>42552</v>
      </c>
      <c r="F123" s="1">
        <f t="shared" ca="1" si="58"/>
        <v>42564</v>
      </c>
    </row>
    <row r="124" spans="1:6" x14ac:dyDescent="0.15">
      <c r="A124" t="str">
        <f t="shared" ca="1" si="59"/>
        <v>Rb1608</v>
      </c>
      <c r="B124" s="1">
        <f t="shared" ca="1" si="54"/>
        <v>42234</v>
      </c>
      <c r="C124" s="1">
        <f t="shared" ca="1" si="55"/>
        <v>42597</v>
      </c>
      <c r="D124" s="1">
        <f t="shared" ca="1" si="56"/>
        <v>42552</v>
      </c>
      <c r="E124" s="1">
        <f t="shared" ca="1" si="57"/>
        <v>42583</v>
      </c>
      <c r="F124" s="1">
        <f t="shared" ca="1" si="58"/>
        <v>42593</v>
      </c>
    </row>
    <row r="125" spans="1:6" x14ac:dyDescent="0.15">
      <c r="C125" s="1"/>
      <c r="D125" s="1"/>
      <c r="E125" s="1"/>
      <c r="F125" s="1"/>
    </row>
    <row r="126" spans="1:6" x14ac:dyDescent="0.15">
      <c r="C126" s="1"/>
      <c r="D126" s="1"/>
      <c r="E126" s="1"/>
      <c r="F126" s="1"/>
    </row>
    <row r="127" spans="1:6" x14ac:dyDescent="0.15">
      <c r="A127" t="s">
        <v>23</v>
      </c>
      <c r="D127" s="5">
        <v>0.1</v>
      </c>
      <c r="E127" s="5">
        <v>0.15</v>
      </c>
      <c r="F127" s="5">
        <v>0.2</v>
      </c>
    </row>
    <row r="128" spans="1:6" x14ac:dyDescent="0.15">
      <c r="B128" t="s">
        <v>46</v>
      </c>
      <c r="C128" s="2" t="s">
        <v>1</v>
      </c>
      <c r="D128" s="32" t="s">
        <v>9</v>
      </c>
      <c r="E128" s="32" t="s">
        <v>11</v>
      </c>
      <c r="F128" s="32" t="s">
        <v>12</v>
      </c>
    </row>
    <row r="129" spans="1:8" x14ac:dyDescent="0.15">
      <c r="A129" t="str">
        <f ca="1">"Wr"&amp;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</f>
        <v>Wr1507</v>
      </c>
      <c r="B129" s="1">
        <f t="shared" ref="B129:B142" ca="1" si="60">IF(RIGHT(A129,4)="1602",DATE(2015,2,16),WORKDAY(IF(NETWORKDAYS(DATE("20"&amp;(MID(A129,LEN(A129)-3,2)-1),RIGHT(A129,2),IF(RIGHT(A129,4)="1201","13","15")),DATE("20"&amp;(MID(A129,LEN(A129)-3,2)-1),RIGHT(A129,2),IF(RIGHT(A129,4)="1201","13","15")),Holiday)=0,WORKDAY(DATE("20"&amp;(MID(A129,LEN(A129)-3,2)-1),RIGHT(A129,2),IF(RIGHT(A129,4)="1201","13","15")),1,Holiday),DATE("20"&amp;(MID(A129,LEN(A129)-3,2)-1),RIGHT(A129,2),IF(RIGHT(A129,4)="1201","13","15"))),1,Holiday))</f>
        <v>41836</v>
      </c>
      <c r="C129" s="1">
        <f t="shared" ref="C129:C142" ca="1" si="61">IF(RIGHT(A129,4)="1502",DATE(2015,2,10),IF(NETWORKDAYS(DATE("20"&amp;MID(A129,LEN(A129)-3,2),RIGHT(A129,2),IF(RIGHT(A129,4)="1201","13","15")),DATE("20"&amp;MID(A129,LEN(A129)-3,2),RIGHT(A129,2),IF(RIGHT(A129,4)="1201","13","15")),Holiday)=0,WORKDAY(DATE("20"&amp;MID(A129,LEN(A129)-3,2),RIGHT(A129,2),IF(RIGHT(A129,4)="1201","13","15")),1,Holiday),DATE("20"&amp;MID(A129,LEN(A129)-3,2),RIGHT(A129,2),IF(RIGHT(A129,4)="1201","13","15"))))</f>
        <v>42200</v>
      </c>
      <c r="D129" s="1">
        <f t="shared" ref="D129:D142" ca="1" si="62">WORKDAY(DATE("20"&amp;MID(A129,LEN(A129)-3,2),RIGHT(A129,2)-1,"0"),1,Holiday)</f>
        <v>42156</v>
      </c>
      <c r="E129" s="1">
        <f t="shared" ref="E129:E142" ca="1" si="63">WORKDAY(DATE("20"&amp;MID(A129,LEN(A129)-3,2),RIGHT(A129,2),"0"),1,Holiday)</f>
        <v>42186</v>
      </c>
      <c r="F129" s="1">
        <f t="shared" ref="F129:F142" ca="1" si="64">WORKDAY(C129,-2,Holiday)</f>
        <v>42198</v>
      </c>
    </row>
    <row r="130" spans="1:8" x14ac:dyDescent="0.15">
      <c r="A130" t="str">
        <f ca="1">"Wr"&amp;TEXT(DATE("20"&amp;MID(A129,LEN(A129)-3,2),RIGHT(A129,2)+1,"15"),"yymm")</f>
        <v>Wr1508</v>
      </c>
      <c r="B130" s="1">
        <f t="shared" ca="1" si="60"/>
        <v>41869</v>
      </c>
      <c r="C130" s="1">
        <f t="shared" ca="1" si="61"/>
        <v>42233</v>
      </c>
      <c r="D130" s="1">
        <f t="shared" ca="1" si="62"/>
        <v>42186</v>
      </c>
      <c r="E130" s="1">
        <f t="shared" ca="1" si="63"/>
        <v>42219</v>
      </c>
      <c r="F130" s="1">
        <f t="shared" ca="1" si="64"/>
        <v>42229</v>
      </c>
    </row>
    <row r="131" spans="1:8" x14ac:dyDescent="0.15">
      <c r="A131" t="str">
        <f t="shared" ref="A131:A142" ca="1" si="65">"Wr"&amp;TEXT(DATE("20"&amp;MID(A130,LEN(A130)-3,2),RIGHT(A130,2)+1,"15"),"yymm")</f>
        <v>Wr1509</v>
      </c>
      <c r="B131" s="1">
        <f t="shared" ca="1" si="60"/>
        <v>41898</v>
      </c>
      <c r="C131" s="1">
        <f t="shared" ca="1" si="61"/>
        <v>42262</v>
      </c>
      <c r="D131" s="1">
        <f t="shared" ca="1" si="62"/>
        <v>42219</v>
      </c>
      <c r="E131" s="1">
        <f t="shared" ca="1" si="63"/>
        <v>42248</v>
      </c>
      <c r="F131" s="1">
        <f t="shared" ca="1" si="64"/>
        <v>42258</v>
      </c>
    </row>
    <row r="132" spans="1:8" x14ac:dyDescent="0.15">
      <c r="A132" t="str">
        <f t="shared" ca="1" si="65"/>
        <v>Wr1510</v>
      </c>
      <c r="B132" s="1">
        <f t="shared" ca="1" si="60"/>
        <v>41928</v>
      </c>
      <c r="C132" s="1">
        <f t="shared" ca="1" si="61"/>
        <v>42292</v>
      </c>
      <c r="D132" s="1">
        <f t="shared" ca="1" si="62"/>
        <v>42248</v>
      </c>
      <c r="E132" s="1">
        <f t="shared" ca="1" si="63"/>
        <v>42285</v>
      </c>
      <c r="F132" s="1">
        <f t="shared" ca="1" si="64"/>
        <v>42290</v>
      </c>
    </row>
    <row r="133" spans="1:8" x14ac:dyDescent="0.15">
      <c r="A133" t="str">
        <f t="shared" ca="1" si="65"/>
        <v>Wr1511</v>
      </c>
      <c r="B133" s="1">
        <f t="shared" ca="1" si="60"/>
        <v>41961</v>
      </c>
      <c r="C133" s="1">
        <f t="shared" ca="1" si="61"/>
        <v>42324</v>
      </c>
      <c r="D133" s="1">
        <f t="shared" ca="1" si="62"/>
        <v>42285</v>
      </c>
      <c r="E133" s="1">
        <f t="shared" ca="1" si="63"/>
        <v>42310</v>
      </c>
      <c r="F133" s="1">
        <f t="shared" ca="1" si="64"/>
        <v>42320</v>
      </c>
    </row>
    <row r="134" spans="1:8" x14ac:dyDescent="0.15">
      <c r="A134" t="str">
        <f t="shared" ca="1" si="65"/>
        <v>Wr1512</v>
      </c>
      <c r="B134" s="1">
        <f t="shared" ca="1" si="60"/>
        <v>41989</v>
      </c>
      <c r="C134" s="1">
        <f t="shared" ca="1" si="61"/>
        <v>42353</v>
      </c>
      <c r="D134" s="1">
        <f t="shared" ca="1" si="62"/>
        <v>42310</v>
      </c>
      <c r="E134" s="1">
        <f t="shared" ca="1" si="63"/>
        <v>42339</v>
      </c>
      <c r="F134" s="1">
        <f t="shared" ca="1" si="64"/>
        <v>42349</v>
      </c>
    </row>
    <row r="135" spans="1:8" x14ac:dyDescent="0.15">
      <c r="A135" t="str">
        <f t="shared" ca="1" si="65"/>
        <v>Wr1601</v>
      </c>
      <c r="B135" s="1">
        <f t="shared" ca="1" si="60"/>
        <v>42020</v>
      </c>
      <c r="C135" s="1">
        <f t="shared" ca="1" si="61"/>
        <v>42384</v>
      </c>
      <c r="D135" s="1">
        <f t="shared" ca="1" si="62"/>
        <v>42339</v>
      </c>
      <c r="E135" s="1">
        <f t="shared" ca="1" si="63"/>
        <v>42370</v>
      </c>
      <c r="F135" s="1">
        <f t="shared" ca="1" si="64"/>
        <v>42382</v>
      </c>
    </row>
    <row r="136" spans="1:8" x14ac:dyDescent="0.15">
      <c r="A136" t="str">
        <f t="shared" ca="1" si="65"/>
        <v>Wr1602</v>
      </c>
      <c r="B136" s="1">
        <f t="shared" ca="1" si="60"/>
        <v>42051</v>
      </c>
      <c r="C136" s="1">
        <f t="shared" ca="1" si="61"/>
        <v>42415</v>
      </c>
      <c r="D136" s="1">
        <f t="shared" ca="1" si="62"/>
        <v>42370</v>
      </c>
      <c r="E136" s="1">
        <f t="shared" ca="1" si="63"/>
        <v>42401</v>
      </c>
      <c r="F136" s="1">
        <f t="shared" ca="1" si="64"/>
        <v>42411</v>
      </c>
    </row>
    <row r="137" spans="1:8" x14ac:dyDescent="0.15">
      <c r="A137" t="str">
        <f t="shared" ca="1" si="65"/>
        <v>Wr1603</v>
      </c>
      <c r="B137" s="1">
        <f t="shared" ca="1" si="60"/>
        <v>42080</v>
      </c>
      <c r="C137" s="1">
        <f t="shared" ca="1" si="61"/>
        <v>42444</v>
      </c>
      <c r="D137" s="1">
        <f t="shared" ca="1" si="62"/>
        <v>42401</v>
      </c>
      <c r="E137" s="1">
        <f t="shared" ca="1" si="63"/>
        <v>42430</v>
      </c>
      <c r="F137" s="1">
        <f t="shared" ca="1" si="64"/>
        <v>42440</v>
      </c>
    </row>
    <row r="138" spans="1:8" x14ac:dyDescent="0.15">
      <c r="A138" t="str">
        <f t="shared" ca="1" si="65"/>
        <v>Wr1604</v>
      </c>
      <c r="B138" s="1">
        <f t="shared" ca="1" si="60"/>
        <v>42110</v>
      </c>
      <c r="C138" s="1">
        <f t="shared" ca="1" si="61"/>
        <v>42475</v>
      </c>
      <c r="D138" s="1">
        <f t="shared" ca="1" si="62"/>
        <v>42430</v>
      </c>
      <c r="E138" s="1">
        <f t="shared" ca="1" si="63"/>
        <v>42461</v>
      </c>
      <c r="F138" s="1">
        <f t="shared" ca="1" si="64"/>
        <v>42473</v>
      </c>
    </row>
    <row r="139" spans="1:8" x14ac:dyDescent="0.15">
      <c r="A139" t="str">
        <f t="shared" ca="1" si="65"/>
        <v>Wr1605</v>
      </c>
      <c r="B139" s="1">
        <f t="shared" ca="1" si="60"/>
        <v>42142</v>
      </c>
      <c r="C139" s="1">
        <f t="shared" ca="1" si="61"/>
        <v>42506</v>
      </c>
      <c r="D139" s="1">
        <f t="shared" ca="1" si="62"/>
        <v>42461</v>
      </c>
      <c r="E139" s="1">
        <f t="shared" ca="1" si="63"/>
        <v>42492</v>
      </c>
      <c r="F139" s="1">
        <f t="shared" ca="1" si="64"/>
        <v>42502</v>
      </c>
    </row>
    <row r="140" spans="1:8" x14ac:dyDescent="0.15">
      <c r="A140" t="str">
        <f t="shared" ca="1" si="65"/>
        <v>Wr1606</v>
      </c>
      <c r="B140" s="1">
        <f t="shared" ca="1" si="60"/>
        <v>42171</v>
      </c>
      <c r="C140" s="1">
        <f t="shared" ca="1" si="61"/>
        <v>42536</v>
      </c>
      <c r="D140" s="1">
        <f t="shared" ca="1" si="62"/>
        <v>42492</v>
      </c>
      <c r="E140" s="1">
        <f t="shared" ca="1" si="63"/>
        <v>42522</v>
      </c>
      <c r="F140" s="1">
        <f t="shared" ca="1" si="64"/>
        <v>42534</v>
      </c>
    </row>
    <row r="141" spans="1:8" x14ac:dyDescent="0.15">
      <c r="A141" t="str">
        <f t="shared" ca="1" si="65"/>
        <v>Wr1607</v>
      </c>
      <c r="B141" s="1">
        <f t="shared" ca="1" si="60"/>
        <v>42201</v>
      </c>
      <c r="C141" s="1">
        <f t="shared" ca="1" si="61"/>
        <v>42566</v>
      </c>
      <c r="D141" s="1">
        <f t="shared" ca="1" si="62"/>
        <v>42522</v>
      </c>
      <c r="E141" s="1">
        <f t="shared" ca="1" si="63"/>
        <v>42552</v>
      </c>
      <c r="F141" s="1">
        <f t="shared" ca="1" si="64"/>
        <v>42564</v>
      </c>
    </row>
    <row r="142" spans="1:8" x14ac:dyDescent="0.15">
      <c r="A142" t="str">
        <f t="shared" ca="1" si="65"/>
        <v>Wr1608</v>
      </c>
      <c r="B142" s="1">
        <f t="shared" ca="1" si="60"/>
        <v>42234</v>
      </c>
      <c r="C142" s="1">
        <f t="shared" ca="1" si="61"/>
        <v>42597</v>
      </c>
      <c r="D142" s="1">
        <f t="shared" ca="1" si="62"/>
        <v>42552</v>
      </c>
      <c r="E142" s="1">
        <f t="shared" ca="1" si="63"/>
        <v>42583</v>
      </c>
      <c r="F142" s="1">
        <f t="shared" ca="1" si="64"/>
        <v>42593</v>
      </c>
    </row>
    <row r="143" spans="1:8" x14ac:dyDescent="0.15">
      <c r="C143" s="1"/>
      <c r="D143" s="1"/>
      <c r="E143" s="1"/>
      <c r="F143" s="1"/>
      <c r="G143" s="1"/>
      <c r="H143" s="1"/>
    </row>
    <row r="144" spans="1:8" x14ac:dyDescent="0.15">
      <c r="C144" s="1"/>
      <c r="D144" s="1"/>
      <c r="E144" s="1"/>
      <c r="F144" s="1"/>
      <c r="G144" s="1"/>
      <c r="H144" s="1"/>
    </row>
    <row r="145" spans="1:6" x14ac:dyDescent="0.15">
      <c r="A145" t="s">
        <v>16</v>
      </c>
      <c r="D145" s="5">
        <v>0.1</v>
      </c>
      <c r="E145" s="5">
        <v>0.15</v>
      </c>
      <c r="F145" s="5">
        <v>0.2</v>
      </c>
    </row>
    <row r="146" spans="1:6" x14ac:dyDescent="0.15">
      <c r="B146" t="s">
        <v>46</v>
      </c>
      <c r="C146" s="2" t="s">
        <v>1</v>
      </c>
      <c r="D146" t="s">
        <v>8</v>
      </c>
      <c r="E146" t="s">
        <v>10</v>
      </c>
      <c r="F146" t="s">
        <v>12</v>
      </c>
    </row>
    <row r="147" spans="1:6" x14ac:dyDescent="0.15">
      <c r="A147" t="str">
        <f t="array" aca="1" ref="A147" ca="1">"Fu"&amp;TEXT(IF(MONTH(DATE(YEAR(TODAY()),MONTH(TODAY())+1,"1"))=INDEX(春节月份!$C$1:$C$23,MATCH(YEAR(DATE(YEAR(TODAY()),MONTH(TODAY())+1,"1")),春节月份!$B$1:$B$23,0)),DATE(YEAR(TODAY()),MONTH(TODAY())+2,"1"),DATE(YEAR(TODAY()),MONTH(TODAY())+1,"1")),"yymm")</f>
        <v>Fu1507</v>
      </c>
      <c r="B147" s="1">
        <f t="shared" ref="B147:B160" ca="1" si="66">WORKDAY(DATE("20"&amp;(MID(A147,3,2)-1),RIGHT(A147,2),0),1,Holiday)</f>
        <v>41821</v>
      </c>
      <c r="C147" s="1">
        <f t="shared" ref="C147:C158" ca="1" si="67">IF(NETWORKDAYS(DATE("20"&amp;MID(A147,LEN(A147)-3,2),RIGHT(A147,2),0),DATE("20"&amp;MID(A147,LEN(A147)-3,2),RIGHT(A147,2),0),Holiday)=0,WORKDAY(DATE("20"&amp;MID(A147,LEN(A147)-3,2),RIGHT(A147,2),0),-1,Holiday),DATE("20"&amp;MID(A147,LEN(A147)-3,2),RIGHT(A147,2),0))</f>
        <v>42185</v>
      </c>
      <c r="D147" s="1">
        <f t="shared" ref="D147:D158" ca="1" si="68">WORKDAY(DATE("20"&amp;MID(A147,LEN(A147)-3,2),RIGHT(A147,2)-2,"0"),10,Holiday)</f>
        <v>42139</v>
      </c>
      <c r="E147" s="1">
        <f t="shared" ref="E147:E158" ca="1" si="69">WORKDAY(DATE("20"&amp;MID(A147,LEN(A147)-3,2),RIGHT(A147,2)-1,"0"),10,Holiday)</f>
        <v>42167</v>
      </c>
      <c r="F147" s="1">
        <f t="shared" ref="F147" ca="1" si="70">WORKDAY(C147,-2,Holiday)</f>
        <v>42181</v>
      </c>
    </row>
    <row r="148" spans="1:6" x14ac:dyDescent="0.15">
      <c r="A148" t="str">
        <f t="array" aca="1" ref="A148" ca="1">"Fu"&amp;TEXT(IF(MONTH(DATE("20"&amp;MID(A147,3,2),RIGHT(A147,2)+1,"1"))=INDEX(春节月份!$C$1:$C$23,MATCH(YEAR(DATE("20"&amp;MID(A147,3,2),RIGHT(A147,2)+1,"1")),春节月份!$B$1:$B$23,0)),DATE("20"&amp;MID(A147,3,2),RIGHT(A147,2)+2,"1"),DATE("20"&amp;MID(A147,3,2),RIGHT(A147,2)+1,"1")),"yymm")</f>
        <v>Fu1508</v>
      </c>
      <c r="B148" s="1">
        <f t="shared" ca="1" si="66"/>
        <v>41852</v>
      </c>
      <c r="C148" s="1">
        <f t="shared" ca="1" si="67"/>
        <v>42216</v>
      </c>
      <c r="D148" s="1">
        <f t="shared" ca="1" si="68"/>
        <v>42167</v>
      </c>
      <c r="E148" s="1">
        <f t="shared" ca="1" si="69"/>
        <v>42199</v>
      </c>
      <c r="F148" s="1">
        <f t="shared" ref="F148:F158" ca="1" si="71">WORKDAY(C148,-2,Holiday)</f>
        <v>42214</v>
      </c>
    </row>
    <row r="149" spans="1:6" x14ac:dyDescent="0.15">
      <c r="A149" t="str">
        <f t="array" aca="1" ref="A149" ca="1">"Fu"&amp;TEXT(IF(MONTH(DATE("20"&amp;MID(A148,3,2),RIGHT(A148,2)+1,"1"))=INDEX(春节月份!$C$1:$C$23,MATCH(YEAR(DATE("20"&amp;MID(A148,3,2),RIGHT(A148,2)+1,"1")),春节月份!$B$1:$B$23,0)),DATE("20"&amp;MID(A148,3,2),RIGHT(A148,2)+2,"1"),DATE("20"&amp;MID(A148,3,2),RIGHT(A148,2)+1,"1")),"yymm")</f>
        <v>Fu1509</v>
      </c>
      <c r="B149" s="1">
        <f t="shared" ca="1" si="66"/>
        <v>41883</v>
      </c>
      <c r="C149" s="1">
        <f t="shared" ca="1" si="67"/>
        <v>42247</v>
      </c>
      <c r="D149" s="1">
        <f t="shared" ca="1" si="68"/>
        <v>42199</v>
      </c>
      <c r="E149" s="1">
        <f t="shared" ca="1" si="69"/>
        <v>42230</v>
      </c>
      <c r="F149" s="1">
        <f t="shared" ca="1" si="71"/>
        <v>42243</v>
      </c>
    </row>
    <row r="150" spans="1:6" x14ac:dyDescent="0.15">
      <c r="A150" t="str">
        <f t="array" aca="1" ref="A150" ca="1">"Fu"&amp;TEXT(IF(MONTH(DATE("20"&amp;MID(A149,3,2),RIGHT(A149,2)+1,"1"))=INDEX(春节月份!$C$1:$C$23,MATCH(YEAR(DATE("20"&amp;MID(A149,3,2),RIGHT(A149,2)+1,"1")),春节月份!$B$1:$B$23,0)),DATE("20"&amp;MID(A149,3,2),RIGHT(A149,2)+2,"1"),DATE("20"&amp;MID(A149,3,2),RIGHT(A149,2)+1,"1")),"yymm")</f>
        <v>Fu1510</v>
      </c>
      <c r="B150" s="1">
        <f t="shared" ca="1" si="66"/>
        <v>41920</v>
      </c>
      <c r="C150" s="1">
        <f t="shared" ca="1" si="67"/>
        <v>42277</v>
      </c>
      <c r="D150" s="1">
        <f t="shared" ca="1" si="68"/>
        <v>42230</v>
      </c>
      <c r="E150" s="1">
        <f t="shared" ca="1" si="69"/>
        <v>42263</v>
      </c>
      <c r="F150" s="1">
        <f t="shared" ca="1" si="71"/>
        <v>42275</v>
      </c>
    </row>
    <row r="151" spans="1:6" x14ac:dyDescent="0.15">
      <c r="A151" t="str">
        <f t="array" aca="1" ref="A151" ca="1">"Fu"&amp;TEXT(IF(MONTH(DATE("20"&amp;MID(A150,3,2),RIGHT(A150,2)+1,"1"))=INDEX(春节月份!$C$1:$C$23,MATCH(YEAR(DATE("20"&amp;MID(A150,3,2),RIGHT(A150,2)+1,"1")),春节月份!$B$1:$B$23,0)),DATE("20"&amp;MID(A150,3,2),RIGHT(A150,2)+2,"1"),DATE("20"&amp;MID(A150,3,2),RIGHT(A150,2)+1,"1")),"yymm")</f>
        <v>Fu1511</v>
      </c>
      <c r="B151" s="1">
        <f t="shared" ca="1" si="66"/>
        <v>41946</v>
      </c>
      <c r="C151" s="1">
        <f t="shared" ca="1" si="67"/>
        <v>42307</v>
      </c>
      <c r="D151" s="1">
        <f t="shared" ca="1" si="68"/>
        <v>42263</v>
      </c>
      <c r="E151" s="1">
        <f t="shared" ca="1" si="69"/>
        <v>42298</v>
      </c>
      <c r="F151" s="1">
        <f t="shared" ca="1" si="71"/>
        <v>42305</v>
      </c>
    </row>
    <row r="152" spans="1:6" x14ac:dyDescent="0.15">
      <c r="A152" t="str">
        <f t="array" aca="1" ref="A152" ca="1">"Fu"&amp;TEXT(IF(MONTH(DATE("20"&amp;MID(A151,3,2),RIGHT(A151,2)+1,"1"))=INDEX(春节月份!$C$1:$C$23,MATCH(YEAR(DATE("20"&amp;MID(A151,3,2),RIGHT(A151,2)+1,"1")),春节月份!$B$1:$B$23,0)),DATE("20"&amp;MID(A151,3,2),RIGHT(A151,2)+2,"1"),DATE("20"&amp;MID(A151,3,2),RIGHT(A151,2)+1,"1")),"yymm")</f>
        <v>Fu1512</v>
      </c>
      <c r="B152" s="1">
        <f t="shared" ca="1" si="66"/>
        <v>41974</v>
      </c>
      <c r="C152" s="1">
        <f t="shared" ca="1" si="67"/>
        <v>42338</v>
      </c>
      <c r="D152" s="1">
        <f t="shared" ca="1" si="68"/>
        <v>42298</v>
      </c>
      <c r="E152" s="1">
        <f t="shared" ca="1" si="69"/>
        <v>42321</v>
      </c>
      <c r="F152" s="1">
        <f t="shared" ca="1" si="71"/>
        <v>42334</v>
      </c>
    </row>
    <row r="153" spans="1:6" x14ac:dyDescent="0.15">
      <c r="A153" t="str">
        <f t="array" aca="1" ref="A153" ca="1">"Fu"&amp;TEXT(IF(MONTH(DATE("20"&amp;MID(A152,3,2),RIGHT(A152,2)+1,"1"))=INDEX(春节月份!$C$1:$C$23,MATCH(YEAR(DATE("20"&amp;MID(A152,3,2),RIGHT(A152,2)+1,"1")),春节月份!$B$1:$B$23,0)),DATE("20"&amp;MID(A152,3,2),RIGHT(A152,2)+2,"1"),DATE("20"&amp;MID(A152,3,2),RIGHT(A152,2)+1,"1")),"yymm")</f>
        <v>Fu1601</v>
      </c>
      <c r="B153" s="1">
        <f t="shared" ca="1" si="66"/>
        <v>42009</v>
      </c>
      <c r="C153" s="1">
        <f t="shared" ca="1" si="67"/>
        <v>42369</v>
      </c>
      <c r="D153" s="1">
        <f t="shared" ca="1" si="68"/>
        <v>42321</v>
      </c>
      <c r="E153" s="1">
        <f t="shared" ca="1" si="69"/>
        <v>42352</v>
      </c>
      <c r="F153" s="1">
        <f t="shared" ca="1" si="71"/>
        <v>42367</v>
      </c>
    </row>
    <row r="154" spans="1:6" x14ac:dyDescent="0.15">
      <c r="A154" t="str">
        <f t="array" aca="1" ref="A154" ca="1">"Fu"&amp;TEXT(IF(MONTH(DATE("20"&amp;MID(A153,3,2),RIGHT(A153,2)+1,"1"))=INDEX(春节月份!$C$1:$C$23,MATCH(YEAR(DATE("20"&amp;MID(A153,3,2),RIGHT(A153,2)+1,"1")),春节月份!$B$1:$B$23,0)),DATE("20"&amp;MID(A153,3,2),RIGHT(A153,2)+2,"1"),DATE("20"&amp;MID(A153,3,2),RIGHT(A153,2)+1,"1")),"yymm")</f>
        <v>Fu1603</v>
      </c>
      <c r="B154" s="1">
        <f t="shared" ca="1" si="66"/>
        <v>42065</v>
      </c>
      <c r="C154" s="1">
        <f t="shared" ca="1" si="67"/>
        <v>42429</v>
      </c>
      <c r="D154" s="1">
        <f t="shared" ca="1" si="68"/>
        <v>42383</v>
      </c>
      <c r="E154" s="1">
        <f t="shared" ca="1" si="69"/>
        <v>42412</v>
      </c>
      <c r="F154" s="1">
        <f t="shared" ca="1" si="71"/>
        <v>42425</v>
      </c>
    </row>
    <row r="155" spans="1:6" x14ac:dyDescent="0.15">
      <c r="A155" t="str">
        <f t="array" aca="1" ref="A155" ca="1">"Fu"&amp;TEXT(IF(MONTH(DATE("20"&amp;MID(A154,3,2),RIGHT(A154,2)+1,"1"))=INDEX(春节月份!$C$1:$C$23,MATCH(YEAR(DATE("20"&amp;MID(A154,3,2),RIGHT(A154,2)+1,"1")),春节月份!$B$1:$B$23,0)),DATE("20"&amp;MID(A154,3,2),RIGHT(A154,2)+2,"1"),DATE("20"&amp;MID(A154,3,2),RIGHT(A154,2)+1,"1")),"yymm")</f>
        <v>Fu1604</v>
      </c>
      <c r="B155" s="1">
        <f t="shared" ca="1" si="66"/>
        <v>42095</v>
      </c>
      <c r="C155" s="1">
        <f t="shared" ca="1" si="67"/>
        <v>42460</v>
      </c>
      <c r="D155" s="1">
        <f t="shared" ca="1" si="68"/>
        <v>42412</v>
      </c>
      <c r="E155" s="1">
        <f t="shared" ca="1" si="69"/>
        <v>42443</v>
      </c>
      <c r="F155" s="1">
        <f t="shared" ca="1" si="71"/>
        <v>42458</v>
      </c>
    </row>
    <row r="156" spans="1:6" x14ac:dyDescent="0.15">
      <c r="A156" t="str">
        <f t="array" aca="1" ref="A156" ca="1">"Fu"&amp;TEXT(IF(MONTH(DATE("20"&amp;MID(A155,3,2),RIGHT(A155,2)+1,"1"))=INDEX(春节月份!$C$1:$C$23,MATCH(YEAR(DATE("20"&amp;MID(A155,3,2),RIGHT(A155,2)+1,"1")),春节月份!$B$1:$B$23,0)),DATE("20"&amp;MID(A155,3,2),RIGHT(A155,2)+2,"1"),DATE("20"&amp;MID(A155,3,2),RIGHT(A155,2)+1,"1")),"yymm")</f>
        <v>Fu1605</v>
      </c>
      <c r="B156" s="1">
        <f t="shared" ca="1" si="66"/>
        <v>42128</v>
      </c>
      <c r="C156" s="1">
        <f t="shared" ca="1" si="67"/>
        <v>42489</v>
      </c>
      <c r="D156" s="1">
        <f t="shared" ca="1" si="68"/>
        <v>42443</v>
      </c>
      <c r="E156" s="1">
        <f t="shared" ca="1" si="69"/>
        <v>42474</v>
      </c>
      <c r="F156" s="1">
        <f t="shared" ca="1" si="71"/>
        <v>42487</v>
      </c>
    </row>
    <row r="157" spans="1:6" x14ac:dyDescent="0.15">
      <c r="A157" t="str">
        <f t="array" aca="1" ref="A157" ca="1">"Fu"&amp;TEXT(IF(MONTH(DATE("20"&amp;MID(A156,3,2),RIGHT(A156,2)+1,"1"))=INDEX(春节月份!$C$1:$C$23,MATCH(YEAR(DATE("20"&amp;MID(A156,3,2),RIGHT(A156,2)+1,"1")),春节月份!$B$1:$B$23,0)),DATE("20"&amp;MID(A156,3,2),RIGHT(A156,2)+2,"1"),DATE("20"&amp;MID(A156,3,2),RIGHT(A156,2)+1,"1")),"yymm")</f>
        <v>Fu1606</v>
      </c>
      <c r="B157" s="1">
        <f t="shared" ca="1" si="66"/>
        <v>42156</v>
      </c>
      <c r="C157" s="1">
        <f t="shared" ca="1" si="67"/>
        <v>42521</v>
      </c>
      <c r="D157" s="1">
        <f t="shared" ca="1" si="68"/>
        <v>42474</v>
      </c>
      <c r="E157" s="1">
        <f t="shared" ca="1" si="69"/>
        <v>42503</v>
      </c>
      <c r="F157" s="1">
        <f t="shared" ca="1" si="71"/>
        <v>42517</v>
      </c>
    </row>
    <row r="158" spans="1:6" x14ac:dyDescent="0.15">
      <c r="A158" t="str">
        <f t="array" aca="1" ref="A158" ca="1">"Fu"&amp;TEXT(IF(MONTH(DATE("20"&amp;MID(A157,3,2),RIGHT(A157,2)+1,"1"))=INDEX(春节月份!$C$1:$C$23,MATCH(YEAR(DATE("20"&amp;MID(A157,3,2),RIGHT(A157,2)+1,"1")),春节月份!$B$1:$B$23,0)),DATE("20"&amp;MID(A157,3,2),RIGHT(A157,2)+2,"1"),DATE("20"&amp;MID(A157,3,2),RIGHT(A157,2)+1,"1")),"yymm")</f>
        <v>Fu1607</v>
      </c>
      <c r="B158" s="1">
        <f t="shared" ca="1" si="66"/>
        <v>42186</v>
      </c>
      <c r="C158" s="1">
        <f t="shared" ca="1" si="67"/>
        <v>42551</v>
      </c>
      <c r="D158" s="1">
        <f t="shared" ca="1" si="68"/>
        <v>42503</v>
      </c>
      <c r="E158" s="1">
        <f t="shared" ca="1" si="69"/>
        <v>42535</v>
      </c>
      <c r="F158" s="1">
        <f t="shared" ca="1" si="71"/>
        <v>42549</v>
      </c>
    </row>
    <row r="159" spans="1:6" x14ac:dyDescent="0.15">
      <c r="A159" t="str">
        <f t="array" aca="1" ref="A159" ca="1">"Fu"&amp;TEXT(IF(MONTH(DATE("20"&amp;MID(A158,3,2),RIGHT(A158,2)+1,"1"))=INDEX(春节月份!$C$1:$C$23,MATCH(YEAR(DATE("20"&amp;MID(A158,3,2),RIGHT(A158,2)+1,"1")),春节月份!$B$1:$B$23,0)),DATE("20"&amp;MID(A158,3,2),RIGHT(A158,2)+2,"1"),DATE("20"&amp;MID(A158,3,2),RIGHT(A158,2)+1,"1")),"yymm")</f>
        <v>Fu1608</v>
      </c>
      <c r="B159" s="1">
        <f t="shared" ca="1" si="66"/>
        <v>42219</v>
      </c>
      <c r="C159" s="1">
        <f t="shared" ref="C159:C160" ca="1" si="72">IF(NETWORKDAYS(DATE("20"&amp;MID(A159,LEN(A159)-3,2),RIGHT(A159,2),0),DATE("20"&amp;MID(A159,LEN(A159)-3,2),RIGHT(A159,2),0),Holiday)=0,WORKDAY(DATE("20"&amp;MID(A159,LEN(A159)-3,2),RIGHT(A159,2),0),-1,Holiday),DATE("20"&amp;MID(A159,LEN(A159)-3,2),RIGHT(A159,2),0))</f>
        <v>42580</v>
      </c>
      <c r="D159" s="1">
        <f t="shared" ref="D159:D160" ca="1" si="73">WORKDAY(DATE("20"&amp;MID(A159,LEN(A159)-3,2),RIGHT(A159,2)-2,"0"),10,Holiday)</f>
        <v>42535</v>
      </c>
      <c r="E159" s="1">
        <f t="shared" ref="E159:E160" ca="1" si="74">WORKDAY(DATE("20"&amp;MID(A159,LEN(A159)-3,2),RIGHT(A159,2)-1,"0"),10,Holiday)</f>
        <v>42565</v>
      </c>
      <c r="F159" s="1">
        <f t="shared" ref="F159:F160" ca="1" si="75">WORKDAY(C159,-2,Holiday)</f>
        <v>42578</v>
      </c>
    </row>
    <row r="160" spans="1:6" x14ac:dyDescent="0.15">
      <c r="A160" t="str">
        <f t="array" aca="1" ref="A160" ca="1">"Fu"&amp;TEXT(IF(MONTH(DATE("20"&amp;MID(A159,3,2),RIGHT(A159,2)+1,"1"))=INDEX(春节月份!$C$1:$C$23,MATCH(YEAR(DATE("20"&amp;MID(A159,3,2),RIGHT(A159,2)+1,"1")),春节月份!$B$1:$B$23,0)),DATE("20"&amp;MID(A159,3,2),RIGHT(A159,2)+2,"1"),DATE("20"&amp;MID(A159,3,2),RIGHT(A159,2)+1,"1")),"yymm")</f>
        <v>Fu1609</v>
      </c>
      <c r="B160" s="1">
        <f t="shared" ca="1" si="66"/>
        <v>42248</v>
      </c>
      <c r="C160" s="1">
        <f t="shared" ca="1" si="72"/>
        <v>42613</v>
      </c>
      <c r="D160" s="1">
        <f t="shared" ca="1" si="73"/>
        <v>42565</v>
      </c>
      <c r="E160" s="1">
        <f t="shared" ca="1" si="74"/>
        <v>42594</v>
      </c>
      <c r="F160" s="1">
        <f t="shared" ca="1" si="75"/>
        <v>42611</v>
      </c>
    </row>
    <row r="163" spans="1:8" x14ac:dyDescent="0.15">
      <c r="A163" t="s">
        <v>40</v>
      </c>
      <c r="D163" s="5">
        <v>0.1</v>
      </c>
      <c r="E163" s="5">
        <v>0.15</v>
      </c>
      <c r="F163" s="5">
        <v>0.2</v>
      </c>
      <c r="G163" s="5"/>
      <c r="H163" s="5"/>
    </row>
    <row r="164" spans="1:8" x14ac:dyDescent="0.15">
      <c r="B164" t="s">
        <v>46</v>
      </c>
      <c r="C164" s="2" t="s">
        <v>1</v>
      </c>
      <c r="D164" s="32" t="s">
        <v>9</v>
      </c>
      <c r="E164" s="32" t="s">
        <v>41</v>
      </c>
      <c r="F164" s="32" t="s">
        <v>42</v>
      </c>
    </row>
    <row r="165" spans="1:8" x14ac:dyDescent="0.15">
      <c r="A165" t="str">
        <f ca="1">"Ag"&amp;IF(TODAY()&gt;IF(NETWORKDAYS("2012/09/15","2012/09/15",Holiday)=1,DATE("2012","09","15"),WORKDAY("2012/09/15",1,Holiday)),TEXT(DATE(YEAR(TODAY()),MONTH(TODAY())+IF(TODAY()&gt;DATE(YEAR(TODAY()),MONTH(TODAY()),IF(NETWORKDAYS(DATE(YEAR(TODAY()),MONTH(TODAY()),"15"),DATE(YEAR(TODAY()),MONTH(TODAY()),"15"),Holiday)=1,"15",TEXT(WORKDAY(DATE(YEAR(TODAY()),MONTH(TODAY()),"15"),1,Holiday),"DD"))),1,0),"15"),"YYMM"),"1209")</f>
        <v>Ag1507</v>
      </c>
      <c r="B165" s="1">
        <f t="shared" ref="B165:B178" ca="1" si="76">IF(RIGHT(A165,4)="1602",DATE(2015,2,16),WORKDAY(IF(NETWORKDAYS(DATE("20"&amp;(MID(A165,LEN(A165)-3,2)-1),RIGHT(A165,2),"15"),DATE("20"&amp;(MID(A165,LEN(A165)-3,2)-1),RIGHT(A165,2),"15"),Holiday)=0,WORKDAY(DATE("20"&amp;(MID(A165,LEN(A165)-3,2)-1),RIGHT(A165,2),"15"),1,Holiday),DATE("20"&amp;(MID(A165,LEN(A165)-3,2)-1),RIGHT(A165,2),"15")),1,Holiday))</f>
        <v>41836</v>
      </c>
      <c r="C165" s="1">
        <f t="shared" ref="C165:C178" ca="1" si="77">IF(RIGHT(A165,4)="1502",DATE(2015,2,10),IF(NETWORKDAYS(DATE("20"&amp;MID(A165,LEN(A165)-3,2),RIGHT(A165,2),"15"),DATE("20"&amp;MID(A165,LEN(A165)-3,2),RIGHT(A165,2),"15"),Holiday)=0,WORKDAY(DATE("20"&amp;MID(A165,LEN(A165)-3,2),RIGHT(A165,2),"15"),1,Holiday),DATE("20"&amp;MID(A165,LEN(A165)-3,2),RIGHT(A165,2),"15")))</f>
        <v>42200</v>
      </c>
      <c r="D165" s="1">
        <f t="shared" ref="D165:D176" ca="1" si="78">WORKDAY(DATE("20"&amp;MID(A165,LEN(A165)-3,2),RIGHT(A165,2)-1,"0"),1,Holiday)</f>
        <v>42156</v>
      </c>
      <c r="E165" s="1">
        <f t="shared" ref="E165:E176" ca="1" si="79">WORKDAY(DATE("20"&amp;MID(A165,LEN(A165)-3,2),RIGHT(A165,2),"0"),1,Holiday)</f>
        <v>42186</v>
      </c>
      <c r="F165" s="1">
        <f t="shared" ref="F165:F176" ca="1" si="80">WORKDAY(C165,-2,Holiday)</f>
        <v>42198</v>
      </c>
      <c r="G165" s="1"/>
      <c r="H165" s="1"/>
    </row>
    <row r="166" spans="1:8" x14ac:dyDescent="0.15">
      <c r="A166" t="str">
        <f ca="1">"Ag"&amp;TEXT(DATE("20"&amp;MID(A165,LEN(A165)-3,2),RIGHT(A165,2)+1,"15"),"yymm")</f>
        <v>Ag1508</v>
      </c>
      <c r="B166" s="1">
        <f t="shared" ca="1" si="76"/>
        <v>41869</v>
      </c>
      <c r="C166" s="1">
        <f t="shared" ca="1" si="77"/>
        <v>42233</v>
      </c>
      <c r="D166" s="1">
        <f t="shared" ca="1" si="78"/>
        <v>42186</v>
      </c>
      <c r="E166" s="1">
        <f t="shared" ca="1" si="79"/>
        <v>42219</v>
      </c>
      <c r="F166" s="1">
        <f t="shared" ca="1" si="80"/>
        <v>42229</v>
      </c>
      <c r="G166" s="1"/>
      <c r="H166" s="1"/>
    </row>
    <row r="167" spans="1:8" x14ac:dyDescent="0.15">
      <c r="A167" t="str">
        <f t="shared" ref="A167:A178" ca="1" si="81">"Ag"&amp;TEXT(DATE("20"&amp;MID(A166,LEN(A166)-3,2),RIGHT(A166,2)+1,"15"),"yymm")</f>
        <v>Ag1509</v>
      </c>
      <c r="B167" s="1">
        <f t="shared" ca="1" si="76"/>
        <v>41898</v>
      </c>
      <c r="C167" s="1">
        <f t="shared" ca="1" si="77"/>
        <v>42262</v>
      </c>
      <c r="D167" s="1">
        <f t="shared" ca="1" si="78"/>
        <v>42219</v>
      </c>
      <c r="E167" s="1">
        <f t="shared" ca="1" si="79"/>
        <v>42248</v>
      </c>
      <c r="F167" s="1">
        <f t="shared" ca="1" si="80"/>
        <v>42258</v>
      </c>
      <c r="G167" s="1"/>
      <c r="H167" s="1"/>
    </row>
    <row r="168" spans="1:8" x14ac:dyDescent="0.15">
      <c r="A168" t="str">
        <f t="shared" ca="1" si="81"/>
        <v>Ag1510</v>
      </c>
      <c r="B168" s="1">
        <f t="shared" ca="1" si="76"/>
        <v>41928</v>
      </c>
      <c r="C168" s="1">
        <f t="shared" ca="1" si="77"/>
        <v>42292</v>
      </c>
      <c r="D168" s="1">
        <f t="shared" ca="1" si="78"/>
        <v>42248</v>
      </c>
      <c r="E168" s="1">
        <f t="shared" ca="1" si="79"/>
        <v>42285</v>
      </c>
      <c r="F168" s="1">
        <f t="shared" ca="1" si="80"/>
        <v>42290</v>
      </c>
      <c r="G168" s="1"/>
      <c r="H168" s="1"/>
    </row>
    <row r="169" spans="1:8" x14ac:dyDescent="0.15">
      <c r="A169" t="str">
        <f t="shared" ca="1" si="81"/>
        <v>Ag1511</v>
      </c>
      <c r="B169" s="1">
        <f t="shared" ca="1" si="76"/>
        <v>41961</v>
      </c>
      <c r="C169" s="1">
        <f t="shared" ca="1" si="77"/>
        <v>42324</v>
      </c>
      <c r="D169" s="1">
        <f t="shared" ca="1" si="78"/>
        <v>42285</v>
      </c>
      <c r="E169" s="1">
        <f t="shared" ca="1" si="79"/>
        <v>42310</v>
      </c>
      <c r="F169" s="1">
        <f t="shared" ca="1" si="80"/>
        <v>42320</v>
      </c>
      <c r="G169" s="1"/>
      <c r="H169" s="1"/>
    </row>
    <row r="170" spans="1:8" x14ac:dyDescent="0.15">
      <c r="A170" t="str">
        <f t="shared" ca="1" si="81"/>
        <v>Ag1512</v>
      </c>
      <c r="B170" s="1">
        <f t="shared" ca="1" si="76"/>
        <v>41989</v>
      </c>
      <c r="C170" s="1">
        <f t="shared" ca="1" si="77"/>
        <v>42353</v>
      </c>
      <c r="D170" s="1">
        <f t="shared" ca="1" si="78"/>
        <v>42310</v>
      </c>
      <c r="E170" s="1">
        <f t="shared" ca="1" si="79"/>
        <v>42339</v>
      </c>
      <c r="F170" s="1">
        <f t="shared" ca="1" si="80"/>
        <v>42349</v>
      </c>
      <c r="G170" s="1"/>
      <c r="H170" s="1"/>
    </row>
    <row r="171" spans="1:8" x14ac:dyDescent="0.15">
      <c r="A171" t="str">
        <f t="shared" ca="1" si="81"/>
        <v>Ag1601</v>
      </c>
      <c r="B171" s="1">
        <f t="shared" ca="1" si="76"/>
        <v>42020</v>
      </c>
      <c r="C171" s="1">
        <f t="shared" ca="1" si="77"/>
        <v>42384</v>
      </c>
      <c r="D171" s="1">
        <f t="shared" ca="1" si="78"/>
        <v>42339</v>
      </c>
      <c r="E171" s="1">
        <f t="shared" ca="1" si="79"/>
        <v>42370</v>
      </c>
      <c r="F171" s="1">
        <f t="shared" ca="1" si="80"/>
        <v>42382</v>
      </c>
      <c r="G171" s="1"/>
      <c r="H171" s="1"/>
    </row>
    <row r="172" spans="1:8" x14ac:dyDescent="0.15">
      <c r="A172" t="str">
        <f t="shared" ca="1" si="81"/>
        <v>Ag1602</v>
      </c>
      <c r="B172" s="1">
        <f t="shared" ca="1" si="76"/>
        <v>42051</v>
      </c>
      <c r="C172" s="1">
        <f t="shared" ca="1" si="77"/>
        <v>42415</v>
      </c>
      <c r="D172" s="1">
        <f t="shared" ca="1" si="78"/>
        <v>42370</v>
      </c>
      <c r="E172" s="1">
        <f t="shared" ca="1" si="79"/>
        <v>42401</v>
      </c>
      <c r="F172" s="1">
        <f t="shared" ca="1" si="80"/>
        <v>42411</v>
      </c>
      <c r="G172" s="1"/>
      <c r="H172" s="1"/>
    </row>
    <row r="173" spans="1:8" x14ac:dyDescent="0.15">
      <c r="A173" t="str">
        <f t="shared" ca="1" si="81"/>
        <v>Ag1603</v>
      </c>
      <c r="B173" s="1">
        <f t="shared" ca="1" si="76"/>
        <v>42080</v>
      </c>
      <c r="C173" s="1">
        <f t="shared" ca="1" si="77"/>
        <v>42444</v>
      </c>
      <c r="D173" s="1">
        <f t="shared" ca="1" si="78"/>
        <v>42401</v>
      </c>
      <c r="E173" s="1">
        <f t="shared" ca="1" si="79"/>
        <v>42430</v>
      </c>
      <c r="F173" s="1">
        <f t="shared" ca="1" si="80"/>
        <v>42440</v>
      </c>
      <c r="G173" s="1"/>
      <c r="H173" s="1"/>
    </row>
    <row r="174" spans="1:8" x14ac:dyDescent="0.15">
      <c r="A174" t="str">
        <f t="shared" ca="1" si="81"/>
        <v>Ag1604</v>
      </c>
      <c r="B174" s="1">
        <f t="shared" ca="1" si="76"/>
        <v>42110</v>
      </c>
      <c r="C174" s="1">
        <f t="shared" ca="1" si="77"/>
        <v>42475</v>
      </c>
      <c r="D174" s="1">
        <f t="shared" ca="1" si="78"/>
        <v>42430</v>
      </c>
      <c r="E174" s="1">
        <f t="shared" ca="1" si="79"/>
        <v>42461</v>
      </c>
      <c r="F174" s="1">
        <f t="shared" ca="1" si="80"/>
        <v>42473</v>
      </c>
      <c r="G174" s="1"/>
      <c r="H174" s="1"/>
    </row>
    <row r="175" spans="1:8" x14ac:dyDescent="0.15">
      <c r="A175" t="str">
        <f t="shared" ca="1" si="81"/>
        <v>Ag1605</v>
      </c>
      <c r="B175" s="1">
        <f t="shared" ca="1" si="76"/>
        <v>42142</v>
      </c>
      <c r="C175" s="1">
        <f t="shared" ca="1" si="77"/>
        <v>42506</v>
      </c>
      <c r="D175" s="1">
        <f t="shared" ca="1" si="78"/>
        <v>42461</v>
      </c>
      <c r="E175" s="1">
        <f t="shared" ca="1" si="79"/>
        <v>42492</v>
      </c>
      <c r="F175" s="1">
        <f t="shared" ca="1" si="80"/>
        <v>42502</v>
      </c>
      <c r="G175" s="1"/>
      <c r="H175" s="1"/>
    </row>
    <row r="176" spans="1:8" x14ac:dyDescent="0.15">
      <c r="A176" t="str">
        <f t="shared" ca="1" si="81"/>
        <v>Ag1606</v>
      </c>
      <c r="B176" s="1">
        <f t="shared" ca="1" si="76"/>
        <v>42171</v>
      </c>
      <c r="C176" s="1">
        <f t="shared" ca="1" si="77"/>
        <v>42536</v>
      </c>
      <c r="D176" s="1">
        <f t="shared" ca="1" si="78"/>
        <v>42492</v>
      </c>
      <c r="E176" s="1">
        <f t="shared" ca="1" si="79"/>
        <v>42522</v>
      </c>
      <c r="F176" s="1">
        <f t="shared" ca="1" si="80"/>
        <v>42534</v>
      </c>
      <c r="G176" s="1"/>
      <c r="H176" s="1"/>
    </row>
    <row r="177" spans="1:6" x14ac:dyDescent="0.15">
      <c r="A177" t="str">
        <f t="shared" ca="1" si="81"/>
        <v>Ag1607</v>
      </c>
      <c r="B177" s="1">
        <f t="shared" ca="1" si="76"/>
        <v>42201</v>
      </c>
      <c r="C177" s="1">
        <f t="shared" ca="1" si="77"/>
        <v>42566</v>
      </c>
      <c r="D177" s="1">
        <f t="shared" ref="D177:D178" ca="1" si="82">WORKDAY(DATE("20"&amp;MID(A177,LEN(A177)-3,2),RIGHT(A177,2)-1,"0"),1,Holiday)</f>
        <v>42522</v>
      </c>
      <c r="E177" s="1">
        <f t="shared" ref="E177:E178" ca="1" si="83">WORKDAY(DATE("20"&amp;MID(A177,LEN(A177)-3,2),RIGHT(A177,2),"0"),1,Holiday)</f>
        <v>42552</v>
      </c>
      <c r="F177" s="1">
        <f t="shared" ref="F177:F178" ca="1" si="84">WORKDAY(C177,-2,Holiday)</f>
        <v>42564</v>
      </c>
    </row>
    <row r="178" spans="1:6" x14ac:dyDescent="0.15">
      <c r="A178" t="str">
        <f t="shared" ca="1" si="81"/>
        <v>Ag1608</v>
      </c>
      <c r="B178" s="1">
        <f t="shared" ca="1" si="76"/>
        <v>42234</v>
      </c>
      <c r="C178" s="1">
        <f t="shared" ca="1" si="77"/>
        <v>42597</v>
      </c>
      <c r="D178" s="1">
        <f t="shared" ca="1" si="82"/>
        <v>42552</v>
      </c>
      <c r="E178" s="1">
        <f t="shared" ca="1" si="83"/>
        <v>42583</v>
      </c>
      <c r="F178" s="1">
        <f t="shared" ca="1" si="84"/>
        <v>42593</v>
      </c>
    </row>
    <row r="181" spans="1:6" x14ac:dyDescent="0.15">
      <c r="A181" t="s">
        <v>65</v>
      </c>
      <c r="D181" s="5">
        <v>0.1</v>
      </c>
      <c r="E181" s="5">
        <v>0.15</v>
      </c>
      <c r="F181" s="5">
        <v>0.2</v>
      </c>
    </row>
    <row r="182" spans="1:6" x14ac:dyDescent="0.15">
      <c r="B182" s="32" t="s">
        <v>46</v>
      </c>
      <c r="C182" s="2" t="s">
        <v>1</v>
      </c>
      <c r="D182" s="32" t="s">
        <v>9</v>
      </c>
      <c r="E182" s="32" t="s">
        <v>41</v>
      </c>
      <c r="F182" s="32" t="s">
        <v>42</v>
      </c>
    </row>
    <row r="183" spans="1:6" x14ac:dyDescent="0.15">
      <c r="A183" t="str">
        <f ca="1">"Bu"&amp;IF(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*1&lt;=1402,"1402"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Bu1507</v>
      </c>
      <c r="B183" s="1">
        <f ca="1">IF(RIGHT(A183,4)="1508",DATE(2015,2,16),IF(ISERROR(VLOOKUP(RIGHT(A183,4),{"1402";"1403";"1406";"1409";"1412";"1503";"1506";"1509"},1,FALSE)),IF(OR(RIGHT(A183,2)*1=3,RIGHT(A183,2)*1=6,RIGHT(A183,2)*1=9,RIGHT(A183,2)*1=12),IF(NETWORKDAYS(DATE("20"&amp;MID(A183,3,2),RIGHT(A183,2)-24,15),DATE("20"&amp;MID(A183,3,2),RIGHT(A183,2)-24,15),Holiday)=1,WORKDAY(DATE("20"&amp;MID(A183,3,2),RIGHT(A183,2)-24,15),1,Holiday),WORKDAY(DATE("20"&amp;MID(A183,3,2),RIGHT(A183,2)-24,15),2,Holiday)),IF(NETWORKDAYS(DATE("20"&amp;MID(A183,3,2),RIGHT(A183,2)-6,15),DATE("20"&amp;MID(A183,3,2),RIGHT(A183,2)-6,15),Holiday)=1,WORKDAY(DATE("20"&amp;MID(A183,3,2),RIGHT(A183,2)-6,15),1,Holiday),WORKDAY(DATE("20"&amp;MID(A183,3,2),RIGHT(A183,2)-6,15),2,Holiday))),DATE(2013,10,9)))</f>
        <v>42020</v>
      </c>
      <c r="C183" s="1">
        <f t="shared" ref="C183:C208" ca="1" si="85">IF(RIGHT(A183,4)="1502",DATE(2015,2,10),IF(NETWORKDAYS(DATE("20"&amp;MID(A183,LEN(A183)-3,2),RIGHT(A183,2),"15"),DATE("20"&amp;MID(A183,LEN(A183)-3,2),RIGHT(A183,2),"15"),Holiday)=0,WORKDAY(DATE("20"&amp;MID(A183,LEN(A183)-3,2),RIGHT(A183,2),"15"),1,Holiday),DATE("20"&amp;MID(A183,LEN(A183)-3,2),RIGHT(A183,2),"15")))</f>
        <v>42200</v>
      </c>
      <c r="D183" s="1">
        <f t="shared" ref="D183:D196" ca="1" si="86">WORKDAY(DATE("20"&amp;MID(A183,LEN(A183)-3,2),RIGHT(A183,2)-1,"0"),1,Holiday)</f>
        <v>42156</v>
      </c>
      <c r="E183" s="1">
        <f t="shared" ref="E183:E196" ca="1" si="87">WORKDAY(DATE("20"&amp;MID(A183,LEN(A183)-3,2),RIGHT(A183,2),"0"),1,Holiday)</f>
        <v>42186</v>
      </c>
      <c r="F183" s="1">
        <f t="shared" ref="F183:F196" ca="1" si="88">WORKDAY(C183,-2,Holiday)</f>
        <v>42198</v>
      </c>
    </row>
    <row r="184" spans="1:6" x14ac:dyDescent="0.15">
      <c r="A184" t="str">
        <f ca="1">"Bu"&amp;TEXT(DATE("20"&amp;MID(A183,LEN(A183)-3,2),RIGHT(A183,2)+1,"15"),"yymm")</f>
        <v>Bu1508</v>
      </c>
      <c r="B184" s="1">
        <f ca="1">IF(RIGHT(A184,4)="1508",DATE(2015,2,16),IF(ISERROR(VLOOKUP(RIGHT(A184,4),{"1402";"1403";"1406";"1409";"1412";"1503";"1506";"1509"},1,FALSE)),IF(OR(RIGHT(A184,2)*1=3,RIGHT(A184,2)*1=6,RIGHT(A184,2)*1=9,RIGHT(A184,2)*1=12),IF(NETWORKDAYS(DATE("20"&amp;MID(A184,3,2),RIGHT(A184,2)-24,15),DATE("20"&amp;MID(A184,3,2),RIGHT(A184,2)-24,15),Holiday)=1,WORKDAY(DATE("20"&amp;MID(A184,3,2),RIGHT(A184,2)-24,15),1,Holiday),WORKDAY(DATE("20"&amp;MID(A184,3,2),RIGHT(A184,2)-24,15),2,Holiday)),IF(NETWORKDAYS(DATE("20"&amp;MID(A184,3,2),RIGHT(A184,2)-6,15),DATE("20"&amp;MID(A184,3,2),RIGHT(A184,2)-6,15),Holiday)=1,WORKDAY(DATE("20"&amp;MID(A184,3,2),RIGHT(A184,2)-6,15),1,Holiday),WORKDAY(DATE("20"&amp;MID(A184,3,2),RIGHT(A184,2)-6,15),2,Holiday))),DATE(2013,10,9)))</f>
        <v>42051</v>
      </c>
      <c r="C184" s="1">
        <f t="shared" ca="1" si="85"/>
        <v>42233</v>
      </c>
      <c r="D184" s="1">
        <f t="shared" ca="1" si="86"/>
        <v>42186</v>
      </c>
      <c r="E184" s="1">
        <f t="shared" ca="1" si="87"/>
        <v>42219</v>
      </c>
      <c r="F184" s="1">
        <f t="shared" ca="1" si="88"/>
        <v>42229</v>
      </c>
    </row>
    <row r="185" spans="1:6" x14ac:dyDescent="0.15">
      <c r="A185" t="str">
        <f t="shared" ref="A185:A207" ca="1" si="89">"Bu"&amp;TEXT(DATE("20"&amp;MID(A184,LEN(A184)-3,2),RIGHT(A184,2)+1,"15"),"yymm")</f>
        <v>Bu1509</v>
      </c>
      <c r="B185" s="1">
        <f ca="1">IF(RIGHT(A185,4)="1508",DATE(2015,2,16),IF(ISERROR(VLOOKUP(RIGHT(A185,4),{"1402";"1403";"1406";"1409";"1412";"1503";"1506";"1509"},1,FALSE)),IF(OR(RIGHT(A185,2)*1=3,RIGHT(A185,2)*1=6,RIGHT(A185,2)*1=9,RIGHT(A185,2)*1=12),IF(NETWORKDAYS(DATE("20"&amp;MID(A185,3,2),RIGHT(A185,2)-24,15),DATE("20"&amp;MID(A185,3,2),RIGHT(A185,2)-24,15),Holiday)=1,WORKDAY(DATE("20"&amp;MID(A185,3,2),RIGHT(A185,2)-24,15),1,Holiday),WORKDAY(DATE("20"&amp;MID(A185,3,2),RIGHT(A185,2)-24,15),2,Holiday)),IF(NETWORKDAYS(DATE("20"&amp;MID(A185,3,2),RIGHT(A185,2)-6,15),DATE("20"&amp;MID(A185,3,2),RIGHT(A185,2)-6,15),Holiday)=1,WORKDAY(DATE("20"&amp;MID(A185,3,2),RIGHT(A185,2)-6,15),1,Holiday),WORKDAY(DATE("20"&amp;MID(A185,3,2),RIGHT(A185,2)-6,15),2,Holiday))),DATE(2013,10,9)))</f>
        <v>41556</v>
      </c>
      <c r="C185" s="1">
        <f t="shared" ca="1" si="85"/>
        <v>42262</v>
      </c>
      <c r="D185" s="1">
        <f t="shared" ca="1" si="86"/>
        <v>42219</v>
      </c>
      <c r="E185" s="1">
        <f t="shared" ca="1" si="87"/>
        <v>42248</v>
      </c>
      <c r="F185" s="1">
        <f t="shared" ca="1" si="88"/>
        <v>42258</v>
      </c>
    </row>
    <row r="186" spans="1:6" x14ac:dyDescent="0.15">
      <c r="A186" t="str">
        <f t="shared" ca="1" si="89"/>
        <v>Bu1510</v>
      </c>
      <c r="B186" s="1">
        <f ca="1">IF(RIGHT(A186,4)="1508",DATE(2015,2,16),IF(ISERROR(VLOOKUP(RIGHT(A186,4),{"1402";"1403";"1406";"1409";"1412";"1503";"1506";"1509"},1,FALSE)),IF(OR(RIGHT(A186,2)*1=3,RIGHT(A186,2)*1=6,RIGHT(A186,2)*1=9,RIGHT(A186,2)*1=12),IF(NETWORKDAYS(DATE("20"&amp;MID(A186,3,2),RIGHT(A186,2)-24,15),DATE("20"&amp;MID(A186,3,2),RIGHT(A186,2)-24,15),Holiday)=1,WORKDAY(DATE("20"&amp;MID(A186,3,2),RIGHT(A186,2)-24,15),1,Holiday),WORKDAY(DATE("20"&amp;MID(A186,3,2),RIGHT(A186,2)-24,15),2,Holiday)),IF(NETWORKDAYS(DATE("20"&amp;MID(A186,3,2),RIGHT(A186,2)-6,15),DATE("20"&amp;MID(A186,3,2),RIGHT(A186,2)-6,15),Holiday)=1,WORKDAY(DATE("20"&amp;MID(A186,3,2),RIGHT(A186,2)-6,15),1,Holiday),WORKDAY(DATE("20"&amp;MID(A186,3,2),RIGHT(A186,2)-6,15),2,Holiday))),DATE(2013,10,9)))</f>
        <v>42110</v>
      </c>
      <c r="C186" s="1">
        <f t="shared" ca="1" si="85"/>
        <v>42292</v>
      </c>
      <c r="D186" s="1">
        <f t="shared" ca="1" si="86"/>
        <v>42248</v>
      </c>
      <c r="E186" s="1">
        <f t="shared" ca="1" si="87"/>
        <v>42285</v>
      </c>
      <c r="F186" s="1">
        <f t="shared" ca="1" si="88"/>
        <v>42290</v>
      </c>
    </row>
    <row r="187" spans="1:6" x14ac:dyDescent="0.15">
      <c r="A187" t="str">
        <f t="shared" ca="1" si="89"/>
        <v>Bu1511</v>
      </c>
      <c r="B187" s="1">
        <f ca="1">IF(RIGHT(A187,4)="1508",DATE(2015,2,16),IF(ISERROR(VLOOKUP(RIGHT(A187,4),{"1402";"1403";"1406";"1409";"1412";"1503";"1506";"1509"},1,FALSE)),IF(OR(RIGHT(A187,2)*1=3,RIGHT(A187,2)*1=6,RIGHT(A187,2)*1=9,RIGHT(A187,2)*1=12),IF(NETWORKDAYS(DATE("20"&amp;MID(A187,3,2),RIGHT(A187,2)-24,15),DATE("20"&amp;MID(A187,3,2),RIGHT(A187,2)-24,15),Holiday)=1,WORKDAY(DATE("20"&amp;MID(A187,3,2),RIGHT(A187,2)-24,15),1,Holiday),WORKDAY(DATE("20"&amp;MID(A187,3,2),RIGHT(A187,2)-24,15),2,Holiday)),IF(NETWORKDAYS(DATE("20"&amp;MID(A187,3,2),RIGHT(A187,2)-6,15),DATE("20"&amp;MID(A187,3,2),RIGHT(A187,2)-6,15),Holiday)=1,WORKDAY(DATE("20"&amp;MID(A187,3,2),RIGHT(A187,2)-6,15),1,Holiday),WORKDAY(DATE("20"&amp;MID(A187,3,2),RIGHT(A187,2)-6,15),2,Holiday))),DATE(2013,10,9)))</f>
        <v>42142</v>
      </c>
      <c r="C187" s="1">
        <f t="shared" ca="1" si="85"/>
        <v>42324</v>
      </c>
      <c r="D187" s="1">
        <f t="shared" ca="1" si="86"/>
        <v>42285</v>
      </c>
      <c r="E187" s="1">
        <f t="shared" ca="1" si="87"/>
        <v>42310</v>
      </c>
      <c r="F187" s="1">
        <f t="shared" ca="1" si="88"/>
        <v>42320</v>
      </c>
    </row>
    <row r="188" spans="1:6" x14ac:dyDescent="0.15">
      <c r="A188" t="str">
        <f t="shared" ca="1" si="89"/>
        <v>Bu1512</v>
      </c>
      <c r="B188" s="1">
        <f ca="1">IF(RIGHT(A188,4)="1508",DATE(2015,2,16),IF(ISERROR(VLOOKUP(RIGHT(A188,4),{"1402";"1403";"1406";"1409";"1412";"1503";"1506";"1509"},1,FALSE)),IF(OR(RIGHT(A188,2)*1=3,RIGHT(A188,2)*1=6,RIGHT(A188,2)*1=9,RIGHT(A188,2)*1=12),IF(NETWORKDAYS(DATE("20"&amp;MID(A188,3,2),RIGHT(A188,2)-24,15),DATE("20"&amp;MID(A188,3,2),RIGHT(A188,2)-24,15),Holiday)=1,WORKDAY(DATE("20"&amp;MID(A188,3,2),RIGHT(A188,2)-24,15),1,Holiday),WORKDAY(DATE("20"&amp;MID(A188,3,2),RIGHT(A188,2)-24,15),2,Holiday)),IF(NETWORKDAYS(DATE("20"&amp;MID(A188,3,2),RIGHT(A188,2)-6,15),DATE("20"&amp;MID(A188,3,2),RIGHT(A188,2)-6,15),Holiday)=1,WORKDAY(DATE("20"&amp;MID(A188,3,2),RIGHT(A188,2)-6,15),1,Holiday),WORKDAY(DATE("20"&amp;MID(A188,3,2),RIGHT(A188,2)-6,15),2,Holiday))),DATE(2013,10,9)))</f>
        <v>41625</v>
      </c>
      <c r="C188" s="1">
        <f t="shared" ca="1" si="85"/>
        <v>42353</v>
      </c>
      <c r="D188" s="1">
        <f t="shared" ca="1" si="86"/>
        <v>42310</v>
      </c>
      <c r="E188" s="1">
        <f t="shared" ca="1" si="87"/>
        <v>42339</v>
      </c>
      <c r="F188" s="1">
        <f t="shared" ca="1" si="88"/>
        <v>42349</v>
      </c>
    </row>
    <row r="189" spans="1:6" x14ac:dyDescent="0.15">
      <c r="A189" t="str">
        <f t="shared" ca="1" si="89"/>
        <v>Bu1601</v>
      </c>
      <c r="B189" s="1">
        <f ca="1">IF(RIGHT(A189,4)="1508",DATE(2015,2,16),IF(ISERROR(VLOOKUP(RIGHT(A189,4),{"1402";"1403";"1406";"1409";"1412";"1503";"1506";"1509"},1,FALSE)),IF(OR(RIGHT(A189,2)*1=3,RIGHT(A189,2)*1=6,RIGHT(A189,2)*1=9,RIGHT(A189,2)*1=12),IF(NETWORKDAYS(DATE("20"&amp;MID(A189,3,2),RIGHT(A189,2)-24,15),DATE("20"&amp;MID(A189,3,2),RIGHT(A189,2)-24,15),Holiday)=1,WORKDAY(DATE("20"&amp;MID(A189,3,2),RIGHT(A189,2)-24,15),1,Holiday),WORKDAY(DATE("20"&amp;MID(A189,3,2),RIGHT(A189,2)-24,15),2,Holiday)),IF(NETWORKDAYS(DATE("20"&amp;MID(A189,3,2),RIGHT(A189,2)-6,15),DATE("20"&amp;MID(A189,3,2),RIGHT(A189,2)-6,15),Holiday)=1,WORKDAY(DATE("20"&amp;MID(A189,3,2),RIGHT(A189,2)-6,15),1,Holiday),WORKDAY(DATE("20"&amp;MID(A189,3,2),RIGHT(A189,2)-6,15),2,Holiday))),DATE(2013,10,9)))</f>
        <v>42201</v>
      </c>
      <c r="C189" s="1">
        <f t="shared" ca="1" si="85"/>
        <v>42384</v>
      </c>
      <c r="D189" s="1">
        <f t="shared" ca="1" si="86"/>
        <v>42339</v>
      </c>
      <c r="E189" s="1">
        <f t="shared" ca="1" si="87"/>
        <v>42370</v>
      </c>
      <c r="F189" s="1">
        <f t="shared" ca="1" si="88"/>
        <v>42382</v>
      </c>
    </row>
    <row r="190" spans="1:6" x14ac:dyDescent="0.15">
      <c r="A190" t="str">
        <f t="shared" ca="1" si="89"/>
        <v>Bu1602</v>
      </c>
      <c r="B190" s="1">
        <f ca="1">IF(RIGHT(A190,4)="1508",DATE(2015,2,16),IF(ISERROR(VLOOKUP(RIGHT(A190,4),{"1402";"1403";"1406";"1409";"1412";"1503";"1506";"1509"},1,FALSE)),IF(OR(RIGHT(A190,2)*1=3,RIGHT(A190,2)*1=6,RIGHT(A190,2)*1=9,RIGHT(A190,2)*1=12),IF(NETWORKDAYS(DATE("20"&amp;MID(A190,3,2),RIGHT(A190,2)-24,15),DATE("20"&amp;MID(A190,3,2),RIGHT(A190,2)-24,15),Holiday)=1,WORKDAY(DATE("20"&amp;MID(A190,3,2),RIGHT(A190,2)-24,15),1,Holiday),WORKDAY(DATE("20"&amp;MID(A190,3,2),RIGHT(A190,2)-24,15),2,Holiday)),IF(NETWORKDAYS(DATE("20"&amp;MID(A190,3,2),RIGHT(A190,2)-6,15),DATE("20"&amp;MID(A190,3,2),RIGHT(A190,2)-6,15),Holiday)=1,WORKDAY(DATE("20"&amp;MID(A190,3,2),RIGHT(A190,2)-6,15),1,Holiday),WORKDAY(DATE("20"&amp;MID(A190,3,2),RIGHT(A190,2)-6,15),2,Holiday))),DATE(2013,10,9)))</f>
        <v>42234</v>
      </c>
      <c r="C190" s="1">
        <f t="shared" ca="1" si="85"/>
        <v>42415</v>
      </c>
      <c r="D190" s="1">
        <f t="shared" ca="1" si="86"/>
        <v>42370</v>
      </c>
      <c r="E190" s="1">
        <f t="shared" ca="1" si="87"/>
        <v>42401</v>
      </c>
      <c r="F190" s="1">
        <f t="shared" ca="1" si="88"/>
        <v>42411</v>
      </c>
    </row>
    <row r="191" spans="1:6" x14ac:dyDescent="0.15">
      <c r="A191" t="str">
        <f t="shared" ca="1" si="89"/>
        <v>Bu1603</v>
      </c>
      <c r="B191" s="1">
        <f ca="1">IF(RIGHT(A191,4)="1508",DATE(2015,2,16),IF(ISERROR(VLOOKUP(RIGHT(A191,4),{"1402";"1403";"1406";"1409";"1412";"1503";"1506";"1509"},1,FALSE)),IF(OR(RIGHT(A191,2)*1=3,RIGHT(A191,2)*1=6,RIGHT(A191,2)*1=9,RIGHT(A191,2)*1=12),IF(NETWORKDAYS(DATE("20"&amp;MID(A191,3,2),RIGHT(A191,2)-24,15),DATE("20"&amp;MID(A191,3,2),RIGHT(A191,2)-24,15),Holiday)=1,WORKDAY(DATE("20"&amp;MID(A191,3,2),RIGHT(A191,2)-24,15),1,Holiday),WORKDAY(DATE("20"&amp;MID(A191,3,2),RIGHT(A191,2)-24,15),2,Holiday)),IF(NETWORKDAYS(DATE("20"&amp;MID(A191,3,2),RIGHT(A191,2)-6,15),DATE("20"&amp;MID(A191,3,2),RIGHT(A191,2)-6,15),Holiday)=1,WORKDAY(DATE("20"&amp;MID(A191,3,2),RIGHT(A191,2)-6,15),1,Holiday),WORKDAY(DATE("20"&amp;MID(A191,3,2),RIGHT(A191,2)-6,15),2,Holiday))),DATE(2013,10,9)))</f>
        <v>41716</v>
      </c>
      <c r="C191" s="1">
        <f t="shared" ca="1" si="85"/>
        <v>42444</v>
      </c>
      <c r="D191" s="1">
        <f t="shared" ca="1" si="86"/>
        <v>42401</v>
      </c>
      <c r="E191" s="1">
        <f t="shared" ca="1" si="87"/>
        <v>42430</v>
      </c>
      <c r="F191" s="1">
        <f t="shared" ca="1" si="88"/>
        <v>42440</v>
      </c>
    </row>
    <row r="192" spans="1:6" x14ac:dyDescent="0.15">
      <c r="A192" t="str">
        <f t="shared" ca="1" si="89"/>
        <v>Bu1604</v>
      </c>
      <c r="B192" s="1">
        <f ca="1">IF(RIGHT(A192,4)="1508",DATE(2015,2,16),IF(ISERROR(VLOOKUP(RIGHT(A192,4),{"1402";"1403";"1406";"1409";"1412";"1503";"1506";"1509"},1,FALSE)),IF(OR(RIGHT(A192,2)*1=3,RIGHT(A192,2)*1=6,RIGHT(A192,2)*1=9,RIGHT(A192,2)*1=12),IF(NETWORKDAYS(DATE("20"&amp;MID(A192,3,2),RIGHT(A192,2)-24,15),DATE("20"&amp;MID(A192,3,2),RIGHT(A192,2)-24,15),Holiday)=1,WORKDAY(DATE("20"&amp;MID(A192,3,2),RIGHT(A192,2)-24,15),1,Holiday),WORKDAY(DATE("20"&amp;MID(A192,3,2),RIGHT(A192,2)-24,15),2,Holiday)),IF(NETWORKDAYS(DATE("20"&amp;MID(A192,3,2),RIGHT(A192,2)-6,15),DATE("20"&amp;MID(A192,3,2),RIGHT(A192,2)-6,15),Holiday)=1,WORKDAY(DATE("20"&amp;MID(A192,3,2),RIGHT(A192,2)-6,15),1,Holiday),WORKDAY(DATE("20"&amp;MID(A192,3,2),RIGHT(A192,2)-6,15),2,Holiday))),DATE(2013,10,9)))</f>
        <v>42293</v>
      </c>
      <c r="C192" s="1">
        <f t="shared" ca="1" si="85"/>
        <v>42475</v>
      </c>
      <c r="D192" s="1">
        <f t="shared" ca="1" si="86"/>
        <v>42430</v>
      </c>
      <c r="E192" s="1">
        <f t="shared" ca="1" si="87"/>
        <v>42461</v>
      </c>
      <c r="F192" s="1">
        <f t="shared" ca="1" si="88"/>
        <v>42473</v>
      </c>
    </row>
    <row r="193" spans="1:6" x14ac:dyDescent="0.15">
      <c r="A193" t="str">
        <f t="shared" ca="1" si="89"/>
        <v>Bu1605</v>
      </c>
      <c r="B193" s="1">
        <f ca="1">IF(RIGHT(A193,4)="1508",DATE(2015,2,16),IF(ISERROR(VLOOKUP(RIGHT(A193,4),{"1402";"1403";"1406";"1409";"1412";"1503";"1506";"1509"},1,FALSE)),IF(OR(RIGHT(A193,2)*1=3,RIGHT(A193,2)*1=6,RIGHT(A193,2)*1=9,RIGHT(A193,2)*1=12),IF(NETWORKDAYS(DATE("20"&amp;MID(A193,3,2),RIGHT(A193,2)-24,15),DATE("20"&amp;MID(A193,3,2),RIGHT(A193,2)-24,15),Holiday)=1,WORKDAY(DATE("20"&amp;MID(A193,3,2),RIGHT(A193,2)-24,15),1,Holiday),WORKDAY(DATE("20"&amp;MID(A193,3,2),RIGHT(A193,2)-24,15),2,Holiday)),IF(NETWORKDAYS(DATE("20"&amp;MID(A193,3,2),RIGHT(A193,2)-6,15),DATE("20"&amp;MID(A193,3,2),RIGHT(A193,2)-6,15),Holiday)=1,WORKDAY(DATE("20"&amp;MID(A193,3,2),RIGHT(A193,2)-6,15),1,Holiday),WORKDAY(DATE("20"&amp;MID(A193,3,2),RIGHT(A193,2)-6,15),2,Holiday))),DATE(2013,10,9)))</f>
        <v>42325</v>
      </c>
      <c r="C193" s="1">
        <f t="shared" ca="1" si="85"/>
        <v>42506</v>
      </c>
      <c r="D193" s="1">
        <f t="shared" ca="1" si="86"/>
        <v>42461</v>
      </c>
      <c r="E193" s="1">
        <f t="shared" ca="1" si="87"/>
        <v>42492</v>
      </c>
      <c r="F193" s="1">
        <f t="shared" ca="1" si="88"/>
        <v>42502</v>
      </c>
    </row>
    <row r="194" spans="1:6" x14ac:dyDescent="0.15">
      <c r="A194" t="str">
        <f t="shared" ca="1" si="89"/>
        <v>Bu1606</v>
      </c>
      <c r="B194" s="1">
        <f ca="1">IF(RIGHT(A194,4)="1508",DATE(2015,2,16),IF(ISERROR(VLOOKUP(RIGHT(A194,4),{"1402";"1403";"1406";"1409";"1412";"1503";"1506";"1509"},1,FALSE)),IF(OR(RIGHT(A194,2)*1=3,RIGHT(A194,2)*1=6,RIGHT(A194,2)*1=9,RIGHT(A194,2)*1=12),IF(NETWORKDAYS(DATE("20"&amp;MID(A194,3,2),RIGHT(A194,2)-24,15),DATE("20"&amp;MID(A194,3,2),RIGHT(A194,2)-24,15),Holiday)=1,WORKDAY(DATE("20"&amp;MID(A194,3,2),RIGHT(A194,2)-24,15),1,Holiday),WORKDAY(DATE("20"&amp;MID(A194,3,2),RIGHT(A194,2)-24,15),2,Holiday)),IF(NETWORKDAYS(DATE("20"&amp;MID(A194,3,2),RIGHT(A194,2)-6,15),DATE("20"&amp;MID(A194,3,2),RIGHT(A194,2)-6,15),Holiday)=1,WORKDAY(DATE("20"&amp;MID(A194,3,2),RIGHT(A194,2)-6,15),1,Holiday),WORKDAY(DATE("20"&amp;MID(A194,3,2),RIGHT(A194,2)-6,15),2,Holiday))),DATE(2013,10,9)))</f>
        <v>41807</v>
      </c>
      <c r="C194" s="1">
        <f t="shared" ca="1" si="85"/>
        <v>42536</v>
      </c>
      <c r="D194" s="1">
        <f t="shared" ca="1" si="86"/>
        <v>42492</v>
      </c>
      <c r="E194" s="1">
        <f t="shared" ca="1" si="87"/>
        <v>42522</v>
      </c>
      <c r="F194" s="1">
        <f t="shared" ca="1" si="88"/>
        <v>42534</v>
      </c>
    </row>
    <row r="195" spans="1:6" x14ac:dyDescent="0.15">
      <c r="A195" t="str">
        <f t="shared" ca="1" si="89"/>
        <v>Bu1607</v>
      </c>
      <c r="B195" s="1">
        <f ca="1">IF(RIGHT(A195,4)="1508",DATE(2015,2,16),IF(ISERROR(VLOOKUP(RIGHT(A195,4),{"1402";"1403";"1406";"1409";"1412";"1503";"1506";"1509"},1,FALSE)),IF(OR(RIGHT(A195,2)*1=3,RIGHT(A195,2)*1=6,RIGHT(A195,2)*1=9,RIGHT(A195,2)*1=12),IF(NETWORKDAYS(DATE("20"&amp;MID(A195,3,2),RIGHT(A195,2)-24,15),DATE("20"&amp;MID(A195,3,2),RIGHT(A195,2)-24,15),Holiday)=1,WORKDAY(DATE("20"&amp;MID(A195,3,2),RIGHT(A195,2)-24,15),1,Holiday),WORKDAY(DATE("20"&amp;MID(A195,3,2),RIGHT(A195,2)-24,15),2,Holiday)),IF(NETWORKDAYS(DATE("20"&amp;MID(A195,3,2),RIGHT(A195,2)-6,15),DATE("20"&amp;MID(A195,3,2),RIGHT(A195,2)-6,15),Holiday)=1,WORKDAY(DATE("20"&amp;MID(A195,3,2),RIGHT(A195,2)-6,15),1,Holiday),WORKDAY(DATE("20"&amp;MID(A195,3,2),RIGHT(A195,2)-6,15),2,Holiday))),DATE(2013,10,9)))</f>
        <v>42387</v>
      </c>
      <c r="C195" s="1">
        <f t="shared" ca="1" si="85"/>
        <v>42566</v>
      </c>
      <c r="D195" s="1">
        <f t="shared" ca="1" si="86"/>
        <v>42522</v>
      </c>
      <c r="E195" s="1">
        <f t="shared" ca="1" si="87"/>
        <v>42552</v>
      </c>
      <c r="F195" s="1">
        <f t="shared" ca="1" si="88"/>
        <v>42564</v>
      </c>
    </row>
    <row r="196" spans="1:6" x14ac:dyDescent="0.15">
      <c r="A196" t="str">
        <f t="shared" ca="1" si="89"/>
        <v>Bu1608</v>
      </c>
      <c r="B196" s="1">
        <f ca="1">IF(RIGHT(A196,4)="1508",DATE(2015,2,16),IF(ISERROR(VLOOKUP(RIGHT(A196,4),{"1402";"1403";"1406";"1409";"1412";"1503";"1506";"1509"},1,FALSE)),IF(OR(RIGHT(A196,2)*1=3,RIGHT(A196,2)*1=6,RIGHT(A196,2)*1=9,RIGHT(A196,2)*1=12),IF(NETWORKDAYS(DATE("20"&amp;MID(A196,3,2),RIGHT(A196,2)-24,15),DATE("20"&amp;MID(A196,3,2),RIGHT(A196,2)-24,15),Holiday)=1,WORKDAY(DATE("20"&amp;MID(A196,3,2),RIGHT(A196,2)-24,15),1,Holiday),WORKDAY(DATE("20"&amp;MID(A196,3,2),RIGHT(A196,2)-24,15),2,Holiday)),IF(NETWORKDAYS(DATE("20"&amp;MID(A196,3,2),RIGHT(A196,2)-6,15),DATE("20"&amp;MID(A196,3,2),RIGHT(A196,2)-6,15),Holiday)=1,WORKDAY(DATE("20"&amp;MID(A196,3,2),RIGHT(A196,2)-6,15),1,Holiday),WORKDAY(DATE("20"&amp;MID(A196,3,2),RIGHT(A196,2)-6,15),2,Holiday))),DATE(2013,10,9)))</f>
        <v>42416</v>
      </c>
      <c r="C196" s="1">
        <f t="shared" ca="1" si="85"/>
        <v>42597</v>
      </c>
      <c r="D196" s="1">
        <f t="shared" ca="1" si="86"/>
        <v>42552</v>
      </c>
      <c r="E196" s="1">
        <f t="shared" ca="1" si="87"/>
        <v>42583</v>
      </c>
      <c r="F196" s="1">
        <f t="shared" ca="1" si="88"/>
        <v>42593</v>
      </c>
    </row>
    <row r="197" spans="1:6" x14ac:dyDescent="0.15">
      <c r="A197" t="str">
        <f t="shared" ca="1" si="89"/>
        <v>Bu1609</v>
      </c>
      <c r="B197" s="1">
        <f ca="1">IF(RIGHT(A197,4)="1508",DATE(2015,2,16),IF(ISERROR(VLOOKUP(RIGHT(A197,4),{"1402";"1403";"1406";"1409";"1412";"1503";"1506";"1509"},1,FALSE)),IF(OR(RIGHT(A197,2)*1=3,RIGHT(A197,2)*1=6,RIGHT(A197,2)*1=9,RIGHT(A197,2)*1=12),IF(NETWORKDAYS(DATE("20"&amp;MID(A197,3,2),RIGHT(A197,2)-24,15),DATE("20"&amp;MID(A197,3,2),RIGHT(A197,2)-24,15),Holiday)=1,WORKDAY(DATE("20"&amp;MID(A197,3,2),RIGHT(A197,2)-24,15),1,Holiday),WORKDAY(DATE("20"&amp;MID(A197,3,2),RIGHT(A197,2)-24,15),2,Holiday)),IF(NETWORKDAYS(DATE("20"&amp;MID(A197,3,2),RIGHT(A197,2)-6,15),DATE("20"&amp;MID(A197,3,2),RIGHT(A197,2)-6,15),Holiday)=1,WORKDAY(DATE("20"&amp;MID(A197,3,2),RIGHT(A197,2)-6,15),1,Holiday),WORKDAY(DATE("20"&amp;MID(A197,3,2),RIGHT(A197,2)-6,15),2,Holiday))),DATE(2013,10,9)))</f>
        <v>41898</v>
      </c>
      <c r="C197" s="1">
        <f t="shared" ca="1" si="85"/>
        <v>42628</v>
      </c>
      <c r="D197" s="1">
        <f t="shared" ref="D197:D207" ca="1" si="90">WORKDAY(DATE("20"&amp;MID(A197,LEN(A197)-3,2),RIGHT(A197,2)-1,"0"),1,Holiday)</f>
        <v>42583</v>
      </c>
      <c r="E197" s="1">
        <f t="shared" ref="E197:E207" ca="1" si="91">WORKDAY(DATE("20"&amp;MID(A197,LEN(A197)-3,2),RIGHT(A197,2),"0"),1,Holiday)</f>
        <v>42614</v>
      </c>
      <c r="F197" s="1">
        <f t="shared" ref="F197:F207" ca="1" si="92">WORKDAY(C197,-2,Holiday)</f>
        <v>42626</v>
      </c>
    </row>
    <row r="198" spans="1:6" x14ac:dyDescent="0.15">
      <c r="A198" t="str">
        <f t="shared" ca="1" si="89"/>
        <v>Bu1610</v>
      </c>
      <c r="B198" s="1">
        <f ca="1">IF(RIGHT(A198,4)="1508",DATE(2015,2,16),IF(ISERROR(VLOOKUP(RIGHT(A198,4),{"1402";"1403";"1406";"1409";"1412";"1503";"1506";"1509"},1,FALSE)),IF(OR(RIGHT(A198,2)*1=3,RIGHT(A198,2)*1=6,RIGHT(A198,2)*1=9,RIGHT(A198,2)*1=12),IF(NETWORKDAYS(DATE("20"&amp;MID(A198,3,2),RIGHT(A198,2)-24,15),DATE("20"&amp;MID(A198,3,2),RIGHT(A198,2)-24,15),Holiday)=1,WORKDAY(DATE("20"&amp;MID(A198,3,2),RIGHT(A198,2)-24,15),1,Holiday),WORKDAY(DATE("20"&amp;MID(A198,3,2),RIGHT(A198,2)-24,15),2,Holiday)),IF(NETWORKDAYS(DATE("20"&amp;MID(A198,3,2),RIGHT(A198,2)-6,15),DATE("20"&amp;MID(A198,3,2),RIGHT(A198,2)-6,15),Holiday)=1,WORKDAY(DATE("20"&amp;MID(A198,3,2),RIGHT(A198,2)-6,15),1,Holiday),WORKDAY(DATE("20"&amp;MID(A198,3,2),RIGHT(A198,2)-6,15),2,Holiday))),DATE(2013,10,9)))</f>
        <v>42478</v>
      </c>
      <c r="C198" s="1">
        <f t="shared" ca="1" si="85"/>
        <v>42660</v>
      </c>
      <c r="D198" s="1">
        <f t="shared" ca="1" si="90"/>
        <v>42614</v>
      </c>
      <c r="E198" s="1">
        <f t="shared" ca="1" si="91"/>
        <v>42646</v>
      </c>
      <c r="F198" s="1">
        <f t="shared" ca="1" si="92"/>
        <v>42656</v>
      </c>
    </row>
    <row r="199" spans="1:6" x14ac:dyDescent="0.15">
      <c r="A199" t="str">
        <f t="shared" ca="1" si="89"/>
        <v>Bu1611</v>
      </c>
      <c r="B199" s="1">
        <f ca="1">IF(RIGHT(A199,4)="1508",DATE(2015,2,16),IF(ISERROR(VLOOKUP(RIGHT(A199,4),{"1402";"1403";"1406";"1409";"1412";"1503";"1506";"1509"},1,FALSE)),IF(OR(RIGHT(A199,2)*1=3,RIGHT(A199,2)*1=6,RIGHT(A199,2)*1=9,RIGHT(A199,2)*1=12),IF(NETWORKDAYS(DATE("20"&amp;MID(A199,3,2),RIGHT(A199,2)-24,15),DATE("20"&amp;MID(A199,3,2),RIGHT(A199,2)-24,15),Holiday)=1,WORKDAY(DATE("20"&amp;MID(A199,3,2),RIGHT(A199,2)-24,15),1,Holiday),WORKDAY(DATE("20"&amp;MID(A199,3,2),RIGHT(A199,2)-24,15),2,Holiday)),IF(NETWORKDAYS(DATE("20"&amp;MID(A199,3,2),RIGHT(A199,2)-6,15),DATE("20"&amp;MID(A199,3,2),RIGHT(A199,2)-6,15),Holiday)=1,WORKDAY(DATE("20"&amp;MID(A199,3,2),RIGHT(A199,2)-6,15),1,Holiday),WORKDAY(DATE("20"&amp;MID(A199,3,2),RIGHT(A199,2)-6,15),2,Holiday))),DATE(2013,10,9)))</f>
        <v>42507</v>
      </c>
      <c r="C199" s="1">
        <f t="shared" ca="1" si="85"/>
        <v>42689</v>
      </c>
      <c r="D199" s="1">
        <f t="shared" ca="1" si="90"/>
        <v>42646</v>
      </c>
      <c r="E199" s="1">
        <f t="shared" ca="1" si="91"/>
        <v>42675</v>
      </c>
      <c r="F199" s="1">
        <f t="shared" ca="1" si="92"/>
        <v>42685</v>
      </c>
    </row>
    <row r="200" spans="1:6" x14ac:dyDescent="0.15">
      <c r="A200" t="str">
        <f t="shared" ca="1" si="89"/>
        <v>Bu1612</v>
      </c>
      <c r="B200" s="1">
        <f ca="1">IF(RIGHT(A200,4)="1508",DATE(2015,2,16),IF(ISERROR(VLOOKUP(RIGHT(A200,4),{"1402";"1403";"1406";"1409";"1412";"1503";"1506";"1509"},1,FALSE)),IF(OR(RIGHT(A200,2)*1=3,RIGHT(A200,2)*1=6,RIGHT(A200,2)*1=9,RIGHT(A200,2)*1=12),IF(NETWORKDAYS(DATE("20"&amp;MID(A200,3,2),RIGHT(A200,2)-24,15),DATE("20"&amp;MID(A200,3,2),RIGHT(A200,2)-24,15),Holiday)=1,WORKDAY(DATE("20"&amp;MID(A200,3,2),RIGHT(A200,2)-24,15),1,Holiday),WORKDAY(DATE("20"&amp;MID(A200,3,2),RIGHT(A200,2)-24,15),2,Holiday)),IF(NETWORKDAYS(DATE("20"&amp;MID(A200,3,2),RIGHT(A200,2)-6,15),DATE("20"&amp;MID(A200,3,2),RIGHT(A200,2)-6,15),Holiday)=1,WORKDAY(DATE("20"&amp;MID(A200,3,2),RIGHT(A200,2)-6,15),1,Holiday),WORKDAY(DATE("20"&amp;MID(A200,3,2),RIGHT(A200,2)-6,15),2,Holiday))),DATE(2013,10,9)))</f>
        <v>41989</v>
      </c>
      <c r="C200" s="1">
        <f t="shared" ca="1" si="85"/>
        <v>42719</v>
      </c>
      <c r="D200" s="1">
        <f t="shared" ca="1" si="90"/>
        <v>42675</v>
      </c>
      <c r="E200" s="1">
        <f t="shared" ca="1" si="91"/>
        <v>42705</v>
      </c>
      <c r="F200" s="1">
        <f t="shared" ca="1" si="92"/>
        <v>42717</v>
      </c>
    </row>
    <row r="201" spans="1:6" x14ac:dyDescent="0.15">
      <c r="A201" t="str">
        <f t="shared" ca="1" si="89"/>
        <v>Bu1701</v>
      </c>
      <c r="B201" s="1">
        <f ca="1">IF(RIGHT(A201,4)="1508",DATE(2015,2,16),IF(ISERROR(VLOOKUP(RIGHT(A201,4),{"1402";"1403";"1406";"1409";"1412";"1503";"1506";"1509"},1,FALSE)),IF(OR(RIGHT(A201,2)*1=3,RIGHT(A201,2)*1=6,RIGHT(A201,2)*1=9,RIGHT(A201,2)*1=12),IF(NETWORKDAYS(DATE("20"&amp;MID(A201,3,2),RIGHT(A201,2)-24,15),DATE("20"&amp;MID(A201,3,2),RIGHT(A201,2)-24,15),Holiday)=1,WORKDAY(DATE("20"&amp;MID(A201,3,2),RIGHT(A201,2)-24,15),1,Holiday),WORKDAY(DATE("20"&amp;MID(A201,3,2),RIGHT(A201,2)-24,15),2,Holiday)),IF(NETWORKDAYS(DATE("20"&amp;MID(A201,3,2),RIGHT(A201,2)-6,15),DATE("20"&amp;MID(A201,3,2),RIGHT(A201,2)-6,15),Holiday)=1,WORKDAY(DATE("20"&amp;MID(A201,3,2),RIGHT(A201,2)-6,15),1,Holiday),WORKDAY(DATE("20"&amp;MID(A201,3,2),RIGHT(A201,2)-6,15),2,Holiday))),DATE(2013,10,9)))</f>
        <v>42569</v>
      </c>
      <c r="C201" s="1">
        <f t="shared" ca="1" si="85"/>
        <v>42751</v>
      </c>
      <c r="D201" s="1">
        <f t="shared" ca="1" si="90"/>
        <v>42705</v>
      </c>
      <c r="E201" s="1">
        <f t="shared" ca="1" si="91"/>
        <v>42737</v>
      </c>
      <c r="F201" s="1">
        <f t="shared" ca="1" si="92"/>
        <v>42747</v>
      </c>
    </row>
    <row r="202" spans="1:6" x14ac:dyDescent="0.15">
      <c r="A202" t="str">
        <f t="shared" ca="1" si="89"/>
        <v>Bu1702</v>
      </c>
      <c r="B202" s="1">
        <f ca="1">IF(RIGHT(A202,4)="1508",DATE(2015,2,16),IF(ISERROR(VLOOKUP(RIGHT(A202,4),{"1402";"1403";"1406";"1409";"1412";"1503";"1506";"1509"},1,FALSE)),IF(OR(RIGHT(A202,2)*1=3,RIGHT(A202,2)*1=6,RIGHT(A202,2)*1=9,RIGHT(A202,2)*1=12),IF(NETWORKDAYS(DATE("20"&amp;MID(A202,3,2),RIGHT(A202,2)-24,15),DATE("20"&amp;MID(A202,3,2),RIGHT(A202,2)-24,15),Holiday)=1,WORKDAY(DATE("20"&amp;MID(A202,3,2),RIGHT(A202,2)-24,15),1,Holiday),WORKDAY(DATE("20"&amp;MID(A202,3,2),RIGHT(A202,2)-24,15),2,Holiday)),IF(NETWORKDAYS(DATE("20"&amp;MID(A202,3,2),RIGHT(A202,2)-6,15),DATE("20"&amp;MID(A202,3,2),RIGHT(A202,2)-6,15),Holiday)=1,WORKDAY(DATE("20"&amp;MID(A202,3,2),RIGHT(A202,2)-6,15),1,Holiday),WORKDAY(DATE("20"&amp;MID(A202,3,2),RIGHT(A202,2)-6,15),2,Holiday))),DATE(2013,10,9)))</f>
        <v>42598</v>
      </c>
      <c r="C202" s="1">
        <f t="shared" ca="1" si="85"/>
        <v>42781</v>
      </c>
      <c r="D202" s="1">
        <f t="shared" ca="1" si="90"/>
        <v>42737</v>
      </c>
      <c r="E202" s="1">
        <f t="shared" ca="1" si="91"/>
        <v>42767</v>
      </c>
      <c r="F202" s="1">
        <f t="shared" ca="1" si="92"/>
        <v>42779</v>
      </c>
    </row>
    <row r="203" spans="1:6" x14ac:dyDescent="0.15">
      <c r="A203" t="str">
        <f t="shared" ca="1" si="89"/>
        <v>Bu1703</v>
      </c>
      <c r="B203" s="1">
        <f ca="1">IF(RIGHT(A203,4)="1508",DATE(2015,2,16),IF(ISERROR(VLOOKUP(RIGHT(A203,4),{"1402";"1403";"1406";"1409";"1412";"1503";"1506";"1509"},1,FALSE)),IF(OR(RIGHT(A203,2)*1=3,RIGHT(A203,2)*1=6,RIGHT(A203,2)*1=9,RIGHT(A203,2)*1=12),IF(NETWORKDAYS(DATE("20"&amp;MID(A203,3,2),RIGHT(A203,2)-24,15),DATE("20"&amp;MID(A203,3,2),RIGHT(A203,2)-24,15),Holiday)=1,WORKDAY(DATE("20"&amp;MID(A203,3,2),RIGHT(A203,2)-24,15),1,Holiday),WORKDAY(DATE("20"&amp;MID(A203,3,2),RIGHT(A203,2)-24,15),2,Holiday)),IF(NETWORKDAYS(DATE("20"&amp;MID(A203,3,2),RIGHT(A203,2)-6,15),DATE("20"&amp;MID(A203,3,2),RIGHT(A203,2)-6,15),Holiday)=1,WORKDAY(DATE("20"&amp;MID(A203,3,2),RIGHT(A203,2)-6,15),1,Holiday),WORKDAY(DATE("20"&amp;MID(A203,3,2),RIGHT(A203,2)-6,15),2,Holiday))),DATE(2013,10,9)))</f>
        <v>42080</v>
      </c>
      <c r="C203" s="1">
        <f t="shared" ca="1" si="85"/>
        <v>42809</v>
      </c>
      <c r="D203" s="1">
        <f t="shared" ca="1" si="90"/>
        <v>42767</v>
      </c>
      <c r="E203" s="1">
        <f t="shared" ca="1" si="91"/>
        <v>42795</v>
      </c>
      <c r="F203" s="1">
        <f t="shared" ca="1" si="92"/>
        <v>42807</v>
      </c>
    </row>
    <row r="204" spans="1:6" x14ac:dyDescent="0.15">
      <c r="A204" t="str">
        <f t="shared" ca="1" si="89"/>
        <v>Bu1704</v>
      </c>
      <c r="B204" s="1">
        <f ca="1">IF(RIGHT(A204,4)="1508",DATE(2015,2,16),IF(ISERROR(VLOOKUP(RIGHT(A204,4),{"1402";"1403";"1406";"1409";"1412";"1503";"1506";"1509"},1,FALSE)),IF(OR(RIGHT(A204,2)*1=3,RIGHT(A204,2)*1=6,RIGHT(A204,2)*1=9,RIGHT(A204,2)*1=12),IF(NETWORKDAYS(DATE("20"&amp;MID(A204,3,2),RIGHT(A204,2)-24,15),DATE("20"&amp;MID(A204,3,2),RIGHT(A204,2)-24,15),Holiday)=1,WORKDAY(DATE("20"&amp;MID(A204,3,2),RIGHT(A204,2)-24,15),1,Holiday),WORKDAY(DATE("20"&amp;MID(A204,3,2),RIGHT(A204,2)-24,15),2,Holiday)),IF(NETWORKDAYS(DATE("20"&amp;MID(A204,3,2),RIGHT(A204,2)-6,15),DATE("20"&amp;MID(A204,3,2),RIGHT(A204,2)-6,15),Holiday)=1,WORKDAY(DATE("20"&amp;MID(A204,3,2),RIGHT(A204,2)-6,15),1,Holiday),WORKDAY(DATE("20"&amp;MID(A204,3,2),RIGHT(A204,2)-6,15),2,Holiday))),DATE(2013,10,9)))</f>
        <v>42661</v>
      </c>
      <c r="C204" s="1">
        <f t="shared" ca="1" si="85"/>
        <v>42842</v>
      </c>
      <c r="D204" s="1">
        <f t="shared" ca="1" si="90"/>
        <v>42795</v>
      </c>
      <c r="E204" s="1">
        <f t="shared" ca="1" si="91"/>
        <v>42828</v>
      </c>
      <c r="F204" s="1">
        <f t="shared" ca="1" si="92"/>
        <v>42838</v>
      </c>
    </row>
    <row r="205" spans="1:6" x14ac:dyDescent="0.15">
      <c r="A205" t="str">
        <f t="shared" ca="1" si="89"/>
        <v>Bu1705</v>
      </c>
      <c r="B205" s="1">
        <f ca="1">IF(RIGHT(A205,4)="1508",DATE(2015,2,16),IF(ISERROR(VLOOKUP(RIGHT(A205,4),{"1402";"1403";"1406";"1409";"1412";"1503";"1506";"1509"},1,FALSE)),IF(OR(RIGHT(A205,2)*1=3,RIGHT(A205,2)*1=6,RIGHT(A205,2)*1=9,RIGHT(A205,2)*1=12),IF(NETWORKDAYS(DATE("20"&amp;MID(A205,3,2),RIGHT(A205,2)-24,15),DATE("20"&amp;MID(A205,3,2),RIGHT(A205,2)-24,15),Holiday)=1,WORKDAY(DATE("20"&amp;MID(A205,3,2),RIGHT(A205,2)-24,15),1,Holiday),WORKDAY(DATE("20"&amp;MID(A205,3,2),RIGHT(A205,2)-24,15),2,Holiday)),IF(NETWORKDAYS(DATE("20"&amp;MID(A205,3,2),RIGHT(A205,2)-6,15),DATE("20"&amp;MID(A205,3,2),RIGHT(A205,2)-6,15),Holiday)=1,WORKDAY(DATE("20"&amp;MID(A205,3,2),RIGHT(A205,2)-6,15),1,Holiday),WORKDAY(DATE("20"&amp;MID(A205,3,2),RIGHT(A205,2)-6,15),2,Holiday))),DATE(2013,10,9)))</f>
        <v>42690</v>
      </c>
      <c r="C205" s="1">
        <f t="shared" ca="1" si="85"/>
        <v>42870</v>
      </c>
      <c r="D205" s="1">
        <f t="shared" ca="1" si="90"/>
        <v>42828</v>
      </c>
      <c r="E205" s="1">
        <f t="shared" ca="1" si="91"/>
        <v>42856</v>
      </c>
      <c r="F205" s="1">
        <f t="shared" ca="1" si="92"/>
        <v>42866</v>
      </c>
    </row>
    <row r="206" spans="1:6" x14ac:dyDescent="0.15">
      <c r="A206" t="str">
        <f t="shared" ca="1" si="89"/>
        <v>Bu1706</v>
      </c>
      <c r="B206" s="1">
        <f ca="1">IF(RIGHT(A206,4)="1508",DATE(2015,2,16),IF(ISERROR(VLOOKUP(RIGHT(A206,4),{"1402";"1403";"1406";"1409";"1412";"1503";"1506";"1509"},1,FALSE)),IF(OR(RIGHT(A206,2)*1=3,RIGHT(A206,2)*1=6,RIGHT(A206,2)*1=9,RIGHT(A206,2)*1=12),IF(NETWORKDAYS(DATE("20"&amp;MID(A206,3,2),RIGHT(A206,2)-24,15),DATE("20"&amp;MID(A206,3,2),RIGHT(A206,2)-24,15),Holiday)=1,WORKDAY(DATE("20"&amp;MID(A206,3,2),RIGHT(A206,2)-24,15),1,Holiday),WORKDAY(DATE("20"&amp;MID(A206,3,2),RIGHT(A206,2)-24,15),2,Holiday)),IF(NETWORKDAYS(DATE("20"&amp;MID(A206,3,2),RIGHT(A206,2)-6,15),DATE("20"&amp;MID(A206,3,2),RIGHT(A206,2)-6,15),Holiday)=1,WORKDAY(DATE("20"&amp;MID(A206,3,2),RIGHT(A206,2)-6,15),1,Holiday),WORKDAY(DATE("20"&amp;MID(A206,3,2),RIGHT(A206,2)-6,15),2,Holiday))),DATE(2013,10,9)))</f>
        <v>42171</v>
      </c>
      <c r="C206" s="1">
        <f t="shared" ca="1" si="85"/>
        <v>42901</v>
      </c>
      <c r="D206" s="1">
        <f t="shared" ca="1" si="90"/>
        <v>42856</v>
      </c>
      <c r="E206" s="1">
        <f t="shared" ca="1" si="91"/>
        <v>42887</v>
      </c>
      <c r="F206" s="1">
        <f t="shared" ca="1" si="92"/>
        <v>42899</v>
      </c>
    </row>
    <row r="207" spans="1:6" x14ac:dyDescent="0.15">
      <c r="A207" t="str">
        <f t="shared" ca="1" si="89"/>
        <v>Bu1707</v>
      </c>
      <c r="B207" s="1">
        <f ca="1">IF(RIGHT(A207,4)="1508",DATE(2015,2,16),IF(ISERROR(VLOOKUP(RIGHT(A207,4),{"1402";"1403";"1406";"1409";"1412";"1503";"1506";"1509"},1,FALSE)),IF(OR(RIGHT(A207,2)*1=3,RIGHT(A207,2)*1=6,RIGHT(A207,2)*1=9,RIGHT(A207,2)*1=12),IF(NETWORKDAYS(DATE("20"&amp;MID(A207,3,2),RIGHT(A207,2)-24,15),DATE("20"&amp;MID(A207,3,2),RIGHT(A207,2)-24,15),Holiday)=1,WORKDAY(DATE("20"&amp;MID(A207,3,2),RIGHT(A207,2)-24,15),1,Holiday),WORKDAY(DATE("20"&amp;MID(A207,3,2),RIGHT(A207,2)-24,15),2,Holiday)),IF(NETWORKDAYS(DATE("20"&amp;MID(A207,3,2),RIGHT(A207,2)-6,15),DATE("20"&amp;MID(A207,3,2),RIGHT(A207,2)-6,15),Holiday)=1,WORKDAY(DATE("20"&amp;MID(A207,3,2),RIGHT(A207,2)-6,15),1,Holiday),WORKDAY(DATE("20"&amp;MID(A207,3,2),RIGHT(A207,2)-6,15),2,Holiday))),DATE(2013,10,9)))</f>
        <v>42752</v>
      </c>
      <c r="C207" s="1">
        <f t="shared" ca="1" si="85"/>
        <v>42933</v>
      </c>
      <c r="D207" s="1">
        <f t="shared" ca="1" si="90"/>
        <v>42887</v>
      </c>
      <c r="E207" s="1">
        <f t="shared" ca="1" si="91"/>
        <v>42919</v>
      </c>
      <c r="F207" s="1">
        <f t="shared" ca="1" si="92"/>
        <v>42929</v>
      </c>
    </row>
    <row r="208" spans="1:6" x14ac:dyDescent="0.15">
      <c r="A208" t="str">
        <f t="shared" ref="A208" ca="1" si="93">"Bu"&amp;TEXT(DATE("20"&amp;MID(A207,LEN(A207)-3,2),RIGHT(A207,2)+1,"15"),"yymm")</f>
        <v>Bu1708</v>
      </c>
      <c r="B208" s="1">
        <f ca="1">IF(RIGHT(A208,4)="1508",DATE(2015,2,16),IF(ISERROR(VLOOKUP(RIGHT(A208,4),{"1402";"1403";"1406";"1409";"1412";"1503";"1506";"1509"},1,FALSE)),IF(OR(RIGHT(A208,2)*1=3,RIGHT(A208,2)*1=6,RIGHT(A208,2)*1=9,RIGHT(A208,2)*1=12),IF(NETWORKDAYS(DATE("20"&amp;MID(A208,3,2),RIGHT(A208,2)-24,15),DATE("20"&amp;MID(A208,3,2),RIGHT(A208,2)-24,15),Holiday)=1,WORKDAY(DATE("20"&amp;MID(A208,3,2),RIGHT(A208,2)-24,15),1,Holiday),WORKDAY(DATE("20"&amp;MID(A208,3,2),RIGHT(A208,2)-24,15),2,Holiday)),IF(NETWORKDAYS(DATE("20"&amp;MID(A208,3,2),RIGHT(A208,2)-6,15),DATE("20"&amp;MID(A208,3,2),RIGHT(A208,2)-6,15),Holiday)=1,WORKDAY(DATE("20"&amp;MID(A208,3,2),RIGHT(A208,2)-6,15),1,Holiday),WORKDAY(DATE("20"&amp;MID(A208,3,2),RIGHT(A208,2)-6,15),2,Holiday))),DATE(2013,10,9)))</f>
        <v>42782</v>
      </c>
      <c r="C208" s="1">
        <f t="shared" ca="1" si="85"/>
        <v>42962</v>
      </c>
      <c r="D208" s="1">
        <f t="shared" ref="D208" ca="1" si="94">WORKDAY(DATE("20"&amp;MID(A208,LEN(A208)-3,2),RIGHT(A208,2)-1,"0"),1,Holiday)</f>
        <v>42919</v>
      </c>
      <c r="E208" s="1">
        <f t="shared" ref="E208" ca="1" si="95">WORKDAY(DATE("20"&amp;MID(A208,LEN(A208)-3,2),RIGHT(A208,2),"0"),1,Holiday)</f>
        <v>42948</v>
      </c>
      <c r="F208" s="1">
        <f t="shared" ref="F208" ca="1" si="96">WORKDAY(C208,-2,Holiday)</f>
        <v>42958</v>
      </c>
    </row>
    <row r="211" spans="1:6" x14ac:dyDescent="0.15">
      <c r="A211" t="s">
        <v>75</v>
      </c>
      <c r="D211" s="5">
        <v>0.1</v>
      </c>
      <c r="E211" s="5">
        <v>0.15</v>
      </c>
      <c r="F211" s="5">
        <v>0.2</v>
      </c>
    </row>
    <row r="212" spans="1:6" x14ac:dyDescent="0.15">
      <c r="B212" t="s">
        <v>46</v>
      </c>
      <c r="C212" s="2" t="s">
        <v>1</v>
      </c>
      <c r="D212" s="32" t="s">
        <v>9</v>
      </c>
      <c r="E212" s="32" t="s">
        <v>11</v>
      </c>
      <c r="F212" s="32" t="s">
        <v>12</v>
      </c>
    </row>
    <row r="213" spans="1:6" x14ac:dyDescent="0.15">
      <c r="A213" t="str">
        <f ca="1">"Hc"&amp;IF(TODAY()&gt;=DATE(2014,7,15)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,"1407")</f>
        <v>Hc1507</v>
      </c>
      <c r="B213" s="1">
        <f t="shared" ref="B213:B226" ca="1" si="97">IF(RIGHT(A213,4)="1602",DATE(2015,2,16),IF(RIGHT(A213,4)*1&lt;=1503,DATE(2014,3,21),WORKDAY(IF(NETWORKDAYS(DATE("20"&amp;(MID(A213,LEN(A213)-3,2)-1),RIGHT(A213,2),IF(RIGHT(A213,4)="1201","13","15")),DATE("20"&amp;(MID(A213,LEN(A213)-3,2)-1),RIGHT(A213,2),IF(RIGHT(A213,4)="1201","13","15")),Holiday)=0,WORKDAY(DATE("20"&amp;(MID(A213,LEN(A213)-3,2)-1),RIGHT(A213,2),IF(RIGHT(A213,4)="1201","13","15")),1,Holiday),DATE("20"&amp;(MID(A213,LEN(A213)-3,2)-1),RIGHT(A213,2),IF(RIGHT(A213,4)="1201","13","15"))),1,Holiday)))</f>
        <v>41836</v>
      </c>
      <c r="C213" s="1">
        <f t="shared" ref="C213:C226" ca="1" si="98">IF(RIGHT(A3,4)="1502",DATE(2015,2,10),IF(NETWORKDAYS(DATE("20"&amp;MID(A213,LEN(A213)-3,2),RIGHT(A213,2),IF(RIGHT(A213,4)="1201","13","15")),DATE("20"&amp;MID(A213,LEN(A213)-3,2),RIGHT(A213,2),IF(RIGHT(A213,4)="1201","13","15")),Holiday)=0,WORKDAY(DATE("20"&amp;MID(A213,LEN(A213)-3,2),RIGHT(A213,2),IF(RIGHT(A213,4)="1201","13","15")),1,Holiday),DATE("20"&amp;MID(A213,LEN(A213)-3,2),RIGHT(A213,2),IF(RIGHT(A213,4)="1201","13","15"))))</f>
        <v>42200</v>
      </c>
      <c r="D213" s="1">
        <f t="shared" ref="D213:D226" ca="1" si="99">WORKDAY(DATE("20"&amp;MID(A213,LEN(A213)-3,2),RIGHT(A213,2)-1,"0"),1,Holiday)</f>
        <v>42156</v>
      </c>
      <c r="E213" s="1">
        <f t="shared" ref="E213:E226" ca="1" si="100">WORKDAY(DATE("20"&amp;MID(A213,LEN(A213)-3,2),RIGHT(A213,2),"0"),1,Holiday)</f>
        <v>42186</v>
      </c>
      <c r="F213" s="1">
        <f t="shared" ref="F213:F226" ca="1" si="101">WORKDAY(C213,-2,Holiday)</f>
        <v>42198</v>
      </c>
    </row>
    <row r="214" spans="1:6" x14ac:dyDescent="0.15">
      <c r="A214" t="str">
        <f ca="1">"Hc"&amp;TEXT(DATE("20"&amp;MID(A213,LEN(A213)-3,2),RIGHT(A213,2)+1,"15"),"yymm")</f>
        <v>Hc1508</v>
      </c>
      <c r="B214" s="1">
        <f t="shared" ca="1" si="97"/>
        <v>41869</v>
      </c>
      <c r="C214" s="1">
        <f t="shared" ca="1" si="98"/>
        <v>42233</v>
      </c>
      <c r="D214" s="1">
        <f t="shared" ca="1" si="99"/>
        <v>42186</v>
      </c>
      <c r="E214" s="1">
        <f t="shared" ca="1" si="100"/>
        <v>42219</v>
      </c>
      <c r="F214" s="1">
        <f t="shared" ca="1" si="101"/>
        <v>42229</v>
      </c>
    </row>
    <row r="215" spans="1:6" x14ac:dyDescent="0.15">
      <c r="A215" t="str">
        <f t="shared" ref="A215:A226" ca="1" si="102">"Hc"&amp;TEXT(DATE("20"&amp;MID(A214,LEN(A214)-3,2),RIGHT(A214,2)+1,"15"),"yymm")</f>
        <v>Hc1509</v>
      </c>
      <c r="B215" s="1">
        <f t="shared" ca="1" si="97"/>
        <v>41898</v>
      </c>
      <c r="C215" s="1">
        <f t="shared" ca="1" si="98"/>
        <v>42262</v>
      </c>
      <c r="D215" s="1">
        <f t="shared" ca="1" si="99"/>
        <v>42219</v>
      </c>
      <c r="E215" s="1">
        <f t="shared" ca="1" si="100"/>
        <v>42248</v>
      </c>
      <c r="F215" s="1">
        <f t="shared" ca="1" si="101"/>
        <v>42258</v>
      </c>
    </row>
    <row r="216" spans="1:6" x14ac:dyDescent="0.15">
      <c r="A216" t="str">
        <f t="shared" ca="1" si="102"/>
        <v>Hc1510</v>
      </c>
      <c r="B216" s="1">
        <f t="shared" ca="1" si="97"/>
        <v>41928</v>
      </c>
      <c r="C216" s="1">
        <f t="shared" ca="1" si="98"/>
        <v>42292</v>
      </c>
      <c r="D216" s="1">
        <f t="shared" ca="1" si="99"/>
        <v>42248</v>
      </c>
      <c r="E216" s="1">
        <f t="shared" ca="1" si="100"/>
        <v>42285</v>
      </c>
      <c r="F216" s="1">
        <f t="shared" ca="1" si="101"/>
        <v>42290</v>
      </c>
    </row>
    <row r="217" spans="1:6" x14ac:dyDescent="0.15">
      <c r="A217" t="str">
        <f t="shared" ca="1" si="102"/>
        <v>Hc1511</v>
      </c>
      <c r="B217" s="1">
        <f t="shared" ca="1" si="97"/>
        <v>41961</v>
      </c>
      <c r="C217" s="1">
        <f t="shared" ca="1" si="98"/>
        <v>42324</v>
      </c>
      <c r="D217" s="1">
        <f t="shared" ca="1" si="99"/>
        <v>42285</v>
      </c>
      <c r="E217" s="1">
        <f t="shared" ca="1" si="100"/>
        <v>42310</v>
      </c>
      <c r="F217" s="1">
        <f t="shared" ca="1" si="101"/>
        <v>42320</v>
      </c>
    </row>
    <row r="218" spans="1:6" x14ac:dyDescent="0.15">
      <c r="A218" t="str">
        <f t="shared" ca="1" si="102"/>
        <v>Hc1512</v>
      </c>
      <c r="B218" s="1">
        <f t="shared" ca="1" si="97"/>
        <v>41989</v>
      </c>
      <c r="C218" s="1">
        <f t="shared" ca="1" si="98"/>
        <v>42353</v>
      </c>
      <c r="D218" s="1">
        <f t="shared" ca="1" si="99"/>
        <v>42310</v>
      </c>
      <c r="E218" s="1">
        <f t="shared" ca="1" si="100"/>
        <v>42339</v>
      </c>
      <c r="F218" s="1">
        <f t="shared" ca="1" si="101"/>
        <v>42349</v>
      </c>
    </row>
    <row r="219" spans="1:6" x14ac:dyDescent="0.15">
      <c r="A219" t="str">
        <f t="shared" ca="1" si="102"/>
        <v>Hc1601</v>
      </c>
      <c r="B219" s="1">
        <f t="shared" ca="1" si="97"/>
        <v>42020</v>
      </c>
      <c r="C219" s="1">
        <f t="shared" ca="1" si="98"/>
        <v>42384</v>
      </c>
      <c r="D219" s="1">
        <f t="shared" ca="1" si="99"/>
        <v>42339</v>
      </c>
      <c r="E219" s="1">
        <f t="shared" ca="1" si="100"/>
        <v>42370</v>
      </c>
      <c r="F219" s="1">
        <f t="shared" ca="1" si="101"/>
        <v>42382</v>
      </c>
    </row>
    <row r="220" spans="1:6" x14ac:dyDescent="0.15">
      <c r="A220" t="str">
        <f t="shared" ca="1" si="102"/>
        <v>Hc1602</v>
      </c>
      <c r="B220" s="1">
        <f t="shared" ca="1" si="97"/>
        <v>42051</v>
      </c>
      <c r="C220" s="1">
        <f t="shared" ca="1" si="98"/>
        <v>42415</v>
      </c>
      <c r="D220" s="1">
        <f t="shared" ca="1" si="99"/>
        <v>42370</v>
      </c>
      <c r="E220" s="1">
        <f t="shared" ca="1" si="100"/>
        <v>42401</v>
      </c>
      <c r="F220" s="1">
        <f t="shared" ca="1" si="101"/>
        <v>42411</v>
      </c>
    </row>
    <row r="221" spans="1:6" x14ac:dyDescent="0.15">
      <c r="A221" t="str">
        <f t="shared" ca="1" si="102"/>
        <v>Hc1603</v>
      </c>
      <c r="B221" s="1">
        <f t="shared" ca="1" si="97"/>
        <v>42080</v>
      </c>
      <c r="C221" s="1">
        <f t="shared" ca="1" si="98"/>
        <v>42444</v>
      </c>
      <c r="D221" s="1">
        <f t="shared" ca="1" si="99"/>
        <v>42401</v>
      </c>
      <c r="E221" s="1">
        <f t="shared" ca="1" si="100"/>
        <v>42430</v>
      </c>
      <c r="F221" s="1">
        <f t="shared" ca="1" si="101"/>
        <v>42440</v>
      </c>
    </row>
    <row r="222" spans="1:6" x14ac:dyDescent="0.15">
      <c r="A222" t="str">
        <f t="shared" ca="1" si="102"/>
        <v>Hc1604</v>
      </c>
      <c r="B222" s="1">
        <f t="shared" ca="1" si="97"/>
        <v>42110</v>
      </c>
      <c r="C222" s="1">
        <f t="shared" ca="1" si="98"/>
        <v>42475</v>
      </c>
      <c r="D222" s="1">
        <f t="shared" ca="1" si="99"/>
        <v>42430</v>
      </c>
      <c r="E222" s="1">
        <f t="shared" ca="1" si="100"/>
        <v>42461</v>
      </c>
      <c r="F222" s="1">
        <f t="shared" ca="1" si="101"/>
        <v>42473</v>
      </c>
    </row>
    <row r="223" spans="1:6" x14ac:dyDescent="0.15">
      <c r="A223" t="str">
        <f t="shared" ca="1" si="102"/>
        <v>Hc1605</v>
      </c>
      <c r="B223" s="1">
        <f t="shared" ca="1" si="97"/>
        <v>42142</v>
      </c>
      <c r="C223" s="1">
        <f t="shared" ca="1" si="98"/>
        <v>42506</v>
      </c>
      <c r="D223" s="1">
        <f t="shared" ca="1" si="99"/>
        <v>42461</v>
      </c>
      <c r="E223" s="1">
        <f t="shared" ca="1" si="100"/>
        <v>42492</v>
      </c>
      <c r="F223" s="1">
        <f t="shared" ca="1" si="101"/>
        <v>42502</v>
      </c>
    </row>
    <row r="224" spans="1:6" x14ac:dyDescent="0.15">
      <c r="A224" t="str">
        <f t="shared" ca="1" si="102"/>
        <v>Hc1606</v>
      </c>
      <c r="B224" s="1">
        <f t="shared" ca="1" si="97"/>
        <v>42171</v>
      </c>
      <c r="C224" s="1">
        <f t="shared" ca="1" si="98"/>
        <v>42536</v>
      </c>
      <c r="D224" s="1">
        <f t="shared" ca="1" si="99"/>
        <v>42492</v>
      </c>
      <c r="E224" s="1">
        <f t="shared" ca="1" si="100"/>
        <v>42522</v>
      </c>
      <c r="F224" s="1">
        <f t="shared" ca="1" si="101"/>
        <v>42534</v>
      </c>
    </row>
    <row r="225" spans="1:6" x14ac:dyDescent="0.15">
      <c r="A225" t="str">
        <f t="shared" ca="1" si="102"/>
        <v>Hc1607</v>
      </c>
      <c r="B225" s="1">
        <f t="shared" ca="1" si="97"/>
        <v>42201</v>
      </c>
      <c r="C225" s="1">
        <f t="shared" ca="1" si="98"/>
        <v>42566</v>
      </c>
      <c r="D225" s="1">
        <f t="shared" ca="1" si="99"/>
        <v>42522</v>
      </c>
      <c r="E225" s="1">
        <f t="shared" ca="1" si="100"/>
        <v>42552</v>
      </c>
      <c r="F225" s="1">
        <f t="shared" ca="1" si="101"/>
        <v>42564</v>
      </c>
    </row>
    <row r="226" spans="1:6" x14ac:dyDescent="0.15">
      <c r="A226" t="str">
        <f t="shared" ca="1" si="102"/>
        <v>Hc1608</v>
      </c>
      <c r="B226" s="1">
        <f t="shared" ca="1" si="97"/>
        <v>42234</v>
      </c>
      <c r="C226" s="1">
        <f t="shared" ca="1" si="98"/>
        <v>42597</v>
      </c>
      <c r="D226" s="1">
        <f t="shared" ca="1" si="99"/>
        <v>42552</v>
      </c>
      <c r="E226" s="1">
        <f t="shared" ca="1" si="100"/>
        <v>42583</v>
      </c>
      <c r="F226" s="1">
        <f t="shared" ca="1" si="101"/>
        <v>42593</v>
      </c>
    </row>
    <row r="229" spans="1:6" x14ac:dyDescent="0.15">
      <c r="A229" t="s">
        <v>95</v>
      </c>
      <c r="D229" s="5">
        <v>0.1</v>
      </c>
      <c r="E229" s="5">
        <v>0.15</v>
      </c>
      <c r="F229" s="5">
        <v>0.2</v>
      </c>
    </row>
    <row r="230" spans="1:6" x14ac:dyDescent="0.15">
      <c r="B230" s="32" t="s">
        <v>46</v>
      </c>
      <c r="C230" s="2" t="s">
        <v>1</v>
      </c>
      <c r="D230" s="32" t="s">
        <v>9</v>
      </c>
      <c r="E230" s="32" t="s">
        <v>11</v>
      </c>
      <c r="F230" s="32" t="s">
        <v>12</v>
      </c>
    </row>
    <row r="231" spans="1:6" x14ac:dyDescent="0.15">
      <c r="A231" t="str">
        <f ca="1">"Ni"&amp;IF(TODAY()&lt;=DATE(2015,7,15),TEXT(DATE(2015,7,15),"yymm"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Ni1507</v>
      </c>
      <c r="B231" s="1">
        <f t="shared" ref="B231:B244" ca="1" si="103">IF(RIGHT(A231,4)-1603&lt;=0,DATE(2015,3,27),WORKDAY(IF(NETWORKDAYS(DATE("20"&amp;(MID(A231,LEN(A231)-3,2)-1),RIGHT(A231,2),IF(RIGHT(A231,4)="1201","13","15")),DATE("20"&amp;(MID(A231,LEN(A231)-3,2)-1),RIGHT(A231,2),IF(RIGHT(A231,4)="1201","13","15")),Holiday)=0,WORKDAY(DATE("20"&amp;(MID(A231,LEN(A231)-3,2)-1),RIGHT(A231,2),IF(RIGHT(A231,4)="1201","13","15")),1,Holiday),DATE("20"&amp;(MID(A231,LEN(A231)-3,2)-1),RIGHT(A231,2),IF(RIGHT(A231,4)="1201","13","15"))),1,Holiday))</f>
        <v>42090</v>
      </c>
      <c r="C231" s="1">
        <f t="shared" ref="C231:C244" ca="1" si="104">IF(RIGHT(A231,4)="1502",DATE(2015,2,10),IF(NETWORKDAYS(DATE("20"&amp;MID(A231,LEN(A231)-3,2),RIGHT(A231,2),IF(RIGHT(A231,4)="1201","13","15")),DATE("20"&amp;MID(A231,LEN(A231)-3,2),RIGHT(A231,2),IF(RIGHT(A231,4)="1201","13","15")),Holiday)=0,WORKDAY(DATE("20"&amp;MID(A231,LEN(A231)-3,2),RIGHT(A231,2),IF(RIGHT(A231,4)="1201","13","15")),1,Holiday),DATE("20"&amp;MID(A231,LEN(A231)-3,2),RIGHT(A231,2),IF(RIGHT(A231,4)="1201","13","15"))))</f>
        <v>42200</v>
      </c>
      <c r="D231" s="1">
        <f t="shared" ref="D231:D244" ca="1" si="105">WORKDAY(DATE("20"&amp;MID(A231,LEN(A231)-3,2),RIGHT(A231,2)-1,"0"),1,Holiday)</f>
        <v>42156</v>
      </c>
      <c r="E231" s="1">
        <f t="shared" ref="E231:E244" ca="1" si="106">WORKDAY(DATE("20"&amp;MID(A231,LEN(A231)-3,2),RIGHT(A231,2),"0"),1,Holiday)</f>
        <v>42186</v>
      </c>
      <c r="F231" s="1">
        <f t="shared" ref="F231:F244" ca="1" si="107">WORKDAY(C231,-2,Holiday)</f>
        <v>42198</v>
      </c>
    </row>
    <row r="232" spans="1:6" x14ac:dyDescent="0.15">
      <c r="A232" t="str">
        <f ca="1">"Ni"&amp;TEXT(DATE("20"&amp;MID(A231,LEN(A231)-3,2),RIGHT(A231,2)+1,"15"),"yymm")</f>
        <v>Ni1508</v>
      </c>
      <c r="B232" s="1">
        <f t="shared" ca="1" si="103"/>
        <v>42090</v>
      </c>
      <c r="C232" s="1">
        <f t="shared" ca="1" si="104"/>
        <v>42233</v>
      </c>
      <c r="D232" s="1">
        <f t="shared" ca="1" si="105"/>
        <v>42186</v>
      </c>
      <c r="E232" s="1">
        <f t="shared" ca="1" si="106"/>
        <v>42219</v>
      </c>
      <c r="F232" s="1">
        <f t="shared" ca="1" si="107"/>
        <v>42229</v>
      </c>
    </row>
    <row r="233" spans="1:6" x14ac:dyDescent="0.15">
      <c r="A233" t="str">
        <f t="shared" ref="A233:A244" ca="1" si="108">"Ni"&amp;TEXT(DATE("20"&amp;MID(A232,LEN(A232)-3,2),RIGHT(A232,2)+1,"15"),"yymm")</f>
        <v>Ni1509</v>
      </c>
      <c r="B233" s="1">
        <f t="shared" ca="1" si="103"/>
        <v>42090</v>
      </c>
      <c r="C233" s="1">
        <f t="shared" ca="1" si="104"/>
        <v>42262</v>
      </c>
      <c r="D233" s="1">
        <f t="shared" ca="1" si="105"/>
        <v>42219</v>
      </c>
      <c r="E233" s="1">
        <f t="shared" ca="1" si="106"/>
        <v>42248</v>
      </c>
      <c r="F233" s="1">
        <f t="shared" ca="1" si="107"/>
        <v>42258</v>
      </c>
    </row>
    <row r="234" spans="1:6" x14ac:dyDescent="0.15">
      <c r="A234" t="str">
        <f t="shared" ca="1" si="108"/>
        <v>Ni1510</v>
      </c>
      <c r="B234" s="1">
        <f t="shared" ca="1" si="103"/>
        <v>42090</v>
      </c>
      <c r="C234" s="1">
        <f t="shared" ca="1" si="104"/>
        <v>42292</v>
      </c>
      <c r="D234" s="1">
        <f t="shared" ca="1" si="105"/>
        <v>42248</v>
      </c>
      <c r="E234" s="1">
        <f t="shared" ca="1" si="106"/>
        <v>42285</v>
      </c>
      <c r="F234" s="1">
        <f t="shared" ca="1" si="107"/>
        <v>42290</v>
      </c>
    </row>
    <row r="235" spans="1:6" x14ac:dyDescent="0.15">
      <c r="A235" t="str">
        <f t="shared" ca="1" si="108"/>
        <v>Ni1511</v>
      </c>
      <c r="B235" s="1">
        <f t="shared" ca="1" si="103"/>
        <v>42090</v>
      </c>
      <c r="C235" s="1">
        <f t="shared" ca="1" si="104"/>
        <v>42324</v>
      </c>
      <c r="D235" s="1">
        <f t="shared" ca="1" si="105"/>
        <v>42285</v>
      </c>
      <c r="E235" s="1">
        <f t="shared" ca="1" si="106"/>
        <v>42310</v>
      </c>
      <c r="F235" s="1">
        <f t="shared" ca="1" si="107"/>
        <v>42320</v>
      </c>
    </row>
    <row r="236" spans="1:6" x14ac:dyDescent="0.15">
      <c r="A236" t="str">
        <f t="shared" ca="1" si="108"/>
        <v>Ni1512</v>
      </c>
      <c r="B236" s="1">
        <f t="shared" ca="1" si="103"/>
        <v>42090</v>
      </c>
      <c r="C236" s="1">
        <f t="shared" ca="1" si="104"/>
        <v>42353</v>
      </c>
      <c r="D236" s="1">
        <f t="shared" ca="1" si="105"/>
        <v>42310</v>
      </c>
      <c r="E236" s="1">
        <f t="shared" ca="1" si="106"/>
        <v>42339</v>
      </c>
      <c r="F236" s="1">
        <f t="shared" ca="1" si="107"/>
        <v>42349</v>
      </c>
    </row>
    <row r="237" spans="1:6" x14ac:dyDescent="0.15">
      <c r="A237" t="str">
        <f t="shared" ca="1" si="108"/>
        <v>Ni1601</v>
      </c>
      <c r="B237" s="1">
        <f t="shared" ca="1" si="103"/>
        <v>42090</v>
      </c>
      <c r="C237" s="1">
        <f t="shared" ca="1" si="104"/>
        <v>42384</v>
      </c>
      <c r="D237" s="1">
        <f t="shared" ca="1" si="105"/>
        <v>42339</v>
      </c>
      <c r="E237" s="1">
        <f t="shared" ca="1" si="106"/>
        <v>42370</v>
      </c>
      <c r="F237" s="1">
        <f t="shared" ca="1" si="107"/>
        <v>42382</v>
      </c>
    </row>
    <row r="238" spans="1:6" x14ac:dyDescent="0.15">
      <c r="A238" t="str">
        <f t="shared" ca="1" si="108"/>
        <v>Ni1602</v>
      </c>
      <c r="B238" s="1">
        <f t="shared" ca="1" si="103"/>
        <v>42090</v>
      </c>
      <c r="C238" s="1">
        <f t="shared" ca="1" si="104"/>
        <v>42415</v>
      </c>
      <c r="D238" s="1">
        <f t="shared" ca="1" si="105"/>
        <v>42370</v>
      </c>
      <c r="E238" s="1">
        <f t="shared" ca="1" si="106"/>
        <v>42401</v>
      </c>
      <c r="F238" s="1">
        <f t="shared" ca="1" si="107"/>
        <v>42411</v>
      </c>
    </row>
    <row r="239" spans="1:6" x14ac:dyDescent="0.15">
      <c r="A239" t="str">
        <f t="shared" ca="1" si="108"/>
        <v>Ni1603</v>
      </c>
      <c r="B239" s="1">
        <f t="shared" ca="1" si="103"/>
        <v>42090</v>
      </c>
      <c r="C239" s="1">
        <f t="shared" ca="1" si="104"/>
        <v>42444</v>
      </c>
      <c r="D239" s="1">
        <f t="shared" ca="1" si="105"/>
        <v>42401</v>
      </c>
      <c r="E239" s="1">
        <f t="shared" ca="1" si="106"/>
        <v>42430</v>
      </c>
      <c r="F239" s="1">
        <f t="shared" ca="1" si="107"/>
        <v>42440</v>
      </c>
    </row>
    <row r="240" spans="1:6" x14ac:dyDescent="0.15">
      <c r="A240" t="str">
        <f t="shared" ca="1" si="108"/>
        <v>Ni1604</v>
      </c>
      <c r="B240" s="1">
        <f t="shared" ca="1" si="103"/>
        <v>42110</v>
      </c>
      <c r="C240" s="1">
        <f t="shared" ca="1" si="104"/>
        <v>42475</v>
      </c>
      <c r="D240" s="1">
        <f t="shared" ca="1" si="105"/>
        <v>42430</v>
      </c>
      <c r="E240" s="1">
        <f t="shared" ca="1" si="106"/>
        <v>42461</v>
      </c>
      <c r="F240" s="1">
        <f t="shared" ca="1" si="107"/>
        <v>42473</v>
      </c>
    </row>
    <row r="241" spans="1:6" x14ac:dyDescent="0.15">
      <c r="A241" t="str">
        <f t="shared" ca="1" si="108"/>
        <v>Ni1605</v>
      </c>
      <c r="B241" s="1">
        <f t="shared" ca="1" si="103"/>
        <v>42142</v>
      </c>
      <c r="C241" s="1">
        <f t="shared" ca="1" si="104"/>
        <v>42506</v>
      </c>
      <c r="D241" s="1">
        <f t="shared" ca="1" si="105"/>
        <v>42461</v>
      </c>
      <c r="E241" s="1">
        <f t="shared" ca="1" si="106"/>
        <v>42492</v>
      </c>
      <c r="F241" s="1">
        <f t="shared" ca="1" si="107"/>
        <v>42502</v>
      </c>
    </row>
    <row r="242" spans="1:6" x14ac:dyDescent="0.15">
      <c r="A242" t="str">
        <f t="shared" ca="1" si="108"/>
        <v>Ni1606</v>
      </c>
      <c r="B242" s="1">
        <f t="shared" ca="1" si="103"/>
        <v>42171</v>
      </c>
      <c r="C242" s="1">
        <f t="shared" ca="1" si="104"/>
        <v>42536</v>
      </c>
      <c r="D242" s="1">
        <f t="shared" ca="1" si="105"/>
        <v>42492</v>
      </c>
      <c r="E242" s="1">
        <f t="shared" ca="1" si="106"/>
        <v>42522</v>
      </c>
      <c r="F242" s="1">
        <f t="shared" ca="1" si="107"/>
        <v>42534</v>
      </c>
    </row>
    <row r="243" spans="1:6" x14ac:dyDescent="0.15">
      <c r="A243" t="str">
        <f t="shared" ca="1" si="108"/>
        <v>Ni1607</v>
      </c>
      <c r="B243" s="1">
        <f t="shared" ca="1" si="103"/>
        <v>42201</v>
      </c>
      <c r="C243" s="1">
        <f t="shared" ca="1" si="104"/>
        <v>42566</v>
      </c>
      <c r="D243" s="1">
        <f t="shared" ca="1" si="105"/>
        <v>42522</v>
      </c>
      <c r="E243" s="1">
        <f t="shared" ca="1" si="106"/>
        <v>42552</v>
      </c>
      <c r="F243" s="1">
        <f t="shared" ca="1" si="107"/>
        <v>42564</v>
      </c>
    </row>
    <row r="244" spans="1:6" x14ac:dyDescent="0.15">
      <c r="A244" t="str">
        <f t="shared" ca="1" si="108"/>
        <v>Ni1608</v>
      </c>
      <c r="B244" s="1">
        <f t="shared" ca="1" si="103"/>
        <v>42234</v>
      </c>
      <c r="C244" s="1">
        <f t="shared" ca="1" si="104"/>
        <v>42597</v>
      </c>
      <c r="D244" s="1">
        <f t="shared" ca="1" si="105"/>
        <v>42552</v>
      </c>
      <c r="E244" s="1">
        <f t="shared" ca="1" si="106"/>
        <v>42583</v>
      </c>
      <c r="F244" s="1">
        <f t="shared" ca="1" si="107"/>
        <v>42593</v>
      </c>
    </row>
    <row r="247" spans="1:6" x14ac:dyDescent="0.15">
      <c r="A247" t="s">
        <v>96</v>
      </c>
      <c r="D247" s="5">
        <v>0.1</v>
      </c>
      <c r="E247" s="5">
        <v>0.15</v>
      </c>
      <c r="F247" s="5">
        <v>0.2</v>
      </c>
    </row>
    <row r="248" spans="1:6" x14ac:dyDescent="0.15">
      <c r="B248" s="32" t="s">
        <v>46</v>
      </c>
      <c r="C248" s="2" t="s">
        <v>1</v>
      </c>
      <c r="D248" s="32" t="s">
        <v>9</v>
      </c>
      <c r="E248" s="32" t="s">
        <v>11</v>
      </c>
      <c r="F248" s="32" t="s">
        <v>12</v>
      </c>
    </row>
    <row r="249" spans="1:6" x14ac:dyDescent="0.15">
      <c r="A249" t="str">
        <f ca="1">"Sn"&amp;IF(TODAY()&lt;=DATE(2015,7,15),TEXT(DATE(2015,7,15),"yymm"),TEXT(DATE(YEAR(TODAY()),MONTH(TODAY())+IF(DATE(YEAR(TODAY()),MONTH(TODAY()),DAY(TODAY()))&gt;DATE(YEAR(TODAY()),MONTH(TODAY()),IF(NETWORKDAYS(DATE(YEAR(TODAY()),MONTH(TODAY()),"15"),DATE(YEAR(TODAY()),MONTH(TODAY()),"15"),Holiday)=1,"15",TEXT(WORKDAY(DATE(YEAR(TODAY()),MONTH(TODAY()),"15"),1,Holiday),"dd"))),1,0),15),"yymm"))</f>
        <v>Sn1507</v>
      </c>
      <c r="B249" s="1">
        <f t="shared" ref="B249:B262" ca="1" si="109">IF(RIGHT(A249,4)-1603&lt;=0,DATE(2015,3,27),WORKDAY(IF(NETWORKDAYS(DATE("20"&amp;(MID(A249,LEN(A249)-3,2)-1),RIGHT(A249,2),IF(RIGHT(A249,4)="1201","13","15")),DATE("20"&amp;(MID(A249,LEN(A249)-3,2)-1),RIGHT(A249,2),IF(RIGHT(A249,4)="1201","13","15")),Holiday)=0,WORKDAY(DATE("20"&amp;(MID(A249,LEN(A249)-3,2)-1),RIGHT(A249,2),IF(RIGHT(A249,4)="1201","13","15")),1,Holiday),DATE("20"&amp;(MID(A249,LEN(A249)-3,2)-1),RIGHT(A249,2),IF(RIGHT(A249,4)="1201","13","15"))),1,Holiday))</f>
        <v>42090</v>
      </c>
      <c r="C249" s="1">
        <f t="shared" ref="C249:C262" ca="1" si="110">IF(RIGHT(A249,4)="1502",DATE(2015,2,10),IF(NETWORKDAYS(DATE("20"&amp;MID(A249,LEN(A249)-3,2),RIGHT(A249,2),IF(RIGHT(A249,4)="1201","13","15")),DATE("20"&amp;MID(A249,LEN(A249)-3,2),RIGHT(A249,2),IF(RIGHT(A249,4)="1201","13","15")),Holiday)=0,WORKDAY(DATE("20"&amp;MID(A249,LEN(A249)-3,2),RIGHT(A249,2),IF(RIGHT(A249,4)="1201","13","15")),1,Holiday),DATE("20"&amp;MID(A249,LEN(A249)-3,2),RIGHT(A249,2),IF(RIGHT(A249,4)="1201","13","15"))))</f>
        <v>42200</v>
      </c>
      <c r="D249" s="1">
        <f t="shared" ref="D249:D262" ca="1" si="111">WORKDAY(DATE("20"&amp;MID(A249,LEN(A249)-3,2),RIGHT(A249,2)-1,"0"),1,Holiday)</f>
        <v>42156</v>
      </c>
      <c r="E249" s="1">
        <f t="shared" ref="E249:E262" ca="1" si="112">WORKDAY(DATE("20"&amp;MID(A249,LEN(A249)-3,2),RIGHT(A249,2),"0"),1,Holiday)</f>
        <v>42186</v>
      </c>
      <c r="F249" s="1">
        <f t="shared" ref="F249:F262" ca="1" si="113">WORKDAY(C249,-2,Holiday)</f>
        <v>42198</v>
      </c>
    </row>
    <row r="250" spans="1:6" x14ac:dyDescent="0.15">
      <c r="A250" t="str">
        <f ca="1">"Sn"&amp;TEXT(DATE("20"&amp;MID(A249,LEN(A249)-3,2),RIGHT(A249,2)+1,"15"),"yymm")</f>
        <v>Sn1508</v>
      </c>
      <c r="B250" s="1">
        <f t="shared" ca="1" si="109"/>
        <v>42090</v>
      </c>
      <c r="C250" s="1">
        <f t="shared" ca="1" si="110"/>
        <v>42233</v>
      </c>
      <c r="D250" s="1">
        <f t="shared" ca="1" si="111"/>
        <v>42186</v>
      </c>
      <c r="E250" s="1">
        <f t="shared" ca="1" si="112"/>
        <v>42219</v>
      </c>
      <c r="F250" s="1">
        <f t="shared" ca="1" si="113"/>
        <v>42229</v>
      </c>
    </row>
    <row r="251" spans="1:6" x14ac:dyDescent="0.15">
      <c r="A251" t="str">
        <f t="shared" ref="A251:A262" ca="1" si="114">"Sn"&amp;TEXT(DATE("20"&amp;MID(A250,LEN(A250)-3,2),RIGHT(A250,2)+1,"15"),"yymm")</f>
        <v>Sn1509</v>
      </c>
      <c r="B251" s="1">
        <f t="shared" ca="1" si="109"/>
        <v>42090</v>
      </c>
      <c r="C251" s="1">
        <f t="shared" ca="1" si="110"/>
        <v>42262</v>
      </c>
      <c r="D251" s="1">
        <f t="shared" ca="1" si="111"/>
        <v>42219</v>
      </c>
      <c r="E251" s="1">
        <f t="shared" ca="1" si="112"/>
        <v>42248</v>
      </c>
      <c r="F251" s="1">
        <f t="shared" ca="1" si="113"/>
        <v>42258</v>
      </c>
    </row>
    <row r="252" spans="1:6" x14ac:dyDescent="0.15">
      <c r="A252" t="str">
        <f t="shared" ca="1" si="114"/>
        <v>Sn1510</v>
      </c>
      <c r="B252" s="1">
        <f t="shared" ca="1" si="109"/>
        <v>42090</v>
      </c>
      <c r="C252" s="1">
        <f t="shared" ca="1" si="110"/>
        <v>42292</v>
      </c>
      <c r="D252" s="1">
        <f t="shared" ca="1" si="111"/>
        <v>42248</v>
      </c>
      <c r="E252" s="1">
        <f t="shared" ca="1" si="112"/>
        <v>42285</v>
      </c>
      <c r="F252" s="1">
        <f t="shared" ca="1" si="113"/>
        <v>42290</v>
      </c>
    </row>
    <row r="253" spans="1:6" x14ac:dyDescent="0.15">
      <c r="A253" t="str">
        <f t="shared" ca="1" si="114"/>
        <v>Sn1511</v>
      </c>
      <c r="B253" s="1">
        <f t="shared" ca="1" si="109"/>
        <v>42090</v>
      </c>
      <c r="C253" s="1">
        <f t="shared" ca="1" si="110"/>
        <v>42324</v>
      </c>
      <c r="D253" s="1">
        <f t="shared" ca="1" si="111"/>
        <v>42285</v>
      </c>
      <c r="E253" s="1">
        <f t="shared" ca="1" si="112"/>
        <v>42310</v>
      </c>
      <c r="F253" s="1">
        <f t="shared" ca="1" si="113"/>
        <v>42320</v>
      </c>
    </row>
    <row r="254" spans="1:6" x14ac:dyDescent="0.15">
      <c r="A254" t="str">
        <f t="shared" ca="1" si="114"/>
        <v>Sn1512</v>
      </c>
      <c r="B254" s="1">
        <f t="shared" ca="1" si="109"/>
        <v>42090</v>
      </c>
      <c r="C254" s="1">
        <f t="shared" ca="1" si="110"/>
        <v>42353</v>
      </c>
      <c r="D254" s="1">
        <f t="shared" ca="1" si="111"/>
        <v>42310</v>
      </c>
      <c r="E254" s="1">
        <f t="shared" ca="1" si="112"/>
        <v>42339</v>
      </c>
      <c r="F254" s="1">
        <f t="shared" ca="1" si="113"/>
        <v>42349</v>
      </c>
    </row>
    <row r="255" spans="1:6" x14ac:dyDescent="0.15">
      <c r="A255" t="str">
        <f t="shared" ca="1" si="114"/>
        <v>Sn1601</v>
      </c>
      <c r="B255" s="1">
        <f t="shared" ca="1" si="109"/>
        <v>42090</v>
      </c>
      <c r="C255" s="1">
        <f t="shared" ca="1" si="110"/>
        <v>42384</v>
      </c>
      <c r="D255" s="1">
        <f t="shared" ca="1" si="111"/>
        <v>42339</v>
      </c>
      <c r="E255" s="1">
        <f t="shared" ca="1" si="112"/>
        <v>42370</v>
      </c>
      <c r="F255" s="1">
        <f t="shared" ca="1" si="113"/>
        <v>42382</v>
      </c>
    </row>
    <row r="256" spans="1:6" x14ac:dyDescent="0.15">
      <c r="A256" t="str">
        <f t="shared" ca="1" si="114"/>
        <v>Sn1602</v>
      </c>
      <c r="B256" s="1">
        <f t="shared" ca="1" si="109"/>
        <v>42090</v>
      </c>
      <c r="C256" s="1">
        <f t="shared" ca="1" si="110"/>
        <v>42415</v>
      </c>
      <c r="D256" s="1">
        <f t="shared" ca="1" si="111"/>
        <v>42370</v>
      </c>
      <c r="E256" s="1">
        <f t="shared" ca="1" si="112"/>
        <v>42401</v>
      </c>
      <c r="F256" s="1">
        <f t="shared" ca="1" si="113"/>
        <v>42411</v>
      </c>
    </row>
    <row r="257" spans="1:6" x14ac:dyDescent="0.15">
      <c r="A257" t="str">
        <f t="shared" ca="1" si="114"/>
        <v>Sn1603</v>
      </c>
      <c r="B257" s="1">
        <f t="shared" ca="1" si="109"/>
        <v>42090</v>
      </c>
      <c r="C257" s="1">
        <f t="shared" ca="1" si="110"/>
        <v>42444</v>
      </c>
      <c r="D257" s="1">
        <f t="shared" ca="1" si="111"/>
        <v>42401</v>
      </c>
      <c r="E257" s="1">
        <f t="shared" ca="1" si="112"/>
        <v>42430</v>
      </c>
      <c r="F257" s="1">
        <f t="shared" ca="1" si="113"/>
        <v>42440</v>
      </c>
    </row>
    <row r="258" spans="1:6" x14ac:dyDescent="0.15">
      <c r="A258" t="str">
        <f t="shared" ca="1" si="114"/>
        <v>Sn1604</v>
      </c>
      <c r="B258" s="1">
        <f t="shared" ca="1" si="109"/>
        <v>42110</v>
      </c>
      <c r="C258" s="1">
        <f t="shared" ca="1" si="110"/>
        <v>42475</v>
      </c>
      <c r="D258" s="1">
        <f t="shared" ca="1" si="111"/>
        <v>42430</v>
      </c>
      <c r="E258" s="1">
        <f t="shared" ca="1" si="112"/>
        <v>42461</v>
      </c>
      <c r="F258" s="1">
        <f t="shared" ca="1" si="113"/>
        <v>42473</v>
      </c>
    </row>
    <row r="259" spans="1:6" x14ac:dyDescent="0.15">
      <c r="A259" t="str">
        <f t="shared" ca="1" si="114"/>
        <v>Sn1605</v>
      </c>
      <c r="B259" s="1">
        <f t="shared" ca="1" si="109"/>
        <v>42142</v>
      </c>
      <c r="C259" s="1">
        <f t="shared" ca="1" si="110"/>
        <v>42506</v>
      </c>
      <c r="D259" s="1">
        <f t="shared" ca="1" si="111"/>
        <v>42461</v>
      </c>
      <c r="E259" s="1">
        <f t="shared" ca="1" si="112"/>
        <v>42492</v>
      </c>
      <c r="F259" s="1">
        <f t="shared" ca="1" si="113"/>
        <v>42502</v>
      </c>
    </row>
    <row r="260" spans="1:6" x14ac:dyDescent="0.15">
      <c r="A260" t="str">
        <f t="shared" ca="1" si="114"/>
        <v>Sn1606</v>
      </c>
      <c r="B260" s="1">
        <f t="shared" ca="1" si="109"/>
        <v>42171</v>
      </c>
      <c r="C260" s="1">
        <f t="shared" ca="1" si="110"/>
        <v>42536</v>
      </c>
      <c r="D260" s="1">
        <f t="shared" ca="1" si="111"/>
        <v>42492</v>
      </c>
      <c r="E260" s="1">
        <f t="shared" ca="1" si="112"/>
        <v>42522</v>
      </c>
      <c r="F260" s="1">
        <f t="shared" ca="1" si="113"/>
        <v>42534</v>
      </c>
    </row>
    <row r="261" spans="1:6" x14ac:dyDescent="0.15">
      <c r="A261" t="str">
        <f t="shared" ca="1" si="114"/>
        <v>Sn1607</v>
      </c>
      <c r="B261" s="1">
        <f t="shared" ca="1" si="109"/>
        <v>42201</v>
      </c>
      <c r="C261" s="1">
        <f t="shared" ca="1" si="110"/>
        <v>42566</v>
      </c>
      <c r="D261" s="1">
        <f t="shared" ca="1" si="111"/>
        <v>42522</v>
      </c>
      <c r="E261" s="1">
        <f t="shared" ca="1" si="112"/>
        <v>42552</v>
      </c>
      <c r="F261" s="1">
        <f t="shared" ca="1" si="113"/>
        <v>42564</v>
      </c>
    </row>
    <row r="262" spans="1:6" x14ac:dyDescent="0.15">
      <c r="A262" t="str">
        <f t="shared" ca="1" si="114"/>
        <v>Sn1608</v>
      </c>
      <c r="B262" s="1">
        <f t="shared" ca="1" si="109"/>
        <v>42234</v>
      </c>
      <c r="C262" s="1">
        <f t="shared" ca="1" si="110"/>
        <v>42597</v>
      </c>
      <c r="D262" s="1">
        <f t="shared" ca="1" si="111"/>
        <v>42552</v>
      </c>
      <c r="E262" s="1">
        <f t="shared" ca="1" si="112"/>
        <v>42583</v>
      </c>
      <c r="F262" s="1">
        <f t="shared" ca="1" si="113"/>
        <v>42593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55"/>
  <sheetViews>
    <sheetView topLeftCell="A34" zoomScale="90" zoomScaleNormal="90" workbookViewId="0">
      <selection activeCell="D30" sqref="D30"/>
    </sheetView>
  </sheetViews>
  <sheetFormatPr defaultRowHeight="16.5" x14ac:dyDescent="0.15"/>
  <cols>
    <col min="1" max="1" width="9.625" style="16" customWidth="1"/>
    <col min="2" max="2" width="18.375" style="16" customWidth="1"/>
    <col min="3" max="3" width="24.125" style="7" customWidth="1"/>
    <col min="4" max="4" width="23.25" style="7" customWidth="1"/>
    <col min="5" max="5" width="25.625" style="7" customWidth="1"/>
    <col min="26" max="26" width="9" customWidth="1"/>
    <col min="27" max="27" width="12.375" hidden="1" customWidth="1"/>
  </cols>
  <sheetData>
    <row r="1" spans="1:27" ht="16.5" customHeight="1" x14ac:dyDescent="0.15">
      <c r="A1" s="48" t="str">
        <f>"黄大豆1号A"&amp;TEXT(黄大豆1号A,"#%")</f>
        <v>黄大豆1号A5%</v>
      </c>
      <c r="B1" s="49"/>
      <c r="C1" s="49"/>
      <c r="D1" s="49"/>
      <c r="E1" s="50"/>
      <c r="AA1" t="str">
        <f ca="1">IFERROR(IF(AND(B1+0&gt;TODAY(),B1+0&lt;DATE(YEAR(TODAY()),MONTH(TODAY())+1,DAY(TODAY()))),ROW(),""),"")</f>
        <v/>
      </c>
    </row>
    <row r="2" spans="1:27" ht="17.25" thickBot="1" x14ac:dyDescent="0.2">
      <c r="A2" s="20"/>
      <c r="B2" s="31" t="s">
        <v>48</v>
      </c>
      <c r="C2" s="9" t="s">
        <v>1</v>
      </c>
      <c r="D2" s="10">
        <v>0.1</v>
      </c>
      <c r="E2" s="10">
        <v>0.2</v>
      </c>
      <c r="AA2" t="str">
        <f t="shared" ref="AA2:AA65" ca="1" si="0">IFERROR(IF(AND(B2+0&gt;TODAY(),B2+0&lt;DATE(YEAR(TODAY()),MONTH(TODAY())+1,DAY(TODAY()))),ROW(),""),"")</f>
        <v/>
      </c>
    </row>
    <row r="3" spans="1:27" x14ac:dyDescent="0.15">
      <c r="A3" s="21" t="str">
        <f ca="1">"A"&amp;TEXT(DATE(YEAR(TODAY()),ODD(MONTH(TODAY())+IF(TODAY()&gt;WORKDAY(DATE(YEAR(TODAY()),ODD(MONTH(TODAY())),0),10,Holiday),1,0)),1),"yymm")</f>
        <v>A1507</v>
      </c>
      <c r="B3" s="11">
        <f t="shared" ref="B3:B13" ca="1" si="1">WORKDAY(WORKDAY(DATE("20"&amp;MID(A3,2,2),RIGHT(A3,2)-18,0),10,Holiday),1,Holiday)</f>
        <v>41655</v>
      </c>
      <c r="C3" s="11">
        <f t="shared" ref="C3:C8" ca="1" si="2">WORKDAY(DATE("20"&amp;MID(A3,2,2),RIGHT(A3,2),0),10,Holiday)</f>
        <v>42199</v>
      </c>
      <c r="D3" s="11">
        <f ca="1">IF(CTP=1,WORKDAY(大连商品交易所!D3,-1,Holiday)+1,WORKDAY(大连商品交易所!D3,0-全局参数,Holiday))</f>
        <v>42173</v>
      </c>
      <c r="E3" s="11">
        <f ca="1">IF(CTP=1,WORKDAY(大连商品交易所!E3,-1,Holiday)+1,WORKDAY(大连商品交易所!E3,0-全局参数,Holiday))</f>
        <v>42185</v>
      </c>
      <c r="AA3" t="str">
        <f t="shared" ca="1" si="0"/>
        <v/>
      </c>
    </row>
    <row r="4" spans="1:27" x14ac:dyDescent="0.15">
      <c r="A4" s="22" t="str">
        <f ca="1">"A"&amp;TEXT(DATE("20"&amp;MID(A3,2,2),RIGHT(A3,2)+2,10),"yymm")</f>
        <v>A1509</v>
      </c>
      <c r="B4" s="12">
        <f t="shared" ca="1" si="1"/>
        <v>41715</v>
      </c>
      <c r="C4" s="12">
        <f t="shared" ca="1" si="2"/>
        <v>42263</v>
      </c>
      <c r="D4" s="12">
        <f ca="1">IF(CTP=1,WORKDAY(大连商品交易所!D4,-1,Holiday)+1,WORKDAY(大连商品交易所!D4,0-全局参数,Holiday))</f>
        <v>42236</v>
      </c>
      <c r="E4" s="12">
        <f ca="1">IF(CTP=1,WORKDAY(大连商品交易所!E4,-1,Holiday)+1,WORKDAY(大连商品交易所!E4,0-全局参数,Holiday))</f>
        <v>42247</v>
      </c>
      <c r="AA4" t="str">
        <f t="shared" ca="1" si="0"/>
        <v/>
      </c>
    </row>
    <row r="5" spans="1:27" x14ac:dyDescent="0.15">
      <c r="A5" s="21" t="str">
        <f ca="1">"A"&amp;TEXT(DATE("20"&amp;MID(A4,2,2),RIGHT(A4,2)+2,10),"yymm")</f>
        <v>A1511</v>
      </c>
      <c r="B5" s="11">
        <f t="shared" ca="1" si="1"/>
        <v>41778</v>
      </c>
      <c r="C5" s="11">
        <f t="shared" ca="1" si="2"/>
        <v>42321</v>
      </c>
      <c r="D5" s="11">
        <f ca="1">IF(CTP=1,WORKDAY(大连商品交易所!D5,-1,Holiday)+1,WORKDAY(大连商品交易所!D5,0-全局参数,Holiday))</f>
        <v>42304</v>
      </c>
      <c r="E5" s="11">
        <f ca="1">IF(CTP=1,WORKDAY(大连商品交易所!E5,-1,Holiday)+1,WORKDAY(大连商品交易所!E5,0-全局参数,Holiday))</f>
        <v>42307</v>
      </c>
      <c r="AA5" t="str">
        <f t="shared" ca="1" si="0"/>
        <v/>
      </c>
    </row>
    <row r="6" spans="1:27" x14ac:dyDescent="0.15">
      <c r="A6" s="22" t="str">
        <f ca="1">"A"&amp;TEXT(DATE("20"&amp;MID(A5,2,2),RIGHT(A5,2)+2,10),"yymm")</f>
        <v>A1601</v>
      </c>
      <c r="B6" s="12">
        <f t="shared" ca="1" si="1"/>
        <v>41835</v>
      </c>
      <c r="C6" s="12">
        <f t="shared" ca="1" si="2"/>
        <v>42383</v>
      </c>
      <c r="D6" s="12">
        <f ca="1">IF(CTP=1,WORKDAY(大连商品交易所!D6,-1,Holiday)+1,WORKDAY(大连商品交易所!D6,0-全局参数,Holiday))</f>
        <v>42356</v>
      </c>
      <c r="E6" s="12">
        <f ca="1">IF(CTP=1,WORKDAY(大连商品交易所!E6,-1,Holiday)+1,WORKDAY(大连商品交易所!E6,0-全局参数,Holiday))</f>
        <v>42369</v>
      </c>
      <c r="AA6" t="str">
        <f t="shared" ca="1" si="0"/>
        <v/>
      </c>
    </row>
    <row r="7" spans="1:27" x14ac:dyDescent="0.15">
      <c r="A7" s="21" t="str">
        <f ca="1">"A"&amp;TEXT(DATE("20"&amp;MID(A6,2,2),RIGHT(A6,2)+2,10),"yymm")</f>
        <v>A1603</v>
      </c>
      <c r="B7" s="11">
        <f t="shared" ca="1" si="1"/>
        <v>41898</v>
      </c>
      <c r="C7" s="11">
        <f t="shared" ca="1" si="2"/>
        <v>42443</v>
      </c>
      <c r="D7" s="11">
        <f ca="1">IF(CTP=1,WORKDAY(大连商品交易所!D7,-1,Holiday)+1,WORKDAY(大连商品交易所!D7,0-全局参数,Holiday))</f>
        <v>42418</v>
      </c>
      <c r="E7" s="11">
        <f ca="1">IF(CTP=1,WORKDAY(大连商品交易所!E7,-1,Holiday)+1,WORKDAY(大连商品交易所!E7,0-全局参数,Holiday))</f>
        <v>42429</v>
      </c>
      <c r="AA7" t="str">
        <f t="shared" ca="1" si="0"/>
        <v/>
      </c>
    </row>
    <row r="8" spans="1:27" x14ac:dyDescent="0.15">
      <c r="A8" s="22" t="str">
        <f ca="1">"A"&amp;TEXT(DATE("20"&amp;MID(A7,2,2),RIGHT(A7,2)+2,10),"yymm")</f>
        <v>A1605</v>
      </c>
      <c r="B8" s="12">
        <f t="shared" ca="1" si="1"/>
        <v>41960</v>
      </c>
      <c r="C8" s="12">
        <f t="shared" ca="1" si="2"/>
        <v>42503</v>
      </c>
      <c r="D8" s="12">
        <f ca="1">IF(CTP=1,WORKDAY(大连商品交易所!D8,-1,Holiday)+1,WORKDAY(大连商品交易所!D8,0-全局参数,Holiday))</f>
        <v>42480</v>
      </c>
      <c r="E8" s="12">
        <f ca="1">IF(CTP=1,WORKDAY(大连商品交易所!E8,-1,Holiday)+1,WORKDAY(大连商品交易所!E8,0-全局参数,Holiday))</f>
        <v>42489</v>
      </c>
      <c r="AA8" t="str">
        <f t="shared" ca="1" si="0"/>
        <v/>
      </c>
    </row>
    <row r="9" spans="1:27" x14ac:dyDescent="0.15">
      <c r="A9" s="21" t="str">
        <f t="shared" ref="A9:A11" ca="1" si="3">"A"&amp;TEXT(DATE("20"&amp;MID(A8,2,2),RIGHT(A8,2)+2,10),"yymm")</f>
        <v>A1607</v>
      </c>
      <c r="B9" s="11">
        <f t="shared" ca="1" si="1"/>
        <v>42023</v>
      </c>
      <c r="C9" s="11">
        <f t="shared" ref="C9:C11" ca="1" si="4">WORKDAY(DATE("20"&amp;MID(A9,2,2),RIGHT(A9,2),0),10,Holiday)</f>
        <v>42565</v>
      </c>
      <c r="D9" s="11">
        <f ca="1">IF(CTP=1,WORKDAY(大连商品交易所!D9,-1,Holiday)+1,WORKDAY(大连商品交易所!D9,0-全局参数,Holiday))</f>
        <v>42541</v>
      </c>
      <c r="E9" s="11">
        <f ca="1">IF(CTP=1,WORKDAY(大连商品交易所!E9,-1,Holiday)+1,WORKDAY(大连商品交易所!E9,0-全局参数,Holiday))</f>
        <v>42551</v>
      </c>
      <c r="AA9" t="str">
        <f t="shared" ca="1" si="0"/>
        <v/>
      </c>
    </row>
    <row r="10" spans="1:27" x14ac:dyDescent="0.15">
      <c r="A10" s="22" t="str">
        <f t="shared" ca="1" si="3"/>
        <v>A1609</v>
      </c>
      <c r="B10" s="12">
        <f t="shared" ca="1" si="1"/>
        <v>42079</v>
      </c>
      <c r="C10" s="12">
        <f t="shared" ca="1" si="4"/>
        <v>42627</v>
      </c>
      <c r="D10" s="12">
        <f ca="1">IF(CTP=1,WORKDAY(大连商品交易所!D10,-1,Holiday)+1,WORKDAY(大连商品交易所!D10,0-全局参数,Holiday))</f>
        <v>42600</v>
      </c>
      <c r="E10" s="12">
        <f ca="1">IF(CTP=1,WORKDAY(大连商品交易所!E10,-1,Holiday)+1,WORKDAY(大连商品交易所!E10,0-全局参数,Holiday))</f>
        <v>42613</v>
      </c>
      <c r="AA10" t="str">
        <f t="shared" ca="1" si="0"/>
        <v/>
      </c>
    </row>
    <row r="11" spans="1:27" x14ac:dyDescent="0.15">
      <c r="A11" s="21" t="str">
        <f t="shared" ca="1" si="3"/>
        <v>A1611</v>
      </c>
      <c r="B11" s="11">
        <f t="shared" ca="1" si="1"/>
        <v>42142</v>
      </c>
      <c r="C11" s="11">
        <f t="shared" ca="1" si="4"/>
        <v>42688</v>
      </c>
      <c r="D11" s="11">
        <f ca="1">IF(CTP=1,WORKDAY(大连商品交易所!D11,-1,Holiday)+1,WORKDAY(大连商品交易所!D11,0-全局参数,Holiday))</f>
        <v>42663</v>
      </c>
      <c r="E11" s="11">
        <f ca="1">IF(CTP=1,WORKDAY(大连商品交易所!E11,-1,Holiday)+1,WORKDAY(大连商品交易所!E11,0-全局参数,Holiday))</f>
        <v>42674</v>
      </c>
      <c r="AA11" t="str">
        <f t="shared" ca="1" si="0"/>
        <v/>
      </c>
    </row>
    <row r="12" spans="1:27" x14ac:dyDescent="0.15">
      <c r="A12" s="22" t="str">
        <f t="shared" ref="A12:A13" ca="1" si="5">"A"&amp;TEXT(DATE("20"&amp;MID(A11,2,2),RIGHT(A11,2)+2,10),"yymm")</f>
        <v>A1701</v>
      </c>
      <c r="B12" s="12">
        <f t="shared" ca="1" si="1"/>
        <v>42200</v>
      </c>
      <c r="C12" s="12">
        <f t="shared" ref="C12:C13" ca="1" si="6">WORKDAY(DATE("20"&amp;MID(A12,2,2),RIGHT(A12,2),0),10,Holiday)</f>
        <v>42748</v>
      </c>
      <c r="D12" s="12">
        <f ca="1">IF(CTP=1,WORKDAY(大连商品交易所!D12,-1,Holiday)+1,WORKDAY(大连商品交易所!D12,0-全局参数,Holiday))</f>
        <v>42724</v>
      </c>
      <c r="E12" s="12">
        <f ca="1">IF(CTP=1,WORKDAY(大连商品交易所!E12,-1,Holiday)+1,WORKDAY(大连商品交易所!E12,0-全局参数,Holiday))</f>
        <v>42734</v>
      </c>
      <c r="AA12">
        <f t="shared" ca="1" si="0"/>
        <v>12</v>
      </c>
    </row>
    <row r="13" spans="1:27" x14ac:dyDescent="0.15">
      <c r="A13" s="21" t="str">
        <f t="shared" ca="1" si="5"/>
        <v>A1703</v>
      </c>
      <c r="B13" s="11">
        <f t="shared" ca="1" si="1"/>
        <v>42264</v>
      </c>
      <c r="C13" s="11">
        <f t="shared" ca="1" si="6"/>
        <v>42808</v>
      </c>
      <c r="D13" s="11">
        <f ca="1">IF(CTP=1,WORKDAY(大连商品交易所!D13,-1,Holiday)+1,WORKDAY(大连商品交易所!D13,0-全局参数,Holiday))</f>
        <v>42786</v>
      </c>
      <c r="E13" s="11">
        <f ca="1">IF(CTP=1,WORKDAY(大连商品交易所!E13,-1,Holiday)+1,WORKDAY(大连商品交易所!E13,0-全局参数,Holiday))</f>
        <v>42794</v>
      </c>
      <c r="AA13" t="str">
        <f t="shared" ca="1" si="0"/>
        <v/>
      </c>
    </row>
    <row r="14" spans="1:27" x14ac:dyDescent="0.15">
      <c r="D14" s="8"/>
      <c r="E14" s="8"/>
      <c r="AA14" t="str">
        <f t="shared" ca="1" si="0"/>
        <v/>
      </c>
    </row>
    <row r="15" spans="1:27" x14ac:dyDescent="0.15">
      <c r="D15" s="8"/>
      <c r="E15" s="8"/>
      <c r="AA15" t="str">
        <f t="shared" ca="1" si="0"/>
        <v/>
      </c>
    </row>
    <row r="16" spans="1:27" x14ac:dyDescent="0.15">
      <c r="A16" s="48" t="str">
        <f>"黄大豆2号B"&amp;TEXT(黄大豆2号B,"#%")</f>
        <v>黄大豆2号B5%</v>
      </c>
      <c r="B16" s="49"/>
      <c r="C16" s="49"/>
      <c r="D16" s="49"/>
      <c r="E16" s="50"/>
      <c r="AA16" t="str">
        <f t="shared" ca="1" si="0"/>
        <v/>
      </c>
    </row>
    <row r="17" spans="1:27" ht="17.25" thickBot="1" x14ac:dyDescent="0.2">
      <c r="A17" s="20"/>
      <c r="B17" s="31" t="s">
        <v>48</v>
      </c>
      <c r="C17" s="13" t="s">
        <v>1</v>
      </c>
      <c r="D17" s="10">
        <v>0.1</v>
      </c>
      <c r="E17" s="10">
        <v>0.2</v>
      </c>
      <c r="AA17" t="str">
        <f t="shared" ca="1" si="0"/>
        <v/>
      </c>
    </row>
    <row r="18" spans="1:27" x14ac:dyDescent="0.15">
      <c r="A18" s="21" t="str">
        <f ca="1">"B"&amp;TEXT(DATE(YEAR(TODAY()),ODD(MONTH(TODAY())+IF(TODAY()&gt;WORKDAY(DATE(YEAR(TODAY()),ODD(MONTH(TODAY())),0),10,Holiday),1,0)),1),"yymm")</f>
        <v>B1507</v>
      </c>
      <c r="B18" s="11">
        <f t="shared" ref="B18:B25" ca="1" si="7">WORKDAY(WORKDAY(DATE("20"&amp;MID(A18,2,2),RIGHT(A18,2)-12,0),10,Holiday),1,Holiday)</f>
        <v>41835</v>
      </c>
      <c r="C18" s="11">
        <f t="shared" ref="C18:C23" ca="1" si="8">WORKDAY(DATE("20"&amp;MID(A18,2,2),RIGHT(A18,2),0),10,Holiday)</f>
        <v>42199</v>
      </c>
      <c r="D18" s="11">
        <f ca="1">IF(CTP=1,WORKDAY(大连商品交易所!D18,-1,Holiday)+1,WORKDAY(大连商品交易所!D18,0-全局参数,Holiday))</f>
        <v>42173</v>
      </c>
      <c r="E18" s="11">
        <f ca="1">IF(CTP=1,WORKDAY(大连商品交易所!E18,-1,Holiday)+1,WORKDAY(大连商品交易所!E18,0-全局参数,Holiday))</f>
        <v>42185</v>
      </c>
      <c r="AA18" t="str">
        <f t="shared" ca="1" si="0"/>
        <v/>
      </c>
    </row>
    <row r="19" spans="1:27" x14ac:dyDescent="0.15">
      <c r="A19" s="22" t="str">
        <f t="shared" ref="A19:A25" ca="1" si="9">"B"&amp;TEXT(DATE("20"&amp;MID(A18,2,2),RIGHT(A18,2)+2,10),"yymm")</f>
        <v>B1509</v>
      </c>
      <c r="B19" s="12">
        <f t="shared" ca="1" si="7"/>
        <v>41898</v>
      </c>
      <c r="C19" s="12">
        <f t="shared" ca="1" si="8"/>
        <v>42263</v>
      </c>
      <c r="D19" s="12">
        <f ca="1">IF(CTP=1,WORKDAY(大连商品交易所!D19,-1,Holiday)+1,WORKDAY(大连商品交易所!D19,0-全局参数,Holiday))</f>
        <v>42236</v>
      </c>
      <c r="E19" s="12">
        <f ca="1">IF(CTP=1,WORKDAY(大连商品交易所!E19,-1,Holiday)+1,WORKDAY(大连商品交易所!E19,0-全局参数,Holiday))</f>
        <v>42247</v>
      </c>
      <c r="AA19" t="str">
        <f t="shared" ca="1" si="0"/>
        <v/>
      </c>
    </row>
    <row r="20" spans="1:27" x14ac:dyDescent="0.15">
      <c r="A20" s="21" t="str">
        <f t="shared" ca="1" si="9"/>
        <v>B1511</v>
      </c>
      <c r="B20" s="11">
        <f t="shared" ca="1" si="7"/>
        <v>41960</v>
      </c>
      <c r="C20" s="11">
        <f t="shared" ca="1" si="8"/>
        <v>42321</v>
      </c>
      <c r="D20" s="11">
        <f ca="1">IF(CTP=1,WORKDAY(大连商品交易所!D20,-1,Holiday)+1,WORKDAY(大连商品交易所!D20,0-全局参数,Holiday))</f>
        <v>42304</v>
      </c>
      <c r="E20" s="11">
        <f ca="1">IF(CTP=1,WORKDAY(大连商品交易所!E20,-1,Holiday)+1,WORKDAY(大连商品交易所!E20,0-全局参数,Holiday))</f>
        <v>42307</v>
      </c>
      <c r="AA20" t="str">
        <f t="shared" ca="1" si="0"/>
        <v/>
      </c>
    </row>
    <row r="21" spans="1:27" x14ac:dyDescent="0.15">
      <c r="A21" s="22" t="str">
        <f t="shared" ca="1" si="9"/>
        <v>B1601</v>
      </c>
      <c r="B21" s="12">
        <f t="shared" ca="1" si="7"/>
        <v>42023</v>
      </c>
      <c r="C21" s="12">
        <f t="shared" ca="1" si="8"/>
        <v>42383</v>
      </c>
      <c r="D21" s="12">
        <f ca="1">IF(CTP=1,WORKDAY(大连商品交易所!D21,-1,Holiday)+1,WORKDAY(大连商品交易所!D21,0-全局参数,Holiday))</f>
        <v>42356</v>
      </c>
      <c r="E21" s="12">
        <f ca="1">IF(CTP=1,WORKDAY(大连商品交易所!E21,-1,Holiday)+1,WORKDAY(大连商品交易所!E21,0-全局参数,Holiday))</f>
        <v>42369</v>
      </c>
      <c r="AA21" t="str">
        <f t="shared" ca="1" si="0"/>
        <v/>
      </c>
    </row>
    <row r="22" spans="1:27" x14ac:dyDescent="0.15">
      <c r="A22" s="21" t="str">
        <f t="shared" ca="1" si="9"/>
        <v>B1603</v>
      </c>
      <c r="B22" s="11">
        <f t="shared" ca="1" si="7"/>
        <v>42079</v>
      </c>
      <c r="C22" s="11">
        <f t="shared" ca="1" si="8"/>
        <v>42443</v>
      </c>
      <c r="D22" s="11">
        <f ca="1">IF(CTP=1,WORKDAY(大连商品交易所!D22,-1,Holiday)+1,WORKDAY(大连商品交易所!D22,0-全局参数,Holiday))</f>
        <v>42418</v>
      </c>
      <c r="E22" s="11">
        <f ca="1">IF(CTP=1,WORKDAY(大连商品交易所!E22,-1,Holiday)+1,WORKDAY(大连商品交易所!E22,0-全局参数,Holiday))</f>
        <v>42429</v>
      </c>
      <c r="AA22" t="str">
        <f t="shared" ca="1" si="0"/>
        <v/>
      </c>
    </row>
    <row r="23" spans="1:27" x14ac:dyDescent="0.15">
      <c r="A23" s="22" t="str">
        <f t="shared" ca="1" si="9"/>
        <v>B1605</v>
      </c>
      <c r="B23" s="12">
        <f t="shared" ca="1" si="7"/>
        <v>42142</v>
      </c>
      <c r="C23" s="12">
        <f t="shared" ca="1" si="8"/>
        <v>42503</v>
      </c>
      <c r="D23" s="12">
        <f ca="1">IF(CTP=1,WORKDAY(大连商品交易所!D23,-1,Holiday)+1,WORKDAY(大连商品交易所!D23,0-全局参数,Holiday))</f>
        <v>42480</v>
      </c>
      <c r="E23" s="12">
        <f ca="1">IF(CTP=1,WORKDAY(大连商品交易所!E23,-1,Holiday)+1,WORKDAY(大连商品交易所!E23,0-全局参数,Holiday))</f>
        <v>42489</v>
      </c>
      <c r="AA23" t="str">
        <f t="shared" ca="1" si="0"/>
        <v/>
      </c>
    </row>
    <row r="24" spans="1:27" x14ac:dyDescent="0.15">
      <c r="A24" s="21" t="str">
        <f t="shared" ca="1" si="9"/>
        <v>B1607</v>
      </c>
      <c r="B24" s="11">
        <f t="shared" ca="1" si="7"/>
        <v>42200</v>
      </c>
      <c r="C24" s="11">
        <f t="shared" ref="C24:C25" ca="1" si="10">WORKDAY(DATE("20"&amp;MID(A24,2,2),RIGHT(A24,2),0),10,Holiday)</f>
        <v>42565</v>
      </c>
      <c r="D24" s="11">
        <f ca="1">IF(CTP=1,WORKDAY(大连商品交易所!D24,-1,Holiday)+1,WORKDAY(大连商品交易所!D24,0-全局参数,Holiday))</f>
        <v>42541</v>
      </c>
      <c r="E24" s="11">
        <f ca="1">IF(CTP=1,WORKDAY(大连商品交易所!E24,-1,Holiday)+1,WORKDAY(大连商品交易所!E24,0-全局参数,Holiday))</f>
        <v>42551</v>
      </c>
      <c r="AA24">
        <f t="shared" ca="1" si="0"/>
        <v>24</v>
      </c>
    </row>
    <row r="25" spans="1:27" x14ac:dyDescent="0.15">
      <c r="A25" s="22" t="str">
        <f t="shared" ca="1" si="9"/>
        <v>B1609</v>
      </c>
      <c r="B25" s="12">
        <f t="shared" ca="1" si="7"/>
        <v>42264</v>
      </c>
      <c r="C25" s="12">
        <f t="shared" ca="1" si="10"/>
        <v>42627</v>
      </c>
      <c r="D25" s="12">
        <f ca="1">IF(CTP=1,WORKDAY(大连商品交易所!D25,-1,Holiday)+1,WORKDAY(大连商品交易所!D25,0-全局参数,Holiday))</f>
        <v>42600</v>
      </c>
      <c r="E25" s="12">
        <f ca="1">IF(CTP=1,WORKDAY(大连商品交易所!E25,-1,Holiday)+1,WORKDAY(大连商品交易所!E25,0-全局参数,Holiday))</f>
        <v>42613</v>
      </c>
      <c r="AA25" t="str">
        <f t="shared" ca="1" si="0"/>
        <v/>
      </c>
    </row>
    <row r="26" spans="1:27" x14ac:dyDescent="0.15">
      <c r="D26" s="8"/>
      <c r="E26" s="8"/>
      <c r="AA26" t="str">
        <f t="shared" ca="1" si="0"/>
        <v/>
      </c>
    </row>
    <row r="27" spans="1:27" x14ac:dyDescent="0.15">
      <c r="D27" s="8"/>
      <c r="E27" s="8"/>
      <c r="AA27" t="str">
        <f t="shared" ca="1" si="0"/>
        <v/>
      </c>
    </row>
    <row r="28" spans="1:27" x14ac:dyDescent="0.15">
      <c r="A28" s="48" t="str">
        <f>"黄玉米C"&amp;TEXT(黄玉米C,"#%")</f>
        <v>黄玉米C5%</v>
      </c>
      <c r="B28" s="49"/>
      <c r="C28" s="49"/>
      <c r="D28" s="49"/>
      <c r="E28" s="50"/>
      <c r="AA28" t="str">
        <f t="shared" ca="1" si="0"/>
        <v/>
      </c>
    </row>
    <row r="29" spans="1:27" ht="17.25" thickBot="1" x14ac:dyDescent="0.2">
      <c r="A29" s="20"/>
      <c r="B29" s="31" t="s">
        <v>49</v>
      </c>
      <c r="C29" s="13" t="s">
        <v>1</v>
      </c>
      <c r="D29" s="10">
        <v>0.1</v>
      </c>
      <c r="E29" s="10">
        <v>0.2</v>
      </c>
      <c r="AA29" t="str">
        <f t="shared" ca="1" si="0"/>
        <v/>
      </c>
    </row>
    <row r="30" spans="1:27" x14ac:dyDescent="0.15">
      <c r="A30" s="21" t="str">
        <f ca="1">"C"&amp;TEXT(DATE(YEAR(TODAY()),ODD(MONTH(TODAY())+IF(TODAY()&gt;WORKDAY(DATE(YEAR(TODAY()),ODD(MONTH(TODAY())),0),10,Holiday),1,0)),1),"yymm")</f>
        <v>C1507</v>
      </c>
      <c r="B30" s="11">
        <f t="shared" ref="B30:B37" ca="1" si="11">WORKDAY(WORKDAY(DATE("20"&amp;MID(A30,2,2),RIGHT(A30,2)-12,0),10,Holiday),1,Holiday)</f>
        <v>41835</v>
      </c>
      <c r="C30" s="11">
        <f t="shared" ref="C30:C35" ca="1" si="12">WORKDAY(DATE("20"&amp;MID(A30,2,2),RIGHT(A30,2),0),10,Holiday)</f>
        <v>42199</v>
      </c>
      <c r="D30" s="11">
        <f ca="1">IF(CTP=1,WORKDAY(大连商品交易所!D30,-1,Holiday)+1,WORKDAY(大连商品交易所!D30,0-全局参数,Holiday))</f>
        <v>42173</v>
      </c>
      <c r="E30" s="11">
        <f ca="1">IF(CTP=1,WORKDAY(大连商品交易所!E30,-1,Holiday)+1,WORKDAY(大连商品交易所!E30,0-全局参数,Holiday))</f>
        <v>42185</v>
      </c>
      <c r="AA30" t="str">
        <f t="shared" ca="1" si="0"/>
        <v/>
      </c>
    </row>
    <row r="31" spans="1:27" x14ac:dyDescent="0.15">
      <c r="A31" s="22" t="str">
        <f t="shared" ref="A31:A37" ca="1" si="13">"C"&amp;TEXT(DATE("20"&amp;MID(A30,2,2),RIGHT(A30,2)+2,10),"yymm")</f>
        <v>C1509</v>
      </c>
      <c r="B31" s="12">
        <f t="shared" ca="1" si="11"/>
        <v>41898</v>
      </c>
      <c r="C31" s="12">
        <f t="shared" ca="1" si="12"/>
        <v>42263</v>
      </c>
      <c r="D31" s="12">
        <f ca="1">IF(CTP=1,WORKDAY(大连商品交易所!D31,-1,Holiday)+1,WORKDAY(大连商品交易所!D31,0-全局参数,Holiday))</f>
        <v>42236</v>
      </c>
      <c r="E31" s="12">
        <f ca="1">IF(CTP=1,WORKDAY(大连商品交易所!E31,-1,Holiday)+1,WORKDAY(大连商品交易所!E31,0-全局参数,Holiday))</f>
        <v>42247</v>
      </c>
      <c r="AA31" t="str">
        <f t="shared" ca="1" si="0"/>
        <v/>
      </c>
    </row>
    <row r="32" spans="1:27" x14ac:dyDescent="0.15">
      <c r="A32" s="21" t="str">
        <f t="shared" ca="1" si="13"/>
        <v>C1511</v>
      </c>
      <c r="B32" s="11">
        <f t="shared" ca="1" si="11"/>
        <v>41960</v>
      </c>
      <c r="C32" s="11">
        <f t="shared" ca="1" si="12"/>
        <v>42321</v>
      </c>
      <c r="D32" s="11">
        <f ca="1">IF(CTP=1,WORKDAY(大连商品交易所!D32,-1,Holiday)+1,WORKDAY(大连商品交易所!D32,0-全局参数,Holiday))</f>
        <v>42304</v>
      </c>
      <c r="E32" s="11">
        <f ca="1">IF(CTP=1,WORKDAY(大连商品交易所!E32,-1,Holiday)+1,WORKDAY(大连商品交易所!E32,0-全局参数,Holiday))</f>
        <v>42307</v>
      </c>
      <c r="AA32" t="str">
        <f t="shared" ca="1" si="0"/>
        <v/>
      </c>
    </row>
    <row r="33" spans="1:27" x14ac:dyDescent="0.15">
      <c r="A33" s="22" t="str">
        <f t="shared" ca="1" si="13"/>
        <v>C1601</v>
      </c>
      <c r="B33" s="12">
        <f t="shared" ca="1" si="11"/>
        <v>42023</v>
      </c>
      <c r="C33" s="12">
        <f t="shared" ca="1" si="12"/>
        <v>42383</v>
      </c>
      <c r="D33" s="12">
        <f ca="1">IF(CTP=1,WORKDAY(大连商品交易所!D33,-1,Holiday)+1,WORKDAY(大连商品交易所!D33,0-全局参数,Holiday))</f>
        <v>42356</v>
      </c>
      <c r="E33" s="12">
        <f ca="1">IF(CTP=1,WORKDAY(大连商品交易所!E33,-1,Holiday)+1,WORKDAY(大连商品交易所!E33,0-全局参数,Holiday))</f>
        <v>42369</v>
      </c>
      <c r="AA33" t="str">
        <f t="shared" ca="1" si="0"/>
        <v/>
      </c>
    </row>
    <row r="34" spans="1:27" x14ac:dyDescent="0.15">
      <c r="A34" s="21" t="str">
        <f t="shared" ca="1" si="13"/>
        <v>C1603</v>
      </c>
      <c r="B34" s="11">
        <f t="shared" ca="1" si="11"/>
        <v>42079</v>
      </c>
      <c r="C34" s="11">
        <f t="shared" ca="1" si="12"/>
        <v>42443</v>
      </c>
      <c r="D34" s="11">
        <f ca="1">IF(CTP=1,WORKDAY(大连商品交易所!D34,-1,Holiday)+1,WORKDAY(大连商品交易所!D34,0-全局参数,Holiday))</f>
        <v>42418</v>
      </c>
      <c r="E34" s="11">
        <f ca="1">IF(CTP=1,WORKDAY(大连商品交易所!E34,-1,Holiday)+1,WORKDAY(大连商品交易所!E34,0-全局参数,Holiday))</f>
        <v>42429</v>
      </c>
      <c r="AA34" t="str">
        <f t="shared" ca="1" si="0"/>
        <v/>
      </c>
    </row>
    <row r="35" spans="1:27" x14ac:dyDescent="0.15">
      <c r="A35" s="22" t="str">
        <f t="shared" ca="1" si="13"/>
        <v>C1605</v>
      </c>
      <c r="B35" s="12">
        <f t="shared" ca="1" si="11"/>
        <v>42142</v>
      </c>
      <c r="C35" s="12">
        <f t="shared" ca="1" si="12"/>
        <v>42503</v>
      </c>
      <c r="D35" s="12">
        <f ca="1">IF(CTP=1,WORKDAY(大连商品交易所!D35,-1,Holiday)+1,WORKDAY(大连商品交易所!D35,0-全局参数,Holiday))</f>
        <v>42480</v>
      </c>
      <c r="E35" s="12">
        <f ca="1">IF(CTP=1,WORKDAY(大连商品交易所!E35,-1,Holiday)+1,WORKDAY(大连商品交易所!E35,0-全局参数,Holiday))</f>
        <v>42489</v>
      </c>
      <c r="AA35" t="str">
        <f t="shared" ca="1" si="0"/>
        <v/>
      </c>
    </row>
    <row r="36" spans="1:27" x14ac:dyDescent="0.15">
      <c r="A36" s="21" t="str">
        <f t="shared" ca="1" si="13"/>
        <v>C1607</v>
      </c>
      <c r="B36" s="11">
        <f t="shared" ca="1" si="11"/>
        <v>42200</v>
      </c>
      <c r="C36" s="11">
        <f t="shared" ref="C36:C37" ca="1" si="14">WORKDAY(DATE("20"&amp;MID(A36,2,2),RIGHT(A36,2),0),10,Holiday)</f>
        <v>42565</v>
      </c>
      <c r="D36" s="11">
        <f ca="1">IF(CTP=1,WORKDAY(大连商品交易所!D36,-1,Holiday)+1,WORKDAY(大连商品交易所!D36,0-全局参数,Holiday))</f>
        <v>42541</v>
      </c>
      <c r="E36" s="11">
        <f ca="1">IF(CTP=1,WORKDAY(大连商品交易所!E36,-1,Holiday)+1,WORKDAY(大连商品交易所!E36,0-全局参数,Holiday))</f>
        <v>42551</v>
      </c>
      <c r="AA36">
        <f t="shared" ca="1" si="0"/>
        <v>36</v>
      </c>
    </row>
    <row r="37" spans="1:27" x14ac:dyDescent="0.15">
      <c r="A37" s="22" t="str">
        <f t="shared" ca="1" si="13"/>
        <v>C1609</v>
      </c>
      <c r="B37" s="12">
        <f t="shared" ca="1" si="11"/>
        <v>42264</v>
      </c>
      <c r="C37" s="12">
        <f t="shared" ca="1" si="14"/>
        <v>42627</v>
      </c>
      <c r="D37" s="12">
        <f ca="1">IF(CTP=1,WORKDAY(大连商品交易所!D37,-1,Holiday)+1,WORKDAY(大连商品交易所!D37,0-全局参数,Holiday))</f>
        <v>42600</v>
      </c>
      <c r="E37" s="12">
        <f ca="1">IF(CTP=1,WORKDAY(大连商品交易所!E37,-1,Holiday)+1,WORKDAY(大连商品交易所!E37,0-全局参数,Holiday))</f>
        <v>42613</v>
      </c>
      <c r="AA37" t="str">
        <f t="shared" ca="1" si="0"/>
        <v/>
      </c>
    </row>
    <row r="38" spans="1:27" x14ac:dyDescent="0.15">
      <c r="D38" s="8"/>
      <c r="E38" s="8"/>
      <c r="AA38" t="str">
        <f t="shared" ca="1" si="0"/>
        <v/>
      </c>
    </row>
    <row r="39" spans="1:27" x14ac:dyDescent="0.15">
      <c r="D39" s="8"/>
      <c r="E39" s="8"/>
      <c r="AA39" t="str">
        <f t="shared" ca="1" si="0"/>
        <v/>
      </c>
    </row>
    <row r="40" spans="1:27" x14ac:dyDescent="0.15">
      <c r="A40" s="48" t="str">
        <f>"玉米淀粉"&amp;TEXT(玉米淀粉CS,"#%")</f>
        <v>玉米淀粉5%</v>
      </c>
      <c r="B40" s="49"/>
      <c r="C40" s="49"/>
      <c r="D40" s="49"/>
      <c r="E40" s="50"/>
      <c r="AA40" t="str">
        <f t="shared" ca="1" si="0"/>
        <v/>
      </c>
    </row>
    <row r="41" spans="1:27" ht="17.25" thickBot="1" x14ac:dyDescent="0.2">
      <c r="A41" s="20"/>
      <c r="B41" s="33" t="s">
        <v>46</v>
      </c>
      <c r="C41" s="33" t="s">
        <v>1</v>
      </c>
      <c r="D41" s="10">
        <v>0.1</v>
      </c>
      <c r="E41" s="10">
        <v>0.2</v>
      </c>
      <c r="AA41" t="str">
        <f t="shared" ca="1" si="0"/>
        <v/>
      </c>
    </row>
    <row r="42" spans="1:27" x14ac:dyDescent="0.15">
      <c r="A42" s="21" t="str">
        <f ca="1">"CS"&amp;IF(TEXT(DATE(YEAR(TODAY()),ODD(MONTH(TODAY())+IF(TODAY()&gt;WORKDAY(DATE(YEAR(TODAY()),ODD(MONTH(TODAY())),0),10,Holiday),1,0)),1),"yymm")*1&lt;=1503,"1503",TEXT(DATE(YEAR(TODAY()),ODD(MONTH(TODAY())+IF(TODAY()&gt;WORKDAY(DATE(YEAR(TODAY()),ODD(MONTH(TODAY())),0),10,Holiday),1,0)),1),"yymm"))</f>
        <v>CS1507</v>
      </c>
      <c r="B42" s="11">
        <f t="shared" ref="B42:B49" ca="1" si="15">IF(WORKDAY(WORKDAY(DATE("20"&amp;MID(A42,3,2),RIGHT(A42,2)-12,0),10,Holiday),1,Holiday)&lt;=DATE(2014,12,19),DATE(2014,12,19),WORKDAY(WORKDAY(DATE("20"&amp;MID(A42,3,2),RIGHT(A42,2)-12,0),10,Holiday),1,Holiday))</f>
        <v>41992</v>
      </c>
      <c r="C42" s="11">
        <f t="shared" ref="C42:C49" ca="1" si="16">WORKDAY(DATE("20"&amp;MID(A42,3,2),RIGHT(A42,2),0),10,Holiday)</f>
        <v>42199</v>
      </c>
      <c r="D42" s="11">
        <f ca="1">IF(CTP=1,WORKDAY(大连商品交易所!D42,-1,Holiday)+1,WORKDAY(大连商品交易所!D42,0-全局参数,Holiday))</f>
        <v>42173</v>
      </c>
      <c r="E42" s="11">
        <f ca="1">IF(CTP=1,WORKDAY(大连商品交易所!E42,-1,Holiday)+1,WORKDAY(大连商品交易所!E42,0-全局参数,Holiday))</f>
        <v>42185</v>
      </c>
      <c r="AA42" t="str">
        <f t="shared" ca="1" si="0"/>
        <v/>
      </c>
    </row>
    <row r="43" spans="1:27" x14ac:dyDescent="0.15">
      <c r="A43" s="22" t="str">
        <f ca="1">"CS"&amp;TEXT(DATE("20"&amp;MID(A42,3,2),RIGHT(A42,2)+2,10),"yymm")</f>
        <v>CS1509</v>
      </c>
      <c r="B43" s="12">
        <f t="shared" ca="1" si="15"/>
        <v>41992</v>
      </c>
      <c r="C43" s="12">
        <f t="shared" ca="1" si="16"/>
        <v>42263</v>
      </c>
      <c r="D43" s="12">
        <f ca="1">IF(CTP=1,WORKDAY(大连商品交易所!D43,-1,Holiday)+1,WORKDAY(大连商品交易所!D43,0-全局参数,Holiday))</f>
        <v>42236</v>
      </c>
      <c r="E43" s="12">
        <f ca="1">IF(CTP=1,WORKDAY(大连商品交易所!E43,-1,Holiday)+1,WORKDAY(大连商品交易所!E43,0-全局参数,Holiday))</f>
        <v>42247</v>
      </c>
      <c r="AA43" t="str">
        <f t="shared" ca="1" si="0"/>
        <v/>
      </c>
    </row>
    <row r="44" spans="1:27" x14ac:dyDescent="0.15">
      <c r="A44" s="21" t="str">
        <f t="shared" ref="A44:A49" ca="1" si="17">"CS"&amp;TEXT(DATE("20"&amp;MID(A43,3,2),RIGHT(A43,2)+2,10),"yymm")</f>
        <v>CS1511</v>
      </c>
      <c r="B44" s="11">
        <f t="shared" ca="1" si="15"/>
        <v>41992</v>
      </c>
      <c r="C44" s="11">
        <f t="shared" ca="1" si="16"/>
        <v>42321</v>
      </c>
      <c r="D44" s="11">
        <f ca="1">IF(CTP=1,WORKDAY(大连商品交易所!D44,-1,Holiday)+1,WORKDAY(大连商品交易所!D44,0-全局参数,Holiday))</f>
        <v>42304</v>
      </c>
      <c r="E44" s="11">
        <f ca="1">IF(CTP=1,WORKDAY(大连商品交易所!E44,-1,Holiday)+1,WORKDAY(大连商品交易所!E44,0-全局参数,Holiday))</f>
        <v>42307</v>
      </c>
      <c r="AA44" t="str">
        <f t="shared" ca="1" si="0"/>
        <v/>
      </c>
    </row>
    <row r="45" spans="1:27" x14ac:dyDescent="0.15">
      <c r="A45" s="22" t="str">
        <f t="shared" ca="1" si="17"/>
        <v>CS1601</v>
      </c>
      <c r="B45" s="12">
        <f t="shared" ca="1" si="15"/>
        <v>42023</v>
      </c>
      <c r="C45" s="12">
        <f t="shared" ca="1" si="16"/>
        <v>42383</v>
      </c>
      <c r="D45" s="12">
        <f ca="1">IF(CTP=1,WORKDAY(大连商品交易所!D45,-1,Holiday)+1,WORKDAY(大连商品交易所!D45,0-全局参数,Holiday))</f>
        <v>42356</v>
      </c>
      <c r="E45" s="12">
        <f ca="1">IF(CTP=1,WORKDAY(大连商品交易所!E45,-1,Holiday)+1,WORKDAY(大连商品交易所!E45,0-全局参数,Holiday))</f>
        <v>42369</v>
      </c>
      <c r="AA45" t="str">
        <f t="shared" ca="1" si="0"/>
        <v/>
      </c>
    </row>
    <row r="46" spans="1:27" x14ac:dyDescent="0.15">
      <c r="A46" s="21" t="str">
        <f t="shared" ca="1" si="17"/>
        <v>CS1603</v>
      </c>
      <c r="B46" s="11">
        <f t="shared" ca="1" si="15"/>
        <v>42079</v>
      </c>
      <c r="C46" s="11">
        <f t="shared" ca="1" si="16"/>
        <v>42443</v>
      </c>
      <c r="D46" s="11">
        <f ca="1">IF(CTP=1,WORKDAY(大连商品交易所!D46,-1,Holiday)+1,WORKDAY(大连商品交易所!D46,0-全局参数,Holiday))</f>
        <v>42418</v>
      </c>
      <c r="E46" s="11">
        <f ca="1">IF(CTP=1,WORKDAY(大连商品交易所!E46,-1,Holiday)+1,WORKDAY(大连商品交易所!E46,0-全局参数,Holiday))</f>
        <v>42429</v>
      </c>
      <c r="AA46" t="str">
        <f t="shared" ca="1" si="0"/>
        <v/>
      </c>
    </row>
    <row r="47" spans="1:27" x14ac:dyDescent="0.15">
      <c r="A47" s="22" t="str">
        <f t="shared" ca="1" si="17"/>
        <v>CS1605</v>
      </c>
      <c r="B47" s="12">
        <f t="shared" ca="1" si="15"/>
        <v>42142</v>
      </c>
      <c r="C47" s="12">
        <f t="shared" ca="1" si="16"/>
        <v>42503</v>
      </c>
      <c r="D47" s="12">
        <f ca="1">IF(CTP=1,WORKDAY(大连商品交易所!D47,-1,Holiday)+1,WORKDAY(大连商品交易所!D47,0-全局参数,Holiday))</f>
        <v>42480</v>
      </c>
      <c r="E47" s="12">
        <f ca="1">IF(CTP=1,WORKDAY(大连商品交易所!E47,-1,Holiday)+1,WORKDAY(大连商品交易所!E47,0-全局参数,Holiday))</f>
        <v>42489</v>
      </c>
      <c r="AA47" t="str">
        <f t="shared" ca="1" si="0"/>
        <v/>
      </c>
    </row>
    <row r="48" spans="1:27" x14ac:dyDescent="0.15">
      <c r="A48" s="21" t="str">
        <f t="shared" ca="1" si="17"/>
        <v>CS1607</v>
      </c>
      <c r="B48" s="11">
        <f t="shared" ca="1" si="15"/>
        <v>42200</v>
      </c>
      <c r="C48" s="11">
        <f t="shared" ca="1" si="16"/>
        <v>42565</v>
      </c>
      <c r="D48" s="11">
        <f ca="1">IF(CTP=1,WORKDAY(大连商品交易所!D48,-1,Holiday)+1,WORKDAY(大连商品交易所!D48,0-全局参数,Holiday))</f>
        <v>42541</v>
      </c>
      <c r="E48" s="11">
        <f ca="1">IF(CTP=1,WORKDAY(大连商品交易所!E48,-1,Holiday)+1,WORKDAY(大连商品交易所!E48,0-全局参数,Holiday))</f>
        <v>42551</v>
      </c>
      <c r="AA48">
        <f t="shared" ca="1" si="0"/>
        <v>48</v>
      </c>
    </row>
    <row r="49" spans="1:27" x14ac:dyDescent="0.15">
      <c r="A49" s="22" t="str">
        <f t="shared" ca="1" si="17"/>
        <v>CS1609</v>
      </c>
      <c r="B49" s="12">
        <f t="shared" ca="1" si="15"/>
        <v>42264</v>
      </c>
      <c r="C49" s="12">
        <f t="shared" ca="1" si="16"/>
        <v>42627</v>
      </c>
      <c r="D49" s="12">
        <f ca="1">IF(CTP=1,WORKDAY(大连商品交易所!D49,-1,Holiday)+1,WORKDAY(大连商品交易所!D49,0-全局参数,Holiday))</f>
        <v>42600</v>
      </c>
      <c r="E49" s="12">
        <f ca="1">IF(CTP=1,WORKDAY(大连商品交易所!E49,-1,Holiday)+1,WORKDAY(大连商品交易所!E49,0-全局参数,Holiday))</f>
        <v>42613</v>
      </c>
      <c r="AA49" t="str">
        <f t="shared" ca="1" si="0"/>
        <v/>
      </c>
    </row>
    <row r="50" spans="1:27" x14ac:dyDescent="0.15">
      <c r="D50" s="8"/>
      <c r="E50" s="8"/>
      <c r="AA50" t="str">
        <f t="shared" ca="1" si="0"/>
        <v/>
      </c>
    </row>
    <row r="51" spans="1:27" x14ac:dyDescent="0.15">
      <c r="D51" s="8"/>
      <c r="E51" s="8"/>
      <c r="AA51" t="str">
        <f t="shared" ca="1" si="0"/>
        <v/>
      </c>
    </row>
    <row r="52" spans="1:27" ht="16.5" customHeight="1" x14ac:dyDescent="0.15">
      <c r="A52" s="48" t="str">
        <f>"棕榈油P"&amp;TEXT(棕榈油P,"#%")</f>
        <v>棕榈油P5%</v>
      </c>
      <c r="B52" s="49"/>
      <c r="C52" s="49"/>
      <c r="D52" s="49"/>
      <c r="E52" s="50"/>
      <c r="AA52" t="str">
        <f t="shared" ca="1" si="0"/>
        <v/>
      </c>
    </row>
    <row r="53" spans="1:27" ht="17.25" thickBot="1" x14ac:dyDescent="0.2">
      <c r="A53" s="20"/>
      <c r="B53" s="31" t="s">
        <v>48</v>
      </c>
      <c r="C53" s="9" t="s">
        <v>1</v>
      </c>
      <c r="D53" s="10">
        <v>0.1</v>
      </c>
      <c r="E53" s="10">
        <v>0.2</v>
      </c>
      <c r="AA53" t="str">
        <f t="shared" ca="1" si="0"/>
        <v/>
      </c>
    </row>
    <row r="54" spans="1:27" x14ac:dyDescent="0.15">
      <c r="A54" s="21" t="str">
        <f ca="1">"P"&amp;TEXT(IF(TODAY()&gt;WORKDAY(DATE(YEAR(TODAY()),MONTH(TODAY()),0),10,Holiday),DATE(YEAR(TODAY()),MONTH(TODAY())+1,10),DATE(YEAR(TODAY()),MONTH(TODAY()),10)),"yymm")</f>
        <v>P1507</v>
      </c>
      <c r="B54" s="11">
        <f t="shared" ref="B54:B67" ca="1" si="18">WORKDAY(WORKDAY(DATE("20"&amp;MID(A54,2,2),RIGHT(A54,2)-12,0),10,Holiday),1,Holiday)</f>
        <v>41835</v>
      </c>
      <c r="C54" s="11">
        <f t="shared" ref="C54:C65" ca="1" si="19">WORKDAY(DATE("20"&amp;MID(A54,2,2),RIGHT(A54,2),0),10,Holiday)</f>
        <v>42199</v>
      </c>
      <c r="D54" s="11">
        <f ca="1">IF(CTP=1,WORKDAY(大连商品交易所!D54,-1,Holiday)+1,WORKDAY(大连商品交易所!D54,0-全局参数,Holiday))</f>
        <v>42173</v>
      </c>
      <c r="E54" s="11">
        <f ca="1">IF(CTP=1,WORKDAY(大连商品交易所!E54,-1,Holiday)+1,WORKDAY(大连商品交易所!E54,0-全局参数,Holiday))</f>
        <v>42185</v>
      </c>
      <c r="AA54" t="str">
        <f t="shared" ca="1" si="0"/>
        <v/>
      </c>
    </row>
    <row r="55" spans="1:27" x14ac:dyDescent="0.15">
      <c r="A55" s="22" t="str">
        <f ca="1">"P"&amp;TEXT(DATE("20"&amp;MID(A54,LEN(A54)-3,2),RIGHT(A54,2)+1,"10"),"yymm")</f>
        <v>P1508</v>
      </c>
      <c r="B55" s="12">
        <f t="shared" ca="1" si="18"/>
        <v>41866</v>
      </c>
      <c r="C55" s="12">
        <f t="shared" ca="1" si="19"/>
        <v>42230</v>
      </c>
      <c r="D55" s="12">
        <f ca="1">IF(CTP=1,WORKDAY(大连商品交易所!D55,-1,Holiday)+1,WORKDAY(大连商品交易所!D55,0-全局参数,Holiday))</f>
        <v>42205</v>
      </c>
      <c r="E55" s="12">
        <f ca="1">IF(CTP=1,WORKDAY(大连商品交易所!E55,-1,Holiday)+1,WORKDAY(大连商品交易所!E55,0-全局参数,Holiday))</f>
        <v>42216</v>
      </c>
      <c r="AA55" t="str">
        <f t="shared" ca="1" si="0"/>
        <v/>
      </c>
    </row>
    <row r="56" spans="1:27" x14ac:dyDescent="0.15">
      <c r="A56" s="21" t="str">
        <f ca="1">"P"&amp;TEXT(DATE("20"&amp;MID(A55,LEN(A55)-3,2),RIGHT(A55,2)+1,"10"),"yymm")</f>
        <v>P1509</v>
      </c>
      <c r="B56" s="11">
        <f t="shared" ca="1" si="18"/>
        <v>41898</v>
      </c>
      <c r="C56" s="11">
        <f t="shared" ca="1" si="19"/>
        <v>42263</v>
      </c>
      <c r="D56" s="11">
        <f ca="1">IF(CTP=1,WORKDAY(大连商品交易所!D56,-1,Holiday)+1,WORKDAY(大连商品交易所!D56,0-全局参数,Holiday))</f>
        <v>42236</v>
      </c>
      <c r="E56" s="11">
        <f ca="1">IF(CTP=1,WORKDAY(大连商品交易所!E56,-1,Holiday)+1,WORKDAY(大连商品交易所!E56,0-全局参数,Holiday))</f>
        <v>42247</v>
      </c>
      <c r="AA56" t="str">
        <f t="shared" ca="1" si="0"/>
        <v/>
      </c>
    </row>
    <row r="57" spans="1:27" x14ac:dyDescent="0.15">
      <c r="A57" s="22" t="str">
        <f ca="1">"P"&amp;TEXT(DATE("20"&amp;MID(A56,LEN(A56)-3,2),RIGHT(A56,2)+1,"10"),"yymm")</f>
        <v>P1510</v>
      </c>
      <c r="B57" s="12">
        <f t="shared" ca="1" si="18"/>
        <v>41934</v>
      </c>
      <c r="C57" s="12">
        <f t="shared" ca="1" si="19"/>
        <v>42298</v>
      </c>
      <c r="D57" s="12">
        <f ca="1">IF(CTP=1,WORKDAY(大连商品交易所!D57,-1,Holiday)+1,WORKDAY(大连商品交易所!D57,0-全局参数,Holiday))</f>
        <v>42269</v>
      </c>
      <c r="E57" s="12">
        <f ca="1">IF(CTP=1,WORKDAY(大连商品交易所!E57,-1,Holiday)+1,WORKDAY(大连商品交易所!E57,0-全局参数,Holiday))</f>
        <v>42277</v>
      </c>
      <c r="AA57" t="str">
        <f t="shared" ca="1" si="0"/>
        <v/>
      </c>
    </row>
    <row r="58" spans="1:27" x14ac:dyDescent="0.15">
      <c r="A58" s="21" t="str">
        <f ca="1">"P"&amp;TEXT(DATE("20"&amp;MID(A57,LEN(A57)-3,2),RIGHT(A57,2)+1,"10"),"yymm")</f>
        <v>P1511</v>
      </c>
      <c r="B58" s="11">
        <f t="shared" ca="1" si="18"/>
        <v>41960</v>
      </c>
      <c r="C58" s="11">
        <f t="shared" ca="1" si="19"/>
        <v>42321</v>
      </c>
      <c r="D58" s="11">
        <f ca="1">IF(CTP=1,WORKDAY(大连商品交易所!D58,-1,Holiday)+1,WORKDAY(大连商品交易所!D58,0-全局参数,Holiday))</f>
        <v>42304</v>
      </c>
      <c r="E58" s="11">
        <f ca="1">IF(CTP=1,WORKDAY(大连商品交易所!E58,-1,Holiday)+1,WORKDAY(大连商品交易所!E58,0-全局参数,Holiday))</f>
        <v>42307</v>
      </c>
      <c r="AA58" t="str">
        <f t="shared" ca="1" si="0"/>
        <v/>
      </c>
    </row>
    <row r="59" spans="1:27" x14ac:dyDescent="0.15">
      <c r="A59" s="22" t="str">
        <f t="shared" ref="A59:A67" ca="1" si="20">"P"&amp;TEXT(DATE("20"&amp;MID(A58,LEN(A58)-3,2),RIGHT(A58,2)+1,"10"),"yymm")</f>
        <v>P1512</v>
      </c>
      <c r="B59" s="12">
        <f t="shared" ca="1" si="18"/>
        <v>41988</v>
      </c>
      <c r="C59" s="12">
        <f t="shared" ca="1" si="19"/>
        <v>42352</v>
      </c>
      <c r="D59" s="12">
        <f ca="1">IF(CTP=1,WORKDAY(大连商品交易所!D59,-1,Holiday)+1,WORKDAY(大连商品交易所!D59,0-全局参数,Holiday))</f>
        <v>42327</v>
      </c>
      <c r="E59" s="12">
        <f ca="1">IF(CTP=1,WORKDAY(大连商品交易所!E59,-1,Holiday)+1,WORKDAY(大连商品交易所!E59,0-全局参数,Holiday))</f>
        <v>42338</v>
      </c>
      <c r="AA59" t="str">
        <f t="shared" ca="1" si="0"/>
        <v/>
      </c>
    </row>
    <row r="60" spans="1:27" x14ac:dyDescent="0.15">
      <c r="A60" s="21" t="str">
        <f t="shared" ca="1" si="20"/>
        <v>P1601</v>
      </c>
      <c r="B60" s="11">
        <f t="shared" ca="1" si="18"/>
        <v>42023</v>
      </c>
      <c r="C60" s="11">
        <f t="shared" ca="1" si="19"/>
        <v>42383</v>
      </c>
      <c r="D60" s="11">
        <f ca="1">IF(CTP=1,WORKDAY(大连商品交易所!D60,-1,Holiday)+1,WORKDAY(大连商品交易所!D60,0-全局参数,Holiday))</f>
        <v>42356</v>
      </c>
      <c r="E60" s="11">
        <f ca="1">IF(CTP=1,WORKDAY(大连商品交易所!E60,-1,Holiday)+1,WORKDAY(大连商品交易所!E60,0-全局参数,Holiday))</f>
        <v>42369</v>
      </c>
      <c r="AA60" t="str">
        <f t="shared" ca="1" si="0"/>
        <v/>
      </c>
    </row>
    <row r="61" spans="1:27" x14ac:dyDescent="0.15">
      <c r="A61" s="22" t="str">
        <f t="shared" ca="1" si="20"/>
        <v>P1602</v>
      </c>
      <c r="B61" s="12">
        <f t="shared" ca="1" si="18"/>
        <v>42051</v>
      </c>
      <c r="C61" s="12">
        <f t="shared" ca="1" si="19"/>
        <v>42412</v>
      </c>
      <c r="D61" s="12">
        <f ca="1">IF(CTP=1,WORKDAY(大连商品交易所!D61,-1,Holiday)+1,WORKDAY(大连商品交易所!D61,0-全局参数,Holiday))</f>
        <v>42389</v>
      </c>
      <c r="E61" s="12">
        <f ca="1">IF(CTP=1,WORKDAY(大连商品交易所!E61,-1,Holiday)+1,WORKDAY(大连商品交易所!E61,0-全局参数,Holiday))</f>
        <v>42398</v>
      </c>
      <c r="AA61" t="str">
        <f t="shared" ca="1" si="0"/>
        <v/>
      </c>
    </row>
    <row r="62" spans="1:27" x14ac:dyDescent="0.15">
      <c r="A62" s="21" t="str">
        <f t="shared" ca="1" si="20"/>
        <v>P1603</v>
      </c>
      <c r="B62" s="11">
        <f t="shared" ca="1" si="18"/>
        <v>42079</v>
      </c>
      <c r="C62" s="11">
        <f t="shared" ca="1" si="19"/>
        <v>42443</v>
      </c>
      <c r="D62" s="11">
        <f ca="1">IF(CTP=1,WORKDAY(大连商品交易所!D62,-1,Holiday)+1,WORKDAY(大连商品交易所!D62,0-全局参数,Holiday))</f>
        <v>42418</v>
      </c>
      <c r="E62" s="11">
        <f ca="1">IF(CTP=1,WORKDAY(大连商品交易所!E62,-1,Holiday)+1,WORKDAY(大连商品交易所!E62,0-全局参数,Holiday))</f>
        <v>42429</v>
      </c>
      <c r="AA62" t="str">
        <f t="shared" ca="1" si="0"/>
        <v/>
      </c>
    </row>
    <row r="63" spans="1:27" x14ac:dyDescent="0.15">
      <c r="A63" s="22" t="str">
        <f t="shared" ca="1" si="20"/>
        <v>P1604</v>
      </c>
      <c r="B63" s="12">
        <f t="shared" ca="1" si="18"/>
        <v>42110</v>
      </c>
      <c r="C63" s="12">
        <f t="shared" ca="1" si="19"/>
        <v>42474</v>
      </c>
      <c r="D63" s="12">
        <f ca="1">IF(CTP=1,WORKDAY(大连商品交易所!D63,-1,Holiday)+1,WORKDAY(大连商品交易所!D63,0-全局参数,Holiday))</f>
        <v>42447</v>
      </c>
      <c r="E63" s="12">
        <f ca="1">IF(CTP=1,WORKDAY(大连商品交易所!E63,-1,Holiday)+1,WORKDAY(大连商品交易所!E63,0-全局参数,Holiday))</f>
        <v>42460</v>
      </c>
      <c r="AA63" t="str">
        <f t="shared" ca="1" si="0"/>
        <v/>
      </c>
    </row>
    <row r="64" spans="1:27" x14ac:dyDescent="0.15">
      <c r="A64" s="21" t="str">
        <f t="shared" ca="1" si="20"/>
        <v>P1605</v>
      </c>
      <c r="B64" s="11">
        <f t="shared" ca="1" si="18"/>
        <v>42142</v>
      </c>
      <c r="C64" s="11">
        <f t="shared" ca="1" si="19"/>
        <v>42503</v>
      </c>
      <c r="D64" s="11">
        <f ca="1">IF(CTP=1,WORKDAY(大连商品交易所!D64,-1,Holiday)+1,WORKDAY(大连商品交易所!D64,0-全局参数,Holiday))</f>
        <v>42480</v>
      </c>
      <c r="E64" s="11">
        <f ca="1">IF(CTP=1,WORKDAY(大连商品交易所!E64,-1,Holiday)+1,WORKDAY(大连商品交易所!E64,0-全局参数,Holiday))</f>
        <v>42489</v>
      </c>
      <c r="AA64" t="str">
        <f t="shared" ca="1" si="0"/>
        <v/>
      </c>
    </row>
    <row r="65" spans="1:27" x14ac:dyDescent="0.15">
      <c r="A65" s="22" t="str">
        <f t="shared" ca="1" si="20"/>
        <v>P1606</v>
      </c>
      <c r="B65" s="12">
        <f t="shared" ca="1" si="18"/>
        <v>42170</v>
      </c>
      <c r="C65" s="12">
        <f t="shared" ca="1" si="19"/>
        <v>42535</v>
      </c>
      <c r="D65" s="12">
        <f ca="1">IF(CTP=1,WORKDAY(大连商品交易所!D65,-1,Holiday)+1,WORKDAY(大连商品交易所!D65,0-全局参数,Holiday))</f>
        <v>42509</v>
      </c>
      <c r="E65" s="12">
        <f ca="1">IF(CTP=1,WORKDAY(大连商品交易所!E65,-1,Holiday)+1,WORKDAY(大连商品交易所!E65,0-全局参数,Holiday))</f>
        <v>42521</v>
      </c>
      <c r="AA65" t="str">
        <f t="shared" ca="1" si="0"/>
        <v/>
      </c>
    </row>
    <row r="66" spans="1:27" x14ac:dyDescent="0.15">
      <c r="A66" s="21" t="str">
        <f t="shared" ca="1" si="20"/>
        <v>P1607</v>
      </c>
      <c r="B66" s="11">
        <f t="shared" ca="1" si="18"/>
        <v>42200</v>
      </c>
      <c r="C66" s="11">
        <f t="shared" ref="C66:C67" ca="1" si="21">WORKDAY(DATE("20"&amp;MID(A66,2,2),RIGHT(A66,2),0),10,Holiday)</f>
        <v>42565</v>
      </c>
      <c r="D66" s="11">
        <f ca="1">IF(CTP=1,WORKDAY(大连商品交易所!D66,-1,Holiday)+1,WORKDAY(大连商品交易所!D66,0-全局参数,Holiday))</f>
        <v>42541</v>
      </c>
      <c r="E66" s="11">
        <f ca="1">IF(CTP=1,WORKDAY(大连商品交易所!E66,-1,Holiday)+1,WORKDAY(大连商品交易所!E66,0-全局参数,Holiday))</f>
        <v>42551</v>
      </c>
      <c r="AA66">
        <f t="shared" ref="AA66:AA129" ca="1" si="22">IFERROR(IF(AND(B66+0&gt;TODAY(),B66+0&lt;DATE(YEAR(TODAY()),MONTH(TODAY())+1,DAY(TODAY()))),ROW(),""),"")</f>
        <v>66</v>
      </c>
    </row>
    <row r="67" spans="1:27" x14ac:dyDescent="0.15">
      <c r="A67" s="22" t="str">
        <f t="shared" ca="1" si="20"/>
        <v>P1608</v>
      </c>
      <c r="B67" s="12">
        <f t="shared" ca="1" si="18"/>
        <v>42233</v>
      </c>
      <c r="C67" s="12">
        <f t="shared" ca="1" si="21"/>
        <v>42594</v>
      </c>
      <c r="D67" s="12">
        <f ca="1">IF(CTP=1,WORKDAY(大连商品交易所!D67,-1,Holiday)+1,WORKDAY(大连商品交易所!D67,0-全局参数,Holiday))</f>
        <v>42571</v>
      </c>
      <c r="E67" s="12">
        <f ca="1">IF(CTP=1,WORKDAY(大连商品交易所!E67,-1,Holiday)+1,WORKDAY(大连商品交易所!E67,0-全局参数,Holiday))</f>
        <v>42580</v>
      </c>
      <c r="AA67" t="str">
        <f t="shared" ca="1" si="22"/>
        <v/>
      </c>
    </row>
    <row r="68" spans="1:27" x14ac:dyDescent="0.15">
      <c r="A68" s="23"/>
      <c r="B68" s="23"/>
      <c r="C68" s="15"/>
      <c r="D68" s="15"/>
      <c r="E68" s="15"/>
      <c r="AA68" t="str">
        <f t="shared" ca="1" si="22"/>
        <v/>
      </c>
    </row>
    <row r="69" spans="1:27" x14ac:dyDescent="0.15">
      <c r="A69" s="23"/>
      <c r="B69" s="23"/>
      <c r="C69" s="15"/>
      <c r="D69" s="15"/>
      <c r="E69" s="15"/>
      <c r="AA69" t="str">
        <f t="shared" ca="1" si="22"/>
        <v/>
      </c>
    </row>
    <row r="70" spans="1:27" x14ac:dyDescent="0.15">
      <c r="A70" s="48" t="str">
        <f>"线型低密度聚乙烯L"&amp;TEXT(聚乙烯L,"#%")</f>
        <v>线型低密度聚乙烯L5%</v>
      </c>
      <c r="B70" s="49"/>
      <c r="C70" s="49"/>
      <c r="D70" s="49"/>
      <c r="E70" s="50"/>
      <c r="AA70" t="str">
        <f t="shared" ca="1" si="22"/>
        <v/>
      </c>
    </row>
    <row r="71" spans="1:27" ht="17.25" thickBot="1" x14ac:dyDescent="0.2">
      <c r="A71" s="20"/>
      <c r="B71" s="31" t="s">
        <v>48</v>
      </c>
      <c r="C71" s="13" t="s">
        <v>1</v>
      </c>
      <c r="D71" s="10">
        <v>0.1</v>
      </c>
      <c r="E71" s="10">
        <v>0.2</v>
      </c>
      <c r="AA71" t="str">
        <f t="shared" ca="1" si="22"/>
        <v/>
      </c>
    </row>
    <row r="72" spans="1:27" x14ac:dyDescent="0.15">
      <c r="A72" s="21" t="str">
        <f ca="1">"L"&amp;TEXT(IF(TODAY()&gt;WORKDAY(DATE(YEAR(TODAY()),MONTH(TODAY()),0),10,Holiday),DATE(YEAR(TODAY()),MONTH(TODAY())+1,10),DATE(YEAR(TODAY()),MONTH(TODAY()),10)),"yymm")</f>
        <v>L1507</v>
      </c>
      <c r="B72" s="11">
        <f t="shared" ref="B72:B85" ca="1" si="23">WORKDAY(WORKDAY(DATE("20"&amp;MID(A72,2,2),RIGHT(A72,2)-12,0),10,Holiday),1,Holiday)</f>
        <v>41835</v>
      </c>
      <c r="C72" s="11">
        <f t="shared" ref="C72:C83" ca="1" si="24">WORKDAY(DATE("20"&amp;MID(A72,2,2),RIGHT(A72,2),0),10,Holiday)</f>
        <v>42199</v>
      </c>
      <c r="D72" s="11">
        <f ca="1">IF(CTP=1,WORKDAY(大连商品交易所!D72,-1,Holiday)+1,WORKDAY(大连商品交易所!D72,0-全局参数,Holiday))</f>
        <v>42173</v>
      </c>
      <c r="E72" s="11">
        <f ca="1">IF(CTP=1,WORKDAY(大连商品交易所!E72,-1,Holiday)+1,WORKDAY(大连商品交易所!E72,0-全局参数,Holiday))</f>
        <v>42185</v>
      </c>
      <c r="AA72" t="str">
        <f t="shared" ca="1" si="22"/>
        <v/>
      </c>
    </row>
    <row r="73" spans="1:27" x14ac:dyDescent="0.15">
      <c r="A73" s="22" t="str">
        <f t="shared" ref="A73:A85" ca="1" si="25">"L"&amp;TEXT(DATE("20"&amp;MID(A72,LEN(A72)-3,2),RIGHT(A72,2)+1,"10"),"yymm")</f>
        <v>L1508</v>
      </c>
      <c r="B73" s="12">
        <f t="shared" ca="1" si="23"/>
        <v>41866</v>
      </c>
      <c r="C73" s="12">
        <f t="shared" ca="1" si="24"/>
        <v>42230</v>
      </c>
      <c r="D73" s="12">
        <f ca="1">IF(CTP=1,WORKDAY(大连商品交易所!D73,-1,Holiday)+1,WORKDAY(大连商品交易所!D73,0-全局参数,Holiday))</f>
        <v>42205</v>
      </c>
      <c r="E73" s="12">
        <f ca="1">IF(CTP=1,WORKDAY(大连商品交易所!E73,-1,Holiday)+1,WORKDAY(大连商品交易所!E73,0-全局参数,Holiday))</f>
        <v>42216</v>
      </c>
      <c r="AA73" t="str">
        <f t="shared" ca="1" si="22"/>
        <v/>
      </c>
    </row>
    <row r="74" spans="1:27" x14ac:dyDescent="0.15">
      <c r="A74" s="21" t="str">
        <f t="shared" ca="1" si="25"/>
        <v>L1509</v>
      </c>
      <c r="B74" s="11">
        <f t="shared" ca="1" si="23"/>
        <v>41898</v>
      </c>
      <c r="C74" s="11">
        <f t="shared" ca="1" si="24"/>
        <v>42263</v>
      </c>
      <c r="D74" s="11">
        <f ca="1">IF(CTP=1,WORKDAY(大连商品交易所!D74,-1,Holiday)+1,WORKDAY(大连商品交易所!D74,0-全局参数,Holiday))</f>
        <v>42236</v>
      </c>
      <c r="E74" s="11">
        <f ca="1">IF(CTP=1,WORKDAY(大连商品交易所!E74,-1,Holiday)+1,WORKDAY(大连商品交易所!E74,0-全局参数,Holiday))</f>
        <v>42247</v>
      </c>
      <c r="AA74" t="str">
        <f t="shared" ca="1" si="22"/>
        <v/>
      </c>
    </row>
    <row r="75" spans="1:27" x14ac:dyDescent="0.15">
      <c r="A75" s="22" t="str">
        <f t="shared" ca="1" si="25"/>
        <v>L1510</v>
      </c>
      <c r="B75" s="12">
        <f t="shared" ca="1" si="23"/>
        <v>41934</v>
      </c>
      <c r="C75" s="12">
        <f t="shared" ca="1" si="24"/>
        <v>42298</v>
      </c>
      <c r="D75" s="12">
        <f ca="1">IF(CTP=1,WORKDAY(大连商品交易所!D75,-1,Holiday)+1,WORKDAY(大连商品交易所!D75,0-全局参数,Holiday))</f>
        <v>42269</v>
      </c>
      <c r="E75" s="12">
        <f ca="1">IF(CTP=1,WORKDAY(大连商品交易所!E75,-1,Holiday)+1,WORKDAY(大连商品交易所!E75,0-全局参数,Holiday))</f>
        <v>42277</v>
      </c>
      <c r="AA75" t="str">
        <f t="shared" ca="1" si="22"/>
        <v/>
      </c>
    </row>
    <row r="76" spans="1:27" x14ac:dyDescent="0.15">
      <c r="A76" s="21" t="str">
        <f t="shared" ca="1" si="25"/>
        <v>L1511</v>
      </c>
      <c r="B76" s="11">
        <f t="shared" ca="1" si="23"/>
        <v>41960</v>
      </c>
      <c r="C76" s="11">
        <f t="shared" ca="1" si="24"/>
        <v>42321</v>
      </c>
      <c r="D76" s="11">
        <f ca="1">IF(CTP=1,WORKDAY(大连商品交易所!D76,-1,Holiday)+1,WORKDAY(大连商品交易所!D76,0-全局参数,Holiday))</f>
        <v>42304</v>
      </c>
      <c r="E76" s="11">
        <f ca="1">IF(CTP=1,WORKDAY(大连商品交易所!E76,-1,Holiday)+1,WORKDAY(大连商品交易所!E76,0-全局参数,Holiday))</f>
        <v>42307</v>
      </c>
      <c r="AA76" t="str">
        <f t="shared" ca="1" si="22"/>
        <v/>
      </c>
    </row>
    <row r="77" spans="1:27" x14ac:dyDescent="0.15">
      <c r="A77" s="22" t="str">
        <f t="shared" ca="1" si="25"/>
        <v>L1512</v>
      </c>
      <c r="B77" s="12">
        <f t="shared" ca="1" si="23"/>
        <v>41988</v>
      </c>
      <c r="C77" s="12">
        <f t="shared" ca="1" si="24"/>
        <v>42352</v>
      </c>
      <c r="D77" s="12">
        <f ca="1">IF(CTP=1,WORKDAY(大连商品交易所!D77,-1,Holiday)+1,WORKDAY(大连商品交易所!D77,0-全局参数,Holiday))</f>
        <v>42327</v>
      </c>
      <c r="E77" s="12">
        <f ca="1">IF(CTP=1,WORKDAY(大连商品交易所!E77,-1,Holiday)+1,WORKDAY(大连商品交易所!E77,0-全局参数,Holiday))</f>
        <v>42338</v>
      </c>
      <c r="AA77" t="str">
        <f t="shared" ca="1" si="22"/>
        <v/>
      </c>
    </row>
    <row r="78" spans="1:27" x14ac:dyDescent="0.15">
      <c r="A78" s="21" t="str">
        <f t="shared" ca="1" si="25"/>
        <v>L1601</v>
      </c>
      <c r="B78" s="11">
        <f t="shared" ca="1" si="23"/>
        <v>42023</v>
      </c>
      <c r="C78" s="11">
        <f t="shared" ca="1" si="24"/>
        <v>42383</v>
      </c>
      <c r="D78" s="11">
        <f ca="1">IF(CTP=1,WORKDAY(大连商品交易所!D78,-1,Holiday)+1,WORKDAY(大连商品交易所!D78,0-全局参数,Holiday))</f>
        <v>42356</v>
      </c>
      <c r="E78" s="11">
        <f ca="1">IF(CTP=1,WORKDAY(大连商品交易所!E78,-1,Holiday)+1,WORKDAY(大连商品交易所!E78,0-全局参数,Holiday))</f>
        <v>42369</v>
      </c>
      <c r="AA78" t="str">
        <f t="shared" ca="1" si="22"/>
        <v/>
      </c>
    </row>
    <row r="79" spans="1:27" x14ac:dyDescent="0.15">
      <c r="A79" s="22" t="str">
        <f t="shared" ca="1" si="25"/>
        <v>L1602</v>
      </c>
      <c r="B79" s="12">
        <f t="shared" ca="1" si="23"/>
        <v>42051</v>
      </c>
      <c r="C79" s="12">
        <f t="shared" ca="1" si="24"/>
        <v>42412</v>
      </c>
      <c r="D79" s="12">
        <f ca="1">IF(CTP=1,WORKDAY(大连商品交易所!D79,-1,Holiday)+1,WORKDAY(大连商品交易所!D79,0-全局参数,Holiday))</f>
        <v>42389</v>
      </c>
      <c r="E79" s="12">
        <f ca="1">IF(CTP=1,WORKDAY(大连商品交易所!E79,-1,Holiday)+1,WORKDAY(大连商品交易所!E79,0-全局参数,Holiday))</f>
        <v>42398</v>
      </c>
      <c r="AA79" t="str">
        <f t="shared" ca="1" si="22"/>
        <v/>
      </c>
    </row>
    <row r="80" spans="1:27" x14ac:dyDescent="0.15">
      <c r="A80" s="21" t="str">
        <f t="shared" ca="1" si="25"/>
        <v>L1603</v>
      </c>
      <c r="B80" s="11">
        <f t="shared" ca="1" si="23"/>
        <v>42079</v>
      </c>
      <c r="C80" s="11">
        <f t="shared" ca="1" si="24"/>
        <v>42443</v>
      </c>
      <c r="D80" s="11">
        <f ca="1">IF(CTP=1,WORKDAY(大连商品交易所!D80,-1,Holiday)+1,WORKDAY(大连商品交易所!D80,0-全局参数,Holiday))</f>
        <v>42418</v>
      </c>
      <c r="E80" s="11">
        <f ca="1">IF(CTP=1,WORKDAY(大连商品交易所!E80,-1,Holiday)+1,WORKDAY(大连商品交易所!E80,0-全局参数,Holiday))</f>
        <v>42429</v>
      </c>
      <c r="AA80" t="str">
        <f t="shared" ca="1" si="22"/>
        <v/>
      </c>
    </row>
    <row r="81" spans="1:27" x14ac:dyDescent="0.15">
      <c r="A81" s="22" t="str">
        <f t="shared" ca="1" si="25"/>
        <v>L1604</v>
      </c>
      <c r="B81" s="12">
        <f t="shared" ca="1" si="23"/>
        <v>42110</v>
      </c>
      <c r="C81" s="12">
        <f t="shared" ca="1" si="24"/>
        <v>42474</v>
      </c>
      <c r="D81" s="12">
        <f ca="1">IF(CTP=1,WORKDAY(大连商品交易所!D81,-1,Holiday)+1,WORKDAY(大连商品交易所!D81,0-全局参数,Holiday))</f>
        <v>42447</v>
      </c>
      <c r="E81" s="12">
        <f ca="1">IF(CTP=1,WORKDAY(大连商品交易所!E81,-1,Holiday)+1,WORKDAY(大连商品交易所!E81,0-全局参数,Holiday))</f>
        <v>42460</v>
      </c>
      <c r="AA81" t="str">
        <f t="shared" ca="1" si="22"/>
        <v/>
      </c>
    </row>
    <row r="82" spans="1:27" x14ac:dyDescent="0.15">
      <c r="A82" s="21" t="str">
        <f t="shared" ca="1" si="25"/>
        <v>L1605</v>
      </c>
      <c r="B82" s="11">
        <f t="shared" ca="1" si="23"/>
        <v>42142</v>
      </c>
      <c r="C82" s="11">
        <f t="shared" ca="1" si="24"/>
        <v>42503</v>
      </c>
      <c r="D82" s="11">
        <f ca="1">IF(CTP=1,WORKDAY(大连商品交易所!D82,-1,Holiday)+1,WORKDAY(大连商品交易所!D82,0-全局参数,Holiday))</f>
        <v>42480</v>
      </c>
      <c r="E82" s="11">
        <f ca="1">IF(CTP=1,WORKDAY(大连商品交易所!E82,-1,Holiday)+1,WORKDAY(大连商品交易所!E82,0-全局参数,Holiday))</f>
        <v>42489</v>
      </c>
      <c r="AA82" t="str">
        <f t="shared" ca="1" si="22"/>
        <v/>
      </c>
    </row>
    <row r="83" spans="1:27" x14ac:dyDescent="0.15">
      <c r="A83" s="22" t="str">
        <f t="shared" ca="1" si="25"/>
        <v>L1606</v>
      </c>
      <c r="B83" s="12">
        <f t="shared" ca="1" si="23"/>
        <v>42170</v>
      </c>
      <c r="C83" s="12">
        <f t="shared" ca="1" si="24"/>
        <v>42535</v>
      </c>
      <c r="D83" s="12">
        <f ca="1">IF(CTP=1,WORKDAY(大连商品交易所!D83,-1,Holiday)+1,WORKDAY(大连商品交易所!D83,0-全局参数,Holiday))</f>
        <v>42509</v>
      </c>
      <c r="E83" s="12">
        <f ca="1">IF(CTP=1,WORKDAY(大连商品交易所!E83,-1,Holiday)+1,WORKDAY(大连商品交易所!E83,0-全局参数,Holiday))</f>
        <v>42521</v>
      </c>
      <c r="AA83" t="str">
        <f t="shared" ca="1" si="22"/>
        <v/>
      </c>
    </row>
    <row r="84" spans="1:27" x14ac:dyDescent="0.15">
      <c r="A84" s="21" t="str">
        <f t="shared" ca="1" si="25"/>
        <v>L1607</v>
      </c>
      <c r="B84" s="11">
        <f t="shared" ca="1" si="23"/>
        <v>42200</v>
      </c>
      <c r="C84" s="11">
        <f t="shared" ref="C84:C85" ca="1" si="26">WORKDAY(DATE("20"&amp;MID(A84,2,2),RIGHT(A84,2),0),10,Holiday)</f>
        <v>42565</v>
      </c>
      <c r="D84" s="11">
        <f ca="1">IF(CTP=1,WORKDAY(大连商品交易所!D84,-1,Holiday)+1,WORKDAY(大连商品交易所!D84,0-全局参数,Holiday))</f>
        <v>42541</v>
      </c>
      <c r="E84" s="11">
        <f ca="1">IF(CTP=1,WORKDAY(大连商品交易所!E84,-1,Holiday)+1,WORKDAY(大连商品交易所!E84,0-全局参数,Holiday))</f>
        <v>42551</v>
      </c>
      <c r="AA84">
        <f t="shared" ca="1" si="22"/>
        <v>84</v>
      </c>
    </row>
    <row r="85" spans="1:27" x14ac:dyDescent="0.15">
      <c r="A85" s="22" t="str">
        <f t="shared" ca="1" si="25"/>
        <v>L1608</v>
      </c>
      <c r="B85" s="12">
        <f t="shared" ca="1" si="23"/>
        <v>42233</v>
      </c>
      <c r="C85" s="12">
        <f t="shared" ca="1" si="26"/>
        <v>42594</v>
      </c>
      <c r="D85" s="12">
        <f ca="1">IF(CTP=1,WORKDAY(大连商品交易所!D85,-1,Holiday)+1,WORKDAY(大连商品交易所!D85,0-全局参数,Holiday))</f>
        <v>42571</v>
      </c>
      <c r="E85" s="12">
        <f ca="1">IF(CTP=1,WORKDAY(大连商品交易所!E85,-1,Holiday)+1,WORKDAY(大连商品交易所!E85,0-全局参数,Holiday))</f>
        <v>42580</v>
      </c>
      <c r="AA85" t="str">
        <f t="shared" ca="1" si="22"/>
        <v/>
      </c>
    </row>
    <row r="86" spans="1:27" x14ac:dyDescent="0.15">
      <c r="A86" s="23"/>
      <c r="B86" s="23"/>
      <c r="C86" s="15"/>
      <c r="D86" s="15"/>
      <c r="E86" s="15"/>
      <c r="AA86" t="str">
        <f t="shared" ca="1" si="22"/>
        <v/>
      </c>
    </row>
    <row r="87" spans="1:27" x14ac:dyDescent="0.15">
      <c r="A87" s="23"/>
      <c r="B87" s="23"/>
      <c r="C87" s="15"/>
      <c r="D87" s="15"/>
      <c r="E87" s="15"/>
      <c r="AA87" t="str">
        <f t="shared" ca="1" si="22"/>
        <v/>
      </c>
    </row>
    <row r="88" spans="1:27" x14ac:dyDescent="0.15">
      <c r="A88" s="48" t="str">
        <f>"冶金焦炭J"&amp;TEXT(冶金焦炭J,"#%")</f>
        <v>冶金焦炭J5%</v>
      </c>
      <c r="B88" s="49"/>
      <c r="C88" s="49"/>
      <c r="D88" s="49"/>
      <c r="E88" s="50"/>
      <c r="AA88" t="str">
        <f t="shared" ca="1" si="22"/>
        <v/>
      </c>
    </row>
    <row r="89" spans="1:27" ht="17.25" thickBot="1" x14ac:dyDescent="0.2">
      <c r="A89" s="20"/>
      <c r="B89" s="31" t="s">
        <v>49</v>
      </c>
      <c r="C89" s="13" t="s">
        <v>1</v>
      </c>
      <c r="D89" s="10">
        <v>0.1</v>
      </c>
      <c r="E89" s="10">
        <v>0.2</v>
      </c>
      <c r="AA89" t="str">
        <f t="shared" ca="1" si="22"/>
        <v/>
      </c>
    </row>
    <row r="90" spans="1:27" x14ac:dyDescent="0.15">
      <c r="A90" s="21" t="str">
        <f ca="1">"J"&amp;TEXT(IF(TODAY()&gt;WORKDAY(DATE(YEAR(TODAY()),MONTH(TODAY()),0),10,Holiday),DATE(YEAR(TODAY()),MONTH(TODAY())+1,10),DATE(YEAR(TODAY()),MONTH(TODAY()),10)),"yymm")</f>
        <v>J1507</v>
      </c>
      <c r="B90" s="11">
        <f t="shared" ref="B90:B103" ca="1" si="27">WORKDAY(WORKDAY(DATE("20"&amp;MID(A90,2,2),RIGHT(A90,2)-12,0),10,Holiday),1,Holiday)</f>
        <v>41835</v>
      </c>
      <c r="C90" s="11">
        <f t="shared" ref="C90:C101" ca="1" si="28">WORKDAY(DATE("20"&amp;MID(A90,2,2),RIGHT(A90,2),0),10,Holiday)</f>
        <v>42199</v>
      </c>
      <c r="D90" s="11">
        <f ca="1">IF(CTP=1,WORKDAY(大连商品交易所!D90,-1,Holiday)+1,WORKDAY(大连商品交易所!D90,0-全局参数,Holiday))</f>
        <v>42173</v>
      </c>
      <c r="E90" s="11">
        <f ca="1">IF(CTP=1,WORKDAY(大连商品交易所!E90,-1,Holiday)+1,WORKDAY(大连商品交易所!E90,0-全局参数,Holiday))</f>
        <v>42185</v>
      </c>
      <c r="AA90" t="str">
        <f t="shared" ca="1" si="22"/>
        <v/>
      </c>
    </row>
    <row r="91" spans="1:27" x14ac:dyDescent="0.15">
      <c r="A91" s="22" t="str">
        <f t="shared" ref="A91:A103" ca="1" si="29">"J"&amp;TEXT(DATE("20"&amp;MID(A90,LEN(A90)-3,2),RIGHT(A90,2)+1,"10"),"yymm")</f>
        <v>J1508</v>
      </c>
      <c r="B91" s="12">
        <f t="shared" ca="1" si="27"/>
        <v>41866</v>
      </c>
      <c r="C91" s="12">
        <f t="shared" ca="1" si="28"/>
        <v>42230</v>
      </c>
      <c r="D91" s="12">
        <f ca="1">IF(CTP=1,WORKDAY(大连商品交易所!D91,-1,Holiday)+1,WORKDAY(大连商品交易所!D91,0-全局参数,Holiday))</f>
        <v>42205</v>
      </c>
      <c r="E91" s="12">
        <f ca="1">IF(CTP=1,WORKDAY(大连商品交易所!E91,-1,Holiday)+1,WORKDAY(大连商品交易所!E91,0-全局参数,Holiday))</f>
        <v>42216</v>
      </c>
      <c r="AA91" t="str">
        <f t="shared" ca="1" si="22"/>
        <v/>
      </c>
    </row>
    <row r="92" spans="1:27" x14ac:dyDescent="0.15">
      <c r="A92" s="21" t="str">
        <f t="shared" ca="1" si="29"/>
        <v>J1509</v>
      </c>
      <c r="B92" s="11">
        <f t="shared" ca="1" si="27"/>
        <v>41898</v>
      </c>
      <c r="C92" s="11">
        <f t="shared" ca="1" si="28"/>
        <v>42263</v>
      </c>
      <c r="D92" s="11">
        <f ca="1">IF(CTP=1,WORKDAY(大连商品交易所!D92,-1,Holiday)+1,WORKDAY(大连商品交易所!D92,0-全局参数,Holiday))</f>
        <v>42236</v>
      </c>
      <c r="E92" s="11">
        <f ca="1">IF(CTP=1,WORKDAY(大连商品交易所!E92,-1,Holiday)+1,WORKDAY(大连商品交易所!E92,0-全局参数,Holiday))</f>
        <v>42247</v>
      </c>
      <c r="AA92" t="str">
        <f t="shared" ca="1" si="22"/>
        <v/>
      </c>
    </row>
    <row r="93" spans="1:27" x14ac:dyDescent="0.15">
      <c r="A93" s="22" t="str">
        <f t="shared" ca="1" si="29"/>
        <v>J1510</v>
      </c>
      <c r="B93" s="12">
        <f t="shared" ca="1" si="27"/>
        <v>41934</v>
      </c>
      <c r="C93" s="12">
        <f t="shared" ca="1" si="28"/>
        <v>42298</v>
      </c>
      <c r="D93" s="12">
        <f ca="1">IF(CTP=1,WORKDAY(大连商品交易所!D93,-1,Holiday)+1,WORKDAY(大连商品交易所!D93,0-全局参数,Holiday))</f>
        <v>42269</v>
      </c>
      <c r="E93" s="12">
        <f ca="1">IF(CTP=1,WORKDAY(大连商品交易所!E93,-1,Holiday)+1,WORKDAY(大连商品交易所!E93,0-全局参数,Holiday))</f>
        <v>42277</v>
      </c>
      <c r="AA93" t="str">
        <f t="shared" ca="1" si="22"/>
        <v/>
      </c>
    </row>
    <row r="94" spans="1:27" x14ac:dyDescent="0.15">
      <c r="A94" s="21" t="str">
        <f t="shared" ca="1" si="29"/>
        <v>J1511</v>
      </c>
      <c r="B94" s="11">
        <f t="shared" ca="1" si="27"/>
        <v>41960</v>
      </c>
      <c r="C94" s="11">
        <f t="shared" ca="1" si="28"/>
        <v>42321</v>
      </c>
      <c r="D94" s="11">
        <f ca="1">IF(CTP=1,WORKDAY(大连商品交易所!D94,-1,Holiday)+1,WORKDAY(大连商品交易所!D94,0-全局参数,Holiday))</f>
        <v>42304</v>
      </c>
      <c r="E94" s="11">
        <f ca="1">IF(CTP=1,WORKDAY(大连商品交易所!E94,-1,Holiday)+1,WORKDAY(大连商品交易所!E94,0-全局参数,Holiday))</f>
        <v>42307</v>
      </c>
      <c r="AA94" t="str">
        <f t="shared" ca="1" si="22"/>
        <v/>
      </c>
    </row>
    <row r="95" spans="1:27" x14ac:dyDescent="0.15">
      <c r="A95" s="22" t="str">
        <f t="shared" ca="1" si="29"/>
        <v>J1512</v>
      </c>
      <c r="B95" s="12">
        <f t="shared" ca="1" si="27"/>
        <v>41988</v>
      </c>
      <c r="C95" s="12">
        <f t="shared" ca="1" si="28"/>
        <v>42352</v>
      </c>
      <c r="D95" s="12">
        <f ca="1">IF(CTP=1,WORKDAY(大连商品交易所!D95,-1,Holiday)+1,WORKDAY(大连商品交易所!D95,0-全局参数,Holiday))</f>
        <v>42327</v>
      </c>
      <c r="E95" s="12">
        <f ca="1">IF(CTP=1,WORKDAY(大连商品交易所!E95,-1,Holiday)+1,WORKDAY(大连商品交易所!E95,0-全局参数,Holiday))</f>
        <v>42338</v>
      </c>
      <c r="AA95" t="str">
        <f t="shared" ca="1" si="22"/>
        <v/>
      </c>
    </row>
    <row r="96" spans="1:27" x14ac:dyDescent="0.15">
      <c r="A96" s="21" t="str">
        <f t="shared" ca="1" si="29"/>
        <v>J1601</v>
      </c>
      <c r="B96" s="11">
        <f t="shared" ca="1" si="27"/>
        <v>42023</v>
      </c>
      <c r="C96" s="11">
        <f t="shared" ca="1" si="28"/>
        <v>42383</v>
      </c>
      <c r="D96" s="11">
        <f ca="1">IF(CTP=1,WORKDAY(大连商品交易所!D96,-1,Holiday)+1,WORKDAY(大连商品交易所!D96,0-全局参数,Holiday))</f>
        <v>42356</v>
      </c>
      <c r="E96" s="11">
        <f ca="1">IF(CTP=1,WORKDAY(大连商品交易所!E96,-1,Holiday)+1,WORKDAY(大连商品交易所!E96,0-全局参数,Holiday))</f>
        <v>42369</v>
      </c>
      <c r="AA96" t="str">
        <f t="shared" ca="1" si="22"/>
        <v/>
      </c>
    </row>
    <row r="97" spans="1:27" x14ac:dyDescent="0.15">
      <c r="A97" s="22" t="str">
        <f t="shared" ca="1" si="29"/>
        <v>J1602</v>
      </c>
      <c r="B97" s="12">
        <f t="shared" ca="1" si="27"/>
        <v>42051</v>
      </c>
      <c r="C97" s="12">
        <f t="shared" ca="1" si="28"/>
        <v>42412</v>
      </c>
      <c r="D97" s="12">
        <f ca="1">IF(CTP=1,WORKDAY(大连商品交易所!D97,-1,Holiday)+1,WORKDAY(大连商品交易所!D97,0-全局参数,Holiday))</f>
        <v>42389</v>
      </c>
      <c r="E97" s="12">
        <f ca="1">IF(CTP=1,WORKDAY(大连商品交易所!E97,-1,Holiday)+1,WORKDAY(大连商品交易所!E97,0-全局参数,Holiday))</f>
        <v>42398</v>
      </c>
      <c r="AA97" t="str">
        <f t="shared" ca="1" si="22"/>
        <v/>
      </c>
    </row>
    <row r="98" spans="1:27" x14ac:dyDescent="0.15">
      <c r="A98" s="21" t="str">
        <f t="shared" ca="1" si="29"/>
        <v>J1603</v>
      </c>
      <c r="B98" s="11">
        <f t="shared" ca="1" si="27"/>
        <v>42079</v>
      </c>
      <c r="C98" s="11">
        <f t="shared" ca="1" si="28"/>
        <v>42443</v>
      </c>
      <c r="D98" s="11">
        <f ca="1">IF(CTP=1,WORKDAY(大连商品交易所!D98,-1,Holiday)+1,WORKDAY(大连商品交易所!D98,0-全局参数,Holiday))</f>
        <v>42418</v>
      </c>
      <c r="E98" s="11">
        <f ca="1">IF(CTP=1,WORKDAY(大连商品交易所!E98,-1,Holiday)+1,WORKDAY(大连商品交易所!E98,0-全局参数,Holiday))</f>
        <v>42429</v>
      </c>
      <c r="AA98" t="str">
        <f t="shared" ca="1" si="22"/>
        <v/>
      </c>
    </row>
    <row r="99" spans="1:27" x14ac:dyDescent="0.15">
      <c r="A99" s="22" t="str">
        <f t="shared" ca="1" si="29"/>
        <v>J1604</v>
      </c>
      <c r="B99" s="12">
        <f t="shared" ca="1" si="27"/>
        <v>42110</v>
      </c>
      <c r="C99" s="12">
        <f t="shared" ca="1" si="28"/>
        <v>42474</v>
      </c>
      <c r="D99" s="12">
        <f ca="1">IF(CTP=1,WORKDAY(大连商品交易所!D99,-1,Holiday)+1,WORKDAY(大连商品交易所!D99,0-全局参数,Holiday))</f>
        <v>42447</v>
      </c>
      <c r="E99" s="12">
        <f ca="1">IF(CTP=1,WORKDAY(大连商品交易所!E99,-1,Holiday)+1,WORKDAY(大连商品交易所!E99,0-全局参数,Holiday))</f>
        <v>42460</v>
      </c>
      <c r="AA99" t="str">
        <f t="shared" ca="1" si="22"/>
        <v/>
      </c>
    </row>
    <row r="100" spans="1:27" x14ac:dyDescent="0.15">
      <c r="A100" s="21" t="str">
        <f t="shared" ca="1" si="29"/>
        <v>J1605</v>
      </c>
      <c r="B100" s="11">
        <f t="shared" ca="1" si="27"/>
        <v>42142</v>
      </c>
      <c r="C100" s="11">
        <f t="shared" ca="1" si="28"/>
        <v>42503</v>
      </c>
      <c r="D100" s="11">
        <f ca="1">IF(CTP=1,WORKDAY(大连商品交易所!D100,-1,Holiday)+1,WORKDAY(大连商品交易所!D100,0-全局参数,Holiday))</f>
        <v>42480</v>
      </c>
      <c r="E100" s="11">
        <f ca="1">IF(CTP=1,WORKDAY(大连商品交易所!E100,-1,Holiday)+1,WORKDAY(大连商品交易所!E100,0-全局参数,Holiday))</f>
        <v>42489</v>
      </c>
      <c r="AA100" t="str">
        <f t="shared" ca="1" si="22"/>
        <v/>
      </c>
    </row>
    <row r="101" spans="1:27" x14ac:dyDescent="0.15">
      <c r="A101" s="22" t="str">
        <f t="shared" ca="1" si="29"/>
        <v>J1606</v>
      </c>
      <c r="B101" s="12">
        <f t="shared" ca="1" si="27"/>
        <v>42170</v>
      </c>
      <c r="C101" s="12">
        <f t="shared" ca="1" si="28"/>
        <v>42535</v>
      </c>
      <c r="D101" s="12">
        <f ca="1">IF(CTP=1,WORKDAY(大连商品交易所!D101,-1,Holiday)+1,WORKDAY(大连商品交易所!D101,0-全局参数,Holiday))</f>
        <v>42509</v>
      </c>
      <c r="E101" s="12">
        <f ca="1">IF(CTP=1,WORKDAY(大连商品交易所!E101,-1,Holiday)+1,WORKDAY(大连商品交易所!E101,0-全局参数,Holiday))</f>
        <v>42521</v>
      </c>
      <c r="AA101" t="str">
        <f t="shared" ca="1" si="22"/>
        <v/>
      </c>
    </row>
    <row r="102" spans="1:27" x14ac:dyDescent="0.15">
      <c r="A102" s="21" t="str">
        <f t="shared" ca="1" si="29"/>
        <v>J1607</v>
      </c>
      <c r="B102" s="11">
        <f t="shared" ca="1" si="27"/>
        <v>42200</v>
      </c>
      <c r="C102" s="11">
        <f t="shared" ref="C102:C103" ca="1" si="30">WORKDAY(DATE("20"&amp;MID(A102,2,2),RIGHT(A102,2),0),10,Holiday)</f>
        <v>42565</v>
      </c>
      <c r="D102" s="11">
        <f ca="1">IF(CTP=1,WORKDAY(大连商品交易所!D102,-1,Holiday)+1,WORKDAY(大连商品交易所!D102,0-全局参数,Holiday))</f>
        <v>42541</v>
      </c>
      <c r="E102" s="11">
        <f ca="1">IF(CTP=1,WORKDAY(大连商品交易所!E102,-1,Holiday)+1,WORKDAY(大连商品交易所!E102,0-全局参数,Holiday))</f>
        <v>42551</v>
      </c>
      <c r="AA102">
        <f t="shared" ca="1" si="22"/>
        <v>102</v>
      </c>
    </row>
    <row r="103" spans="1:27" x14ac:dyDescent="0.15">
      <c r="A103" s="22" t="str">
        <f t="shared" ca="1" si="29"/>
        <v>J1608</v>
      </c>
      <c r="B103" s="12">
        <f t="shared" ca="1" si="27"/>
        <v>42233</v>
      </c>
      <c r="C103" s="12">
        <f t="shared" ca="1" si="30"/>
        <v>42594</v>
      </c>
      <c r="D103" s="12">
        <f ca="1">IF(CTP=1,WORKDAY(大连商品交易所!D103,-1,Holiday)+1,WORKDAY(大连商品交易所!D103,0-全局参数,Holiday))</f>
        <v>42571</v>
      </c>
      <c r="E103" s="12">
        <f ca="1">IF(CTP=1,WORKDAY(大连商品交易所!E103,-1,Holiday)+1,WORKDAY(大连商品交易所!E103,0-全局参数,Holiday))</f>
        <v>42580</v>
      </c>
      <c r="AA103" t="str">
        <f t="shared" ca="1" si="22"/>
        <v/>
      </c>
    </row>
    <row r="104" spans="1:27" x14ac:dyDescent="0.15">
      <c r="A104" s="23"/>
      <c r="B104" s="23"/>
      <c r="C104" s="15"/>
      <c r="D104" s="15"/>
      <c r="E104" s="15"/>
      <c r="AA104" t="str">
        <f t="shared" ca="1" si="22"/>
        <v/>
      </c>
    </row>
    <row r="105" spans="1:27" x14ac:dyDescent="0.15">
      <c r="A105" s="23"/>
      <c r="B105" s="23"/>
      <c r="C105" s="15"/>
      <c r="D105" s="15"/>
      <c r="E105" s="15"/>
      <c r="AA105" t="str">
        <f t="shared" ca="1" si="22"/>
        <v/>
      </c>
    </row>
    <row r="106" spans="1:27" x14ac:dyDescent="0.15">
      <c r="A106" s="48" t="str">
        <f>"聚氯乙烯V"&amp;TEXT(聚氯乙烯V,"#%")</f>
        <v>聚氯乙烯V5%</v>
      </c>
      <c r="B106" s="49"/>
      <c r="C106" s="49"/>
      <c r="D106" s="49"/>
      <c r="E106" s="50"/>
      <c r="AA106" t="str">
        <f t="shared" ca="1" si="22"/>
        <v/>
      </c>
    </row>
    <row r="107" spans="1:27" ht="17.25" thickBot="1" x14ac:dyDescent="0.2">
      <c r="A107" s="20"/>
      <c r="B107" s="31" t="s">
        <v>49</v>
      </c>
      <c r="C107" s="13" t="s">
        <v>1</v>
      </c>
      <c r="D107" s="10">
        <v>0.1</v>
      </c>
      <c r="E107" s="10">
        <v>0.2</v>
      </c>
      <c r="AA107" t="str">
        <f t="shared" ca="1" si="22"/>
        <v/>
      </c>
    </row>
    <row r="108" spans="1:27" x14ac:dyDescent="0.15">
      <c r="A108" s="21" t="str">
        <f ca="1">"V"&amp;TEXT(IF(TODAY()&gt;WORKDAY(DATE(YEAR(TODAY()),MONTH(TODAY()),0),10,Holiday),DATE(YEAR(TODAY()),MONTH(TODAY())+1,10),DATE(YEAR(TODAY()),MONTH(TODAY()),10)),"yymm")</f>
        <v>V1507</v>
      </c>
      <c r="B108" s="11">
        <f t="shared" ref="B108:B121" ca="1" si="31">WORKDAY(WORKDAY(DATE("20"&amp;MID(A108,2,2),RIGHT(A108,2)-12,0),10,Holiday),1,Holiday)</f>
        <v>41835</v>
      </c>
      <c r="C108" s="11">
        <f t="shared" ref="C108:C119" ca="1" si="32">WORKDAY(DATE("20"&amp;MID(A108,2,2),RIGHT(A108,2),0),10,Holiday)</f>
        <v>42199</v>
      </c>
      <c r="D108" s="11">
        <f ca="1">IF(CTP=1,WORKDAY(大连商品交易所!D108,-1,Holiday)+1,WORKDAY(大连商品交易所!D108,0-全局参数,Holiday))</f>
        <v>42173</v>
      </c>
      <c r="E108" s="11">
        <f ca="1">IF(CTP=1,WORKDAY(大连商品交易所!E108,-1,Holiday)+1,WORKDAY(大连商品交易所!E108,0-全局参数,Holiday))</f>
        <v>42185</v>
      </c>
      <c r="AA108" t="str">
        <f t="shared" ca="1" si="22"/>
        <v/>
      </c>
    </row>
    <row r="109" spans="1:27" x14ac:dyDescent="0.15">
      <c r="A109" s="22" t="str">
        <f t="shared" ref="A109:A121" ca="1" si="33">"V"&amp;TEXT(DATE("20"&amp;MID(A108,LEN(A108)-3,2),RIGHT(A108,2)+1,"10"),"yymm")</f>
        <v>V1508</v>
      </c>
      <c r="B109" s="12">
        <f t="shared" ca="1" si="31"/>
        <v>41866</v>
      </c>
      <c r="C109" s="12">
        <f t="shared" ca="1" si="32"/>
        <v>42230</v>
      </c>
      <c r="D109" s="12">
        <f ca="1">IF(CTP=1,WORKDAY(大连商品交易所!D109,-1,Holiday)+1,WORKDAY(大连商品交易所!D109,0-全局参数,Holiday))</f>
        <v>42205</v>
      </c>
      <c r="E109" s="12">
        <f ca="1">IF(CTP=1,WORKDAY(大连商品交易所!E109,-1,Holiday)+1,WORKDAY(大连商品交易所!E109,0-全局参数,Holiday))</f>
        <v>42216</v>
      </c>
      <c r="AA109" t="str">
        <f t="shared" ca="1" si="22"/>
        <v/>
      </c>
    </row>
    <row r="110" spans="1:27" x14ac:dyDescent="0.15">
      <c r="A110" s="21" t="str">
        <f t="shared" ca="1" si="33"/>
        <v>V1509</v>
      </c>
      <c r="B110" s="11">
        <f t="shared" ca="1" si="31"/>
        <v>41898</v>
      </c>
      <c r="C110" s="11">
        <f t="shared" ca="1" si="32"/>
        <v>42263</v>
      </c>
      <c r="D110" s="11">
        <f ca="1">IF(CTP=1,WORKDAY(大连商品交易所!D110,-1,Holiday)+1,WORKDAY(大连商品交易所!D110,0-全局参数,Holiday))</f>
        <v>42236</v>
      </c>
      <c r="E110" s="11">
        <f ca="1">IF(CTP=1,WORKDAY(大连商品交易所!E110,-1,Holiday)+1,WORKDAY(大连商品交易所!E110,0-全局参数,Holiday))</f>
        <v>42247</v>
      </c>
      <c r="AA110" t="str">
        <f t="shared" ca="1" si="22"/>
        <v/>
      </c>
    </row>
    <row r="111" spans="1:27" x14ac:dyDescent="0.15">
      <c r="A111" s="22" t="str">
        <f t="shared" ca="1" si="33"/>
        <v>V1510</v>
      </c>
      <c r="B111" s="12">
        <f t="shared" ca="1" si="31"/>
        <v>41934</v>
      </c>
      <c r="C111" s="12">
        <f t="shared" ca="1" si="32"/>
        <v>42298</v>
      </c>
      <c r="D111" s="12">
        <f ca="1">IF(CTP=1,WORKDAY(大连商品交易所!D111,-1,Holiday)+1,WORKDAY(大连商品交易所!D111,0-全局参数,Holiday))</f>
        <v>42269</v>
      </c>
      <c r="E111" s="12">
        <f ca="1">IF(CTP=1,WORKDAY(大连商品交易所!E111,-1,Holiday)+1,WORKDAY(大连商品交易所!E111,0-全局参数,Holiday))</f>
        <v>42277</v>
      </c>
      <c r="AA111" t="str">
        <f t="shared" ca="1" si="22"/>
        <v/>
      </c>
    </row>
    <row r="112" spans="1:27" x14ac:dyDescent="0.15">
      <c r="A112" s="21" t="str">
        <f t="shared" ca="1" si="33"/>
        <v>V1511</v>
      </c>
      <c r="B112" s="11">
        <f t="shared" ca="1" si="31"/>
        <v>41960</v>
      </c>
      <c r="C112" s="11">
        <f t="shared" ca="1" si="32"/>
        <v>42321</v>
      </c>
      <c r="D112" s="11">
        <f ca="1">IF(CTP=1,WORKDAY(大连商品交易所!D112,-1,Holiday)+1,WORKDAY(大连商品交易所!D112,0-全局参数,Holiday))</f>
        <v>42304</v>
      </c>
      <c r="E112" s="11">
        <f ca="1">IF(CTP=1,WORKDAY(大连商品交易所!E112,-1,Holiday)+1,WORKDAY(大连商品交易所!E112,0-全局参数,Holiday))</f>
        <v>42307</v>
      </c>
      <c r="AA112" t="str">
        <f t="shared" ca="1" si="22"/>
        <v/>
      </c>
    </row>
    <row r="113" spans="1:27" x14ac:dyDescent="0.15">
      <c r="A113" s="22" t="str">
        <f t="shared" ca="1" si="33"/>
        <v>V1512</v>
      </c>
      <c r="B113" s="12">
        <f t="shared" ca="1" si="31"/>
        <v>41988</v>
      </c>
      <c r="C113" s="12">
        <f t="shared" ca="1" si="32"/>
        <v>42352</v>
      </c>
      <c r="D113" s="12">
        <f ca="1">IF(CTP=1,WORKDAY(大连商品交易所!D113,-1,Holiday)+1,WORKDAY(大连商品交易所!D113,0-全局参数,Holiday))</f>
        <v>42327</v>
      </c>
      <c r="E113" s="12">
        <f ca="1">IF(CTP=1,WORKDAY(大连商品交易所!E113,-1,Holiday)+1,WORKDAY(大连商品交易所!E113,0-全局参数,Holiday))</f>
        <v>42338</v>
      </c>
      <c r="AA113" t="str">
        <f t="shared" ca="1" si="22"/>
        <v/>
      </c>
    </row>
    <row r="114" spans="1:27" x14ac:dyDescent="0.15">
      <c r="A114" s="21" t="str">
        <f t="shared" ca="1" si="33"/>
        <v>V1601</v>
      </c>
      <c r="B114" s="11">
        <f t="shared" ca="1" si="31"/>
        <v>42023</v>
      </c>
      <c r="C114" s="11">
        <f t="shared" ca="1" si="32"/>
        <v>42383</v>
      </c>
      <c r="D114" s="11">
        <f ca="1">IF(CTP=1,WORKDAY(大连商品交易所!D114,-1,Holiday)+1,WORKDAY(大连商品交易所!D114,0-全局参数,Holiday))</f>
        <v>42356</v>
      </c>
      <c r="E114" s="11">
        <f ca="1">IF(CTP=1,WORKDAY(大连商品交易所!E114,-1,Holiday)+1,WORKDAY(大连商品交易所!E114,0-全局参数,Holiday))</f>
        <v>42369</v>
      </c>
      <c r="AA114" t="str">
        <f t="shared" ca="1" si="22"/>
        <v/>
      </c>
    </row>
    <row r="115" spans="1:27" x14ac:dyDescent="0.15">
      <c r="A115" s="22" t="str">
        <f t="shared" ca="1" si="33"/>
        <v>V1602</v>
      </c>
      <c r="B115" s="12">
        <f t="shared" ca="1" si="31"/>
        <v>42051</v>
      </c>
      <c r="C115" s="12">
        <f t="shared" ca="1" si="32"/>
        <v>42412</v>
      </c>
      <c r="D115" s="12">
        <f ca="1">IF(CTP=1,WORKDAY(大连商品交易所!D115,-1,Holiday)+1,WORKDAY(大连商品交易所!D115,0-全局参数,Holiday))</f>
        <v>42389</v>
      </c>
      <c r="E115" s="12">
        <f ca="1">IF(CTP=1,WORKDAY(大连商品交易所!E115,-1,Holiday)+1,WORKDAY(大连商品交易所!E115,0-全局参数,Holiday))</f>
        <v>42398</v>
      </c>
      <c r="AA115" t="str">
        <f t="shared" ca="1" si="22"/>
        <v/>
      </c>
    </row>
    <row r="116" spans="1:27" x14ac:dyDescent="0.15">
      <c r="A116" s="21" t="str">
        <f t="shared" ca="1" si="33"/>
        <v>V1603</v>
      </c>
      <c r="B116" s="11">
        <f t="shared" ca="1" si="31"/>
        <v>42079</v>
      </c>
      <c r="C116" s="11">
        <f t="shared" ca="1" si="32"/>
        <v>42443</v>
      </c>
      <c r="D116" s="11">
        <f ca="1">IF(CTP=1,WORKDAY(大连商品交易所!D116,-1,Holiday)+1,WORKDAY(大连商品交易所!D116,0-全局参数,Holiday))</f>
        <v>42418</v>
      </c>
      <c r="E116" s="11">
        <f ca="1">IF(CTP=1,WORKDAY(大连商品交易所!E116,-1,Holiday)+1,WORKDAY(大连商品交易所!E116,0-全局参数,Holiday))</f>
        <v>42429</v>
      </c>
      <c r="AA116" t="str">
        <f t="shared" ca="1" si="22"/>
        <v/>
      </c>
    </row>
    <row r="117" spans="1:27" x14ac:dyDescent="0.15">
      <c r="A117" s="22" t="str">
        <f t="shared" ca="1" si="33"/>
        <v>V1604</v>
      </c>
      <c r="B117" s="12">
        <f t="shared" ca="1" si="31"/>
        <v>42110</v>
      </c>
      <c r="C117" s="12">
        <f t="shared" ca="1" si="32"/>
        <v>42474</v>
      </c>
      <c r="D117" s="12">
        <f ca="1">IF(CTP=1,WORKDAY(大连商品交易所!D117,-1,Holiday)+1,WORKDAY(大连商品交易所!D117,0-全局参数,Holiday))</f>
        <v>42447</v>
      </c>
      <c r="E117" s="12">
        <f ca="1">IF(CTP=1,WORKDAY(大连商品交易所!E117,-1,Holiday)+1,WORKDAY(大连商品交易所!E117,0-全局参数,Holiday))</f>
        <v>42460</v>
      </c>
      <c r="AA117" t="str">
        <f t="shared" ca="1" si="22"/>
        <v/>
      </c>
    </row>
    <row r="118" spans="1:27" x14ac:dyDescent="0.15">
      <c r="A118" s="21" t="str">
        <f t="shared" ca="1" si="33"/>
        <v>V1605</v>
      </c>
      <c r="B118" s="11">
        <f t="shared" ca="1" si="31"/>
        <v>42142</v>
      </c>
      <c r="C118" s="11">
        <f t="shared" ca="1" si="32"/>
        <v>42503</v>
      </c>
      <c r="D118" s="11">
        <f ca="1">IF(CTP=1,WORKDAY(大连商品交易所!D118,-1,Holiday)+1,WORKDAY(大连商品交易所!D118,0-全局参数,Holiday))</f>
        <v>42480</v>
      </c>
      <c r="E118" s="11">
        <f ca="1">IF(CTP=1,WORKDAY(大连商品交易所!E118,-1,Holiday)+1,WORKDAY(大连商品交易所!E118,0-全局参数,Holiday))</f>
        <v>42489</v>
      </c>
      <c r="AA118" t="str">
        <f t="shared" ca="1" si="22"/>
        <v/>
      </c>
    </row>
    <row r="119" spans="1:27" x14ac:dyDescent="0.15">
      <c r="A119" s="22" t="str">
        <f t="shared" ca="1" si="33"/>
        <v>V1606</v>
      </c>
      <c r="B119" s="12">
        <f t="shared" ca="1" si="31"/>
        <v>42170</v>
      </c>
      <c r="C119" s="12">
        <f t="shared" ca="1" si="32"/>
        <v>42535</v>
      </c>
      <c r="D119" s="12">
        <f ca="1">IF(CTP=1,WORKDAY(大连商品交易所!D119,-1,Holiday)+1,WORKDAY(大连商品交易所!D119,0-全局参数,Holiday))</f>
        <v>42509</v>
      </c>
      <c r="E119" s="12">
        <f ca="1">IF(CTP=1,WORKDAY(大连商品交易所!E119,-1,Holiday)+1,WORKDAY(大连商品交易所!E119,0-全局参数,Holiday))</f>
        <v>42521</v>
      </c>
      <c r="AA119" t="str">
        <f t="shared" ca="1" si="22"/>
        <v/>
      </c>
    </row>
    <row r="120" spans="1:27" x14ac:dyDescent="0.15">
      <c r="A120" s="21" t="str">
        <f t="shared" ca="1" si="33"/>
        <v>V1607</v>
      </c>
      <c r="B120" s="11">
        <f t="shared" ca="1" si="31"/>
        <v>42200</v>
      </c>
      <c r="C120" s="11">
        <f t="shared" ref="C120:C121" ca="1" si="34">WORKDAY(DATE("20"&amp;MID(A120,2,2),RIGHT(A120,2),0),10,Holiday)</f>
        <v>42565</v>
      </c>
      <c r="D120" s="11">
        <f ca="1">IF(CTP=1,WORKDAY(大连商品交易所!D120,-1,Holiday)+1,WORKDAY(大连商品交易所!D120,0-全局参数,Holiday))</f>
        <v>42541</v>
      </c>
      <c r="E120" s="11">
        <f ca="1">IF(CTP=1,WORKDAY(大连商品交易所!E120,-1,Holiday)+1,WORKDAY(大连商品交易所!E120,0-全局参数,Holiday))</f>
        <v>42551</v>
      </c>
      <c r="AA120">
        <f t="shared" ca="1" si="22"/>
        <v>120</v>
      </c>
    </row>
    <row r="121" spans="1:27" x14ac:dyDescent="0.15">
      <c r="A121" s="22" t="str">
        <f t="shared" ca="1" si="33"/>
        <v>V1608</v>
      </c>
      <c r="B121" s="12">
        <f t="shared" ca="1" si="31"/>
        <v>42233</v>
      </c>
      <c r="C121" s="12">
        <f t="shared" ca="1" si="34"/>
        <v>42594</v>
      </c>
      <c r="D121" s="12">
        <f ca="1">IF(CTP=1,WORKDAY(大连商品交易所!D121,-1,Holiday)+1,WORKDAY(大连商品交易所!D121,0-全局参数,Holiday))</f>
        <v>42571</v>
      </c>
      <c r="E121" s="12">
        <f ca="1">IF(CTP=1,WORKDAY(大连商品交易所!E121,-1,Holiday)+1,WORKDAY(大连商品交易所!E121,0-全局参数,Holiday))</f>
        <v>42580</v>
      </c>
      <c r="AA121" t="str">
        <f t="shared" ca="1" si="22"/>
        <v/>
      </c>
    </row>
    <row r="122" spans="1:27" x14ac:dyDescent="0.15">
      <c r="A122" s="23"/>
      <c r="B122" s="23"/>
      <c r="C122" s="15"/>
      <c r="D122" s="15"/>
      <c r="E122" s="15"/>
      <c r="AA122" t="str">
        <f t="shared" ca="1" si="22"/>
        <v/>
      </c>
    </row>
    <row r="123" spans="1:27" x14ac:dyDescent="0.15">
      <c r="A123" s="23"/>
      <c r="B123" s="23"/>
      <c r="C123" s="15"/>
      <c r="D123" s="15"/>
      <c r="E123" s="15"/>
      <c r="AA123" t="str">
        <f t="shared" ca="1" si="22"/>
        <v/>
      </c>
    </row>
    <row r="124" spans="1:27" ht="16.5" customHeight="1" x14ac:dyDescent="0.15">
      <c r="A124" s="48" t="str">
        <f>"豆粕M"&amp;TEXT(豆粕M,"#%")</f>
        <v>豆粕M5%</v>
      </c>
      <c r="B124" s="49"/>
      <c r="C124" s="49"/>
      <c r="D124" s="49"/>
      <c r="E124" s="50"/>
      <c r="AA124" t="str">
        <f t="shared" ca="1" si="22"/>
        <v/>
      </c>
    </row>
    <row r="125" spans="1:27" ht="17.25" thickBot="1" x14ac:dyDescent="0.2">
      <c r="A125" s="20"/>
      <c r="B125" s="31" t="s">
        <v>49</v>
      </c>
      <c r="C125" s="9" t="s">
        <v>22</v>
      </c>
      <c r="D125" s="10">
        <v>0.1</v>
      </c>
      <c r="E125" s="10">
        <v>0.2</v>
      </c>
      <c r="AA125" t="str">
        <f t="shared" ca="1" si="22"/>
        <v/>
      </c>
    </row>
    <row r="126" spans="1:27" x14ac:dyDescent="0.15">
      <c r="A126" s="21" t="str">
        <f ca="1">"M"&amp;TEXT(DATE(YEAR(TODAY()),IF(TODAY()&gt;WORKDAY(DATE(YEAR(TODAY()),VLOOKUP(MONTH(TODAY()),{1,1;2,3;3,3;4,5;5,5;6,7;7,7;8,8;9,9;10,11;11,11;12,12;13,13},2,FALSE),0),10,Holiday),VLOOKUP(MONTH(TODAY())+1,{1,1;2,3;3,3;4,5;5,5;6,7;7,7;8,8;9,9;10,11;11,11;12,12;13,13},2,FALSE),VLOOKUP(MONTH(TODAY()),{1,1;2,3;3,3;4,5;5,5;6,7;7,7;8,8;9,9;10,11;11,11;12,12;13,13},2,FALSE)),10),"yymm")</f>
        <v>M1507</v>
      </c>
      <c r="B126" s="11">
        <f t="shared" ref="B126:B135" ca="1" si="35">WORKDAY(WORKDAY(DATE("20"&amp;MID(A126,2,2),RIGHT(A126,2)-12,0),10,Holiday),1,Holiday)</f>
        <v>41835</v>
      </c>
      <c r="C126" s="11">
        <f t="shared" ref="C126:C133" ca="1" si="36">WORKDAY(DATE("20"&amp;MID(A126,2,2),RIGHT(A126,2),0),10,Holiday)</f>
        <v>42199</v>
      </c>
      <c r="D126" s="11">
        <f ca="1">IF(CTP=1,WORKDAY(大连商品交易所!D126,-1,Holiday)+1,WORKDAY(大连商品交易所!D126,0-全局参数,Holiday))</f>
        <v>42173</v>
      </c>
      <c r="E126" s="11">
        <f ca="1">IF(CTP=1,WORKDAY(大连商品交易所!E126,-1,Holiday)+1,WORKDAY(大连商品交易所!E126,0-全局参数,Holiday))</f>
        <v>42185</v>
      </c>
      <c r="AA126" t="str">
        <f t="shared" ca="1" si="22"/>
        <v/>
      </c>
    </row>
    <row r="127" spans="1:27" x14ac:dyDescent="0.15">
      <c r="A127" s="22" t="str">
        <f ca="1">"M"&amp;TEXT(DATE("20"&amp;MID(A126,2,2),VLOOKUP(RIGHT(A126,2)+1,{1,1;2,3;3,3;4,5;5,5;6,7;7,7;8,8;9,9;10,11;11,11;12,12;13,13},2,FALSE),10),"yymm")</f>
        <v>M1508</v>
      </c>
      <c r="B127" s="12">
        <f t="shared" ca="1" si="35"/>
        <v>41866</v>
      </c>
      <c r="C127" s="12">
        <f t="shared" ca="1" si="36"/>
        <v>42230</v>
      </c>
      <c r="D127" s="12">
        <f ca="1">IF(CTP=1,WORKDAY(大连商品交易所!D127,-1,Holiday)+1,WORKDAY(大连商品交易所!D127,0-全局参数,Holiday))</f>
        <v>42205</v>
      </c>
      <c r="E127" s="12">
        <f ca="1">IF(CTP=1,WORKDAY(大连商品交易所!E127,-1,Holiday)+1,WORKDAY(大连商品交易所!E127,0-全局参数,Holiday))</f>
        <v>42216</v>
      </c>
      <c r="AA127" t="str">
        <f t="shared" ca="1" si="22"/>
        <v/>
      </c>
    </row>
    <row r="128" spans="1:27" x14ac:dyDescent="0.15">
      <c r="A128" s="21" t="str">
        <f ca="1">"M"&amp;TEXT(DATE("20"&amp;MID(A127,2,2),VLOOKUP(RIGHT(A127,2)+1,{1,1;2,3;3,3;4,5;5,5;6,7;7,7;8,8;9,9;10,11;11,11;12,12;13,13},2,FALSE),10),"yymm")</f>
        <v>M1509</v>
      </c>
      <c r="B128" s="11">
        <f t="shared" ca="1" si="35"/>
        <v>41898</v>
      </c>
      <c r="C128" s="11">
        <f t="shared" ca="1" si="36"/>
        <v>42263</v>
      </c>
      <c r="D128" s="11">
        <f ca="1">IF(CTP=1,WORKDAY(大连商品交易所!D128,-1,Holiday)+1,WORKDAY(大连商品交易所!D128,0-全局参数,Holiday))</f>
        <v>42236</v>
      </c>
      <c r="E128" s="11">
        <f ca="1">IF(CTP=1,WORKDAY(大连商品交易所!E128,-1,Holiday)+1,WORKDAY(大连商品交易所!E128,0-全局参数,Holiday))</f>
        <v>42247</v>
      </c>
      <c r="AA128" t="str">
        <f t="shared" ca="1" si="22"/>
        <v/>
      </c>
    </row>
    <row r="129" spans="1:27" x14ac:dyDescent="0.15">
      <c r="A129" s="22" t="str">
        <f ca="1">"M"&amp;TEXT(DATE("20"&amp;MID(A128,2,2),VLOOKUP(RIGHT(A128,2)+1,{1,1;2,3;3,3;4,5;5,5;6,7;7,7;8,8;9,9;10,11;11,11;12,12;13,13},2,FALSE),10),"yymm")</f>
        <v>M1511</v>
      </c>
      <c r="B129" s="12">
        <f t="shared" ca="1" si="35"/>
        <v>41960</v>
      </c>
      <c r="C129" s="12">
        <f t="shared" ca="1" si="36"/>
        <v>42321</v>
      </c>
      <c r="D129" s="12">
        <f ca="1">IF(CTP=1,WORKDAY(大连商品交易所!D129,-1,Holiday)+1,WORKDAY(大连商品交易所!D129,0-全局参数,Holiday))</f>
        <v>42304</v>
      </c>
      <c r="E129" s="12">
        <f ca="1">IF(CTP=1,WORKDAY(大连商品交易所!E129,-1,Holiday)+1,WORKDAY(大连商品交易所!E129,0-全局参数,Holiday))</f>
        <v>42307</v>
      </c>
      <c r="AA129" t="str">
        <f t="shared" ca="1" si="22"/>
        <v/>
      </c>
    </row>
    <row r="130" spans="1:27" x14ac:dyDescent="0.15">
      <c r="A130" s="21" t="str">
        <f ca="1">"M"&amp;TEXT(DATE("20"&amp;MID(A129,2,2),VLOOKUP(RIGHT(A129,2)+1,{1,1;2,3;3,3;4,5;5,5;6,7;7,7;8,8;9,9;10,11;11,11;12,12;13,13},2,FALSE),10),"yymm")</f>
        <v>M1512</v>
      </c>
      <c r="B130" s="11">
        <f t="shared" ca="1" si="35"/>
        <v>41988</v>
      </c>
      <c r="C130" s="11">
        <f t="shared" ca="1" si="36"/>
        <v>42352</v>
      </c>
      <c r="D130" s="11">
        <f ca="1">IF(CTP=1,WORKDAY(大连商品交易所!D130,-1,Holiday)+1,WORKDAY(大连商品交易所!D130,0-全局参数,Holiday))</f>
        <v>42327</v>
      </c>
      <c r="E130" s="11">
        <f ca="1">IF(CTP=1,WORKDAY(大连商品交易所!E130,-1,Holiday)+1,WORKDAY(大连商品交易所!E130,0-全局参数,Holiday))</f>
        <v>42338</v>
      </c>
      <c r="AA130" t="str">
        <f t="shared" ref="AA130:AA193" ca="1" si="37">IFERROR(IF(AND(B130+0&gt;TODAY(),B130+0&lt;DATE(YEAR(TODAY()),MONTH(TODAY())+1,DAY(TODAY()))),ROW(),""),"")</f>
        <v/>
      </c>
    </row>
    <row r="131" spans="1:27" x14ac:dyDescent="0.15">
      <c r="A131" s="22" t="str">
        <f ca="1">"M"&amp;TEXT(DATE("20"&amp;MID(A130,2,2),VLOOKUP(RIGHT(A130,2)+1,{1,1;2,3;3,3;4,5;5,5;6,7;7,7;8,8;9,9;10,11;11,11;12,12;13,13},2,FALSE),10),"yymm")</f>
        <v>M1601</v>
      </c>
      <c r="B131" s="12">
        <f t="shared" ca="1" si="35"/>
        <v>42023</v>
      </c>
      <c r="C131" s="12">
        <f t="shared" ca="1" si="36"/>
        <v>42383</v>
      </c>
      <c r="D131" s="12">
        <f ca="1">IF(CTP=1,WORKDAY(大连商品交易所!D131,-1,Holiday)+1,WORKDAY(大连商品交易所!D131,0-全局参数,Holiday))</f>
        <v>42356</v>
      </c>
      <c r="E131" s="12">
        <f ca="1">IF(CTP=1,WORKDAY(大连商品交易所!E131,-1,Holiday)+1,WORKDAY(大连商品交易所!E131,0-全局参数,Holiday))</f>
        <v>42369</v>
      </c>
      <c r="AA131" t="str">
        <f t="shared" ca="1" si="37"/>
        <v/>
      </c>
    </row>
    <row r="132" spans="1:27" x14ac:dyDescent="0.15">
      <c r="A132" s="21" t="str">
        <f ca="1">"M"&amp;TEXT(DATE("20"&amp;MID(A131,2,2),VLOOKUP(RIGHT(A131,2)+1,{1,1;2,3;3,3;4,5;5,5;6,7;7,7;8,8;9,9;10,11;11,11;12,12;13,13},2,FALSE),10),"yymm")</f>
        <v>M1603</v>
      </c>
      <c r="B132" s="11">
        <f t="shared" ca="1" si="35"/>
        <v>42079</v>
      </c>
      <c r="C132" s="11">
        <f t="shared" ca="1" si="36"/>
        <v>42443</v>
      </c>
      <c r="D132" s="11">
        <f ca="1">IF(CTP=1,WORKDAY(大连商品交易所!D132,-1,Holiday)+1,WORKDAY(大连商品交易所!D132,0-全局参数,Holiday))</f>
        <v>42418</v>
      </c>
      <c r="E132" s="11">
        <f ca="1">IF(CTP=1,WORKDAY(大连商品交易所!E132,-1,Holiday)+1,WORKDAY(大连商品交易所!E132,0-全局参数,Holiday))</f>
        <v>42429</v>
      </c>
      <c r="AA132" t="str">
        <f t="shared" ca="1" si="37"/>
        <v/>
      </c>
    </row>
    <row r="133" spans="1:27" x14ac:dyDescent="0.15">
      <c r="A133" s="22" t="str">
        <f ca="1">"M"&amp;TEXT(DATE("20"&amp;MID(A132,2,2),VLOOKUP(RIGHT(A132,2)+1,{1,1;2,3;3,3;4,5;5,5;6,7;7,7;8,8;9,9;10,11;11,11;12,12;13,13},2,FALSE),10),"yymm")</f>
        <v>M1605</v>
      </c>
      <c r="B133" s="12">
        <f t="shared" ca="1" si="35"/>
        <v>42142</v>
      </c>
      <c r="C133" s="12">
        <f t="shared" ca="1" si="36"/>
        <v>42503</v>
      </c>
      <c r="D133" s="12">
        <f ca="1">IF(CTP=1,WORKDAY(大连商品交易所!D133,-1,Holiday)+1,WORKDAY(大连商品交易所!D133,0-全局参数,Holiday))</f>
        <v>42480</v>
      </c>
      <c r="E133" s="12">
        <f ca="1">IF(CTP=1,WORKDAY(大连商品交易所!E133,-1,Holiday)+1,WORKDAY(大连商品交易所!E133,0-全局参数,Holiday))</f>
        <v>42489</v>
      </c>
      <c r="AA133" t="str">
        <f t="shared" ca="1" si="37"/>
        <v/>
      </c>
    </row>
    <row r="134" spans="1:27" x14ac:dyDescent="0.15">
      <c r="A134" s="21" t="str">
        <f ca="1">"M"&amp;TEXT(DATE("20"&amp;MID(A133,2,2),VLOOKUP(RIGHT(A133,2)+1,{1,1;2,3;3,3;4,5;5,5;6,7;7,7;8,8;9,9;10,11;11,11;12,12;13,13},2,FALSE),10),"yymm")</f>
        <v>M1607</v>
      </c>
      <c r="B134" s="11">
        <f t="shared" ca="1" si="35"/>
        <v>42200</v>
      </c>
      <c r="C134" s="11">
        <f t="shared" ref="C134:C135" ca="1" si="38">WORKDAY(DATE("20"&amp;MID(A134,2,2),RIGHT(A134,2),0),10,Holiday)</f>
        <v>42565</v>
      </c>
      <c r="D134" s="11">
        <f ca="1">IF(CTP=1,WORKDAY(大连商品交易所!D134,-1,Holiday)+1,WORKDAY(大连商品交易所!D134,0-全局参数,Holiday))</f>
        <v>42541</v>
      </c>
      <c r="E134" s="11">
        <f ca="1">IF(CTP=1,WORKDAY(大连商品交易所!E134,-1,Holiday)+1,WORKDAY(大连商品交易所!E134,0-全局参数,Holiday))</f>
        <v>42551</v>
      </c>
      <c r="AA134">
        <f t="shared" ca="1" si="37"/>
        <v>134</v>
      </c>
    </row>
    <row r="135" spans="1:27" x14ac:dyDescent="0.15">
      <c r="A135" s="22" t="str">
        <f ca="1">"M"&amp;TEXT(DATE("20"&amp;MID(A134,2,2),VLOOKUP(RIGHT(A134,2)+1,{1,1;2,3;3,3;4,5;5,5;6,7;7,7;8,8;9,9;10,11;11,11;12,12;13,13},2,FALSE),10),"yymm")</f>
        <v>M1608</v>
      </c>
      <c r="B135" s="12">
        <f t="shared" ca="1" si="35"/>
        <v>42233</v>
      </c>
      <c r="C135" s="12">
        <f t="shared" ca="1" si="38"/>
        <v>42594</v>
      </c>
      <c r="D135" s="12">
        <f ca="1">IF(CTP=1,WORKDAY(大连商品交易所!D135,-1,Holiday)+1,WORKDAY(大连商品交易所!D135,0-全局参数,Holiday))</f>
        <v>42571</v>
      </c>
      <c r="E135" s="12">
        <f ca="1">IF(CTP=1,WORKDAY(大连商品交易所!E135,-1,Holiday)+1,WORKDAY(大连商品交易所!E135,0-全局参数,Holiday))</f>
        <v>42580</v>
      </c>
      <c r="AA135" t="str">
        <f t="shared" ca="1" si="37"/>
        <v/>
      </c>
    </row>
    <row r="136" spans="1:27" x14ac:dyDescent="0.15">
      <c r="AA136" t="str">
        <f t="shared" ca="1" si="37"/>
        <v/>
      </c>
    </row>
    <row r="137" spans="1:27" x14ac:dyDescent="0.15">
      <c r="AA137" t="str">
        <f t="shared" ca="1" si="37"/>
        <v/>
      </c>
    </row>
    <row r="138" spans="1:27" x14ac:dyDescent="0.15">
      <c r="A138" s="48" t="str">
        <f>"豆油Y"&amp;TEXT(豆油Y,"#%")</f>
        <v>豆油Y5%</v>
      </c>
      <c r="B138" s="49"/>
      <c r="C138" s="49"/>
      <c r="D138" s="49"/>
      <c r="E138" s="50"/>
      <c r="AA138" t="str">
        <f t="shared" ca="1" si="37"/>
        <v/>
      </c>
    </row>
    <row r="139" spans="1:27" ht="17.25" thickBot="1" x14ac:dyDescent="0.2">
      <c r="A139" s="20"/>
      <c r="B139" s="31" t="s">
        <v>48</v>
      </c>
      <c r="C139" s="13" t="s">
        <v>1</v>
      </c>
      <c r="D139" s="10">
        <v>0.1</v>
      </c>
      <c r="E139" s="10">
        <v>0.2</v>
      </c>
      <c r="AA139" t="str">
        <f t="shared" ca="1" si="37"/>
        <v/>
      </c>
    </row>
    <row r="140" spans="1:27" x14ac:dyDescent="0.15">
      <c r="A140" s="21" t="str">
        <f ca="1">"y"&amp;TEXT(DATE(YEAR(TODAY()),IF(TODAY()&gt;WORKDAY(DATE(YEAR(TODAY()),VLOOKUP(MONTH(TODAY()),{1,1;2,3;3,3;4,5;5,5;6,7;7,7;8,8;9,9;10,11;11,11;12,12;13,13},2,FALSE),0),10,Holiday),VLOOKUP(MONTH(TODAY())+1,{1,1;2,3;3,3;4,5;5,5;6,7;7,7;8,8;9,9;10,11;11,11;12,12;13,13},2,FALSE),VLOOKUP(MONTH(TODAY()),{1,1;2,3;3,3;4,5;5,5;6,7;7,7;8,8;9,9;10,11;11,11;12,12;13,13},2,FALSE)),10),"yymm")</f>
        <v>y1507</v>
      </c>
      <c r="B140" s="11">
        <f t="shared" ref="B140:B149" ca="1" si="39">WORKDAY(WORKDAY(DATE("20"&amp;MID(A140,2,2),RIGHT(A140,2)-12,0),10,Holiday),1,Holiday)</f>
        <v>41835</v>
      </c>
      <c r="C140" s="11">
        <f t="shared" ref="C140:C147" ca="1" si="40">WORKDAY(DATE("20"&amp;MID(A140,2,2),RIGHT(A140,2),0),10,Holiday)</f>
        <v>42199</v>
      </c>
      <c r="D140" s="11">
        <f ca="1">IF(CTP=1,WORKDAY(大连商品交易所!D140,-1,Holiday)+1,WORKDAY(大连商品交易所!D140,0-全局参数,Holiday))</f>
        <v>42173</v>
      </c>
      <c r="E140" s="11">
        <f ca="1">IF(CTP=1,WORKDAY(大连商品交易所!E140,-1,Holiday)+1,WORKDAY(大连商品交易所!E140,0-全局参数,Holiday))</f>
        <v>42185</v>
      </c>
      <c r="AA140" t="str">
        <f t="shared" ca="1" si="37"/>
        <v/>
      </c>
    </row>
    <row r="141" spans="1:27" x14ac:dyDescent="0.15">
      <c r="A141" s="22" t="str">
        <f ca="1">"y"&amp;TEXT(DATE("20"&amp;MID(A140,2,2),VLOOKUP(RIGHT(A140,2)+1,{1,1;2,3;3,3;4,5;5,5;6,7;7,7;8,8;9,9;10,11;11,11;12,12;13,13},2,FALSE),10),"yymm")</f>
        <v>y1508</v>
      </c>
      <c r="B141" s="12">
        <f t="shared" ca="1" si="39"/>
        <v>41866</v>
      </c>
      <c r="C141" s="12">
        <f t="shared" ca="1" si="40"/>
        <v>42230</v>
      </c>
      <c r="D141" s="12">
        <f ca="1">IF(CTP=1,WORKDAY(大连商品交易所!D141,-1,Holiday)+1,WORKDAY(大连商品交易所!D141,0-全局参数,Holiday))</f>
        <v>42205</v>
      </c>
      <c r="E141" s="12">
        <f ca="1">IF(CTP=1,WORKDAY(大连商品交易所!E141,-1,Holiday)+1,WORKDAY(大连商品交易所!E141,0-全局参数,Holiday))</f>
        <v>42216</v>
      </c>
      <c r="AA141" t="str">
        <f t="shared" ca="1" si="37"/>
        <v/>
      </c>
    </row>
    <row r="142" spans="1:27" x14ac:dyDescent="0.15">
      <c r="A142" s="21" t="str">
        <f ca="1">"y"&amp;TEXT(DATE("20"&amp;MID(A141,2,2),VLOOKUP(RIGHT(A141,2)+1,{1,1;2,3;3,3;4,5;5,5;6,7;7,7;8,8;9,9;10,11;11,11;12,12;13,13},2,FALSE),10),"yymm")</f>
        <v>y1509</v>
      </c>
      <c r="B142" s="11">
        <f t="shared" ca="1" si="39"/>
        <v>41898</v>
      </c>
      <c r="C142" s="11">
        <f t="shared" ca="1" si="40"/>
        <v>42263</v>
      </c>
      <c r="D142" s="11">
        <f ca="1">IF(CTP=1,WORKDAY(大连商品交易所!D142,-1,Holiday)+1,WORKDAY(大连商品交易所!D142,0-全局参数,Holiday))</f>
        <v>42236</v>
      </c>
      <c r="E142" s="11">
        <f ca="1">IF(CTP=1,WORKDAY(大连商品交易所!E142,-1,Holiday)+1,WORKDAY(大连商品交易所!E142,0-全局参数,Holiday))</f>
        <v>42247</v>
      </c>
      <c r="AA142" t="str">
        <f t="shared" ca="1" si="37"/>
        <v/>
      </c>
    </row>
    <row r="143" spans="1:27" x14ac:dyDescent="0.15">
      <c r="A143" s="22" t="str">
        <f ca="1">"y"&amp;TEXT(DATE("20"&amp;MID(A142,2,2),VLOOKUP(RIGHT(A142,2)+1,{1,1;2,3;3,3;4,5;5,5;6,7;7,7;8,8;9,9;10,11;11,11;12,12;13,13},2,FALSE),10),"yymm")</f>
        <v>y1511</v>
      </c>
      <c r="B143" s="12">
        <f t="shared" ca="1" si="39"/>
        <v>41960</v>
      </c>
      <c r="C143" s="12">
        <f t="shared" ca="1" si="40"/>
        <v>42321</v>
      </c>
      <c r="D143" s="12">
        <f ca="1">IF(CTP=1,WORKDAY(大连商品交易所!D143,-1,Holiday)+1,WORKDAY(大连商品交易所!D143,0-全局参数,Holiday))</f>
        <v>42304</v>
      </c>
      <c r="E143" s="12">
        <f ca="1">IF(CTP=1,WORKDAY(大连商品交易所!E143,-1,Holiday)+1,WORKDAY(大连商品交易所!E143,0-全局参数,Holiday))</f>
        <v>42307</v>
      </c>
      <c r="AA143" t="str">
        <f t="shared" ca="1" si="37"/>
        <v/>
      </c>
    </row>
    <row r="144" spans="1:27" x14ac:dyDescent="0.15">
      <c r="A144" s="21" t="str">
        <f ca="1">"y"&amp;TEXT(DATE("20"&amp;MID(A143,2,2),VLOOKUP(RIGHT(A143,2)+1,{1,1;2,3;3,3;4,5;5,5;6,7;7,7;8,8;9,9;10,11;11,11;12,12;13,13},2,FALSE),10),"yymm")</f>
        <v>y1512</v>
      </c>
      <c r="B144" s="11">
        <f t="shared" ca="1" si="39"/>
        <v>41988</v>
      </c>
      <c r="C144" s="11">
        <f t="shared" ca="1" si="40"/>
        <v>42352</v>
      </c>
      <c r="D144" s="11">
        <f ca="1">IF(CTP=1,WORKDAY(大连商品交易所!D144,-1,Holiday)+1,WORKDAY(大连商品交易所!D144,0-全局参数,Holiday))</f>
        <v>42327</v>
      </c>
      <c r="E144" s="11">
        <f ca="1">IF(CTP=1,WORKDAY(大连商品交易所!E144,-1,Holiday)+1,WORKDAY(大连商品交易所!E144,0-全局参数,Holiday))</f>
        <v>42338</v>
      </c>
      <c r="AA144" t="str">
        <f t="shared" ca="1" si="37"/>
        <v/>
      </c>
    </row>
    <row r="145" spans="1:27" x14ac:dyDescent="0.15">
      <c r="A145" s="22" t="str">
        <f ca="1">"y"&amp;TEXT(DATE("20"&amp;MID(A144,2,2),VLOOKUP(RIGHT(A144,2)+1,{1,1;2,3;3,3;4,5;5,5;6,7;7,7;8,8;9,9;10,11;11,11;12,12;13,13},2,FALSE),10),"yymm")</f>
        <v>y1601</v>
      </c>
      <c r="B145" s="12">
        <f t="shared" ca="1" si="39"/>
        <v>42023</v>
      </c>
      <c r="C145" s="12">
        <f t="shared" ca="1" si="40"/>
        <v>42383</v>
      </c>
      <c r="D145" s="12">
        <f ca="1">IF(CTP=1,WORKDAY(大连商品交易所!D145,-1,Holiday)+1,WORKDAY(大连商品交易所!D145,0-全局参数,Holiday))</f>
        <v>42356</v>
      </c>
      <c r="E145" s="12">
        <f ca="1">IF(CTP=1,WORKDAY(大连商品交易所!E145,-1,Holiday)+1,WORKDAY(大连商品交易所!E145,0-全局参数,Holiday))</f>
        <v>42369</v>
      </c>
      <c r="AA145" t="str">
        <f t="shared" ca="1" si="37"/>
        <v/>
      </c>
    </row>
    <row r="146" spans="1:27" x14ac:dyDescent="0.15">
      <c r="A146" s="21" t="str">
        <f ca="1">"y"&amp;TEXT(DATE("20"&amp;MID(A145,2,2),VLOOKUP(RIGHT(A145,2)+1,{1,1;2,3;3,3;4,5;5,5;6,7;7,7;8,8;9,9;10,11;11,11;12,12;13,13},2,FALSE),10),"yymm")</f>
        <v>y1603</v>
      </c>
      <c r="B146" s="11">
        <f t="shared" ca="1" si="39"/>
        <v>42079</v>
      </c>
      <c r="C146" s="11">
        <f t="shared" ca="1" si="40"/>
        <v>42443</v>
      </c>
      <c r="D146" s="11">
        <f ca="1">IF(CTP=1,WORKDAY(大连商品交易所!D146,-1,Holiday)+1,WORKDAY(大连商品交易所!D146,0-全局参数,Holiday))</f>
        <v>42418</v>
      </c>
      <c r="E146" s="11">
        <f ca="1">IF(CTP=1,WORKDAY(大连商品交易所!E146,-1,Holiday)+1,WORKDAY(大连商品交易所!E146,0-全局参数,Holiday))</f>
        <v>42429</v>
      </c>
      <c r="AA146" t="str">
        <f t="shared" ca="1" si="37"/>
        <v/>
      </c>
    </row>
    <row r="147" spans="1:27" x14ac:dyDescent="0.15">
      <c r="A147" s="22" t="str">
        <f ca="1">"y"&amp;TEXT(DATE("20"&amp;MID(A146,2,2),VLOOKUP(RIGHT(A146,2)+1,{1,1;2,3;3,3;4,5;5,5;6,7;7,7;8,8;9,9;10,11;11,11;12,12;13,13},2,FALSE),10),"yymm")</f>
        <v>y1605</v>
      </c>
      <c r="B147" s="12">
        <f t="shared" ca="1" si="39"/>
        <v>42142</v>
      </c>
      <c r="C147" s="12">
        <f t="shared" ca="1" si="40"/>
        <v>42503</v>
      </c>
      <c r="D147" s="12">
        <f ca="1">IF(CTP=1,WORKDAY(大连商品交易所!D147,-1,Holiday)+1,WORKDAY(大连商品交易所!D147,0-全局参数,Holiday))</f>
        <v>42480</v>
      </c>
      <c r="E147" s="12">
        <f ca="1">IF(CTP=1,WORKDAY(大连商品交易所!E147,-1,Holiday)+1,WORKDAY(大连商品交易所!E147,0-全局参数,Holiday))</f>
        <v>42489</v>
      </c>
      <c r="AA147" t="str">
        <f t="shared" ca="1" si="37"/>
        <v/>
      </c>
    </row>
    <row r="148" spans="1:27" x14ac:dyDescent="0.15">
      <c r="A148" s="21" t="str">
        <f ca="1">"y"&amp;TEXT(DATE("20"&amp;MID(A147,2,2),VLOOKUP(RIGHT(A147,2)+1,{1,1;2,3;3,3;4,5;5,5;6,7;7,7;8,8;9,9;10,11;11,11;12,12;13,13},2,FALSE),10),"yymm")</f>
        <v>y1607</v>
      </c>
      <c r="B148" s="11">
        <f t="shared" ca="1" si="39"/>
        <v>42200</v>
      </c>
      <c r="C148" s="11">
        <f t="shared" ref="C148:C149" ca="1" si="41">WORKDAY(DATE("20"&amp;MID(A148,2,2),RIGHT(A148,2),0),10,Holiday)</f>
        <v>42565</v>
      </c>
      <c r="D148" s="11">
        <f ca="1">IF(CTP=1,WORKDAY(大连商品交易所!D148,-1,Holiday)+1,WORKDAY(大连商品交易所!D148,0-全局参数,Holiday))</f>
        <v>42541</v>
      </c>
      <c r="E148" s="11">
        <f ca="1">IF(CTP=1,WORKDAY(大连商品交易所!E148,-1,Holiday)+1,WORKDAY(大连商品交易所!E148,0-全局参数,Holiday))</f>
        <v>42551</v>
      </c>
      <c r="AA148">
        <f t="shared" ca="1" si="37"/>
        <v>148</v>
      </c>
    </row>
    <row r="149" spans="1:27" x14ac:dyDescent="0.15">
      <c r="A149" s="22" t="str">
        <f ca="1">"y"&amp;TEXT(DATE("20"&amp;MID(A148,2,2),VLOOKUP(RIGHT(A148,2)+1,{1,1;2,3;3,3;4,5;5,5;6,7;7,7;8,8;9,9;10,11;11,11;12,12;13,13},2,FALSE),10),"yymm")</f>
        <v>y1608</v>
      </c>
      <c r="B149" s="12">
        <f t="shared" ca="1" si="39"/>
        <v>42233</v>
      </c>
      <c r="C149" s="12">
        <f t="shared" ca="1" si="41"/>
        <v>42594</v>
      </c>
      <c r="D149" s="12">
        <f ca="1">IF(CTP=1,WORKDAY(大连商品交易所!D149,-1,Holiday)+1,WORKDAY(大连商品交易所!D149,0-全局参数,Holiday))</f>
        <v>42571</v>
      </c>
      <c r="E149" s="12">
        <f ca="1">IF(CTP=1,WORKDAY(大连商品交易所!E149,-1,Holiday)+1,WORKDAY(大连商品交易所!E149,0-全局参数,Holiday))</f>
        <v>42580</v>
      </c>
      <c r="AA149" t="str">
        <f t="shared" ca="1" si="37"/>
        <v/>
      </c>
    </row>
    <row r="150" spans="1:27" x14ac:dyDescent="0.15">
      <c r="AA150" t="str">
        <f t="shared" ca="1" si="37"/>
        <v/>
      </c>
    </row>
    <row r="151" spans="1:27" x14ac:dyDescent="0.15">
      <c r="AA151" t="str">
        <f t="shared" ca="1" si="37"/>
        <v/>
      </c>
    </row>
    <row r="152" spans="1:27" x14ac:dyDescent="0.15">
      <c r="A152" s="48" t="str">
        <f>"焦煤JM"&amp;TEXT(焦煤JM,"#%")</f>
        <v>焦煤JM5%</v>
      </c>
      <c r="B152" s="49"/>
      <c r="C152" s="49"/>
      <c r="D152" s="49"/>
      <c r="E152" s="50"/>
      <c r="AA152" t="str">
        <f t="shared" ca="1" si="37"/>
        <v/>
      </c>
    </row>
    <row r="153" spans="1:27" ht="17.25" thickBot="1" x14ac:dyDescent="0.2">
      <c r="A153" s="20"/>
      <c r="B153" s="33" t="s">
        <v>46</v>
      </c>
      <c r="C153" s="33" t="s">
        <v>1</v>
      </c>
      <c r="D153" s="10">
        <v>0.1</v>
      </c>
      <c r="E153" s="10">
        <v>0.2</v>
      </c>
      <c r="AA153" t="str">
        <f t="shared" ca="1" si="37"/>
        <v/>
      </c>
    </row>
    <row r="154" spans="1:27" x14ac:dyDescent="0.15">
      <c r="A154" s="21" t="str">
        <f ca="1">"JM"&amp;TEXT(IF(TODAY()&gt;WORKDAY(DATE(2013,7,0),10,Holiday),IF(TODAY()&gt;WORKDAY(DATE(YEAR(TODAY()),MONTH(TODAY()),0),10,Holiday),DATE(YEAR(TODAY()),MONTH(TODAY())+1,10),TODAY()),DATE(2013,7,10)),"YYMM")</f>
        <v>JM1507</v>
      </c>
      <c r="B154" s="11">
        <f t="shared" ref="B154:B167" ca="1" si="42">IF(RIGHT(A154,4)*1&lt;=1403,DATE(2013,3,22),WORKDAY(WORKDAY(DATE("20"&amp;MID(A154,3,2),RIGHT(A154,2)-12,0),10,Holiday),1,Holiday))</f>
        <v>41835</v>
      </c>
      <c r="C154" s="11">
        <f t="shared" ref="C154:C167" ca="1" si="43">WORKDAY(DATE("20"&amp;MID(A154,3,2),RIGHT(A154,2),0),10,Holiday)</f>
        <v>42199</v>
      </c>
      <c r="D154" s="11">
        <f ca="1">IF(CTP=1,WORKDAY(大连商品交易所!D154,-1,Holiday)+1,WORKDAY(大连商品交易所!D154,0-全局参数,Holiday))</f>
        <v>42173</v>
      </c>
      <c r="E154" s="11">
        <f ca="1">IF(CTP=1,WORKDAY(大连商品交易所!E154,-1,Holiday)+1,WORKDAY(大连商品交易所!E154,0-全局参数,Holiday))</f>
        <v>42185</v>
      </c>
      <c r="AA154" t="str">
        <f t="shared" ca="1" si="37"/>
        <v/>
      </c>
    </row>
    <row r="155" spans="1:27" x14ac:dyDescent="0.15">
      <c r="A155" s="22" t="str">
        <f ca="1">"JM"&amp;TEXT(DATE("20"&amp;MID(A154,LEN(A154)-3,2),RIGHT(A154,2)+1,"10"),"yymm")</f>
        <v>JM1508</v>
      </c>
      <c r="B155" s="12">
        <f t="shared" ca="1" si="42"/>
        <v>41866</v>
      </c>
      <c r="C155" s="12">
        <f t="shared" ca="1" si="43"/>
        <v>42230</v>
      </c>
      <c r="D155" s="12">
        <f ca="1">IF(CTP=1,WORKDAY(大连商品交易所!D155,-1,Holiday)+1,WORKDAY(大连商品交易所!D155,0-全局参数,Holiday))</f>
        <v>42205</v>
      </c>
      <c r="E155" s="12">
        <f ca="1">IF(CTP=1,WORKDAY(大连商品交易所!E155,-1,Holiday)+1,WORKDAY(大连商品交易所!E155,0-全局参数,Holiday))</f>
        <v>42216</v>
      </c>
      <c r="AA155" t="str">
        <f t="shared" ca="1" si="37"/>
        <v/>
      </c>
    </row>
    <row r="156" spans="1:27" x14ac:dyDescent="0.15">
      <c r="A156" s="21" t="str">
        <f t="shared" ref="A156:A167" ca="1" si="44">"JM"&amp;TEXT(DATE("20"&amp;MID(A155,LEN(A155)-3,2),RIGHT(A155,2)+1,"10"),"yymm")</f>
        <v>JM1509</v>
      </c>
      <c r="B156" s="11">
        <f t="shared" ca="1" si="42"/>
        <v>41898</v>
      </c>
      <c r="C156" s="11">
        <f t="shared" ca="1" si="43"/>
        <v>42263</v>
      </c>
      <c r="D156" s="11">
        <f ca="1">IF(CTP=1,WORKDAY(大连商品交易所!D156,-1,Holiday)+1,WORKDAY(大连商品交易所!D156,0-全局参数,Holiday))</f>
        <v>42236</v>
      </c>
      <c r="E156" s="11">
        <f ca="1">IF(CTP=1,WORKDAY(大连商品交易所!E156,-1,Holiday)+1,WORKDAY(大连商品交易所!E156,0-全局参数,Holiday))</f>
        <v>42247</v>
      </c>
      <c r="AA156" t="str">
        <f t="shared" ca="1" si="37"/>
        <v/>
      </c>
    </row>
    <row r="157" spans="1:27" x14ac:dyDescent="0.15">
      <c r="A157" s="22" t="str">
        <f t="shared" ca="1" si="44"/>
        <v>JM1510</v>
      </c>
      <c r="B157" s="12">
        <f t="shared" ca="1" si="42"/>
        <v>41934</v>
      </c>
      <c r="C157" s="12">
        <f t="shared" ca="1" si="43"/>
        <v>42298</v>
      </c>
      <c r="D157" s="12">
        <f ca="1">IF(CTP=1,WORKDAY(大连商品交易所!D157,-1,Holiday)+1,WORKDAY(大连商品交易所!D157,0-全局参数,Holiday))</f>
        <v>42269</v>
      </c>
      <c r="E157" s="12">
        <f ca="1">IF(CTP=1,WORKDAY(大连商品交易所!E157,-1,Holiday)+1,WORKDAY(大连商品交易所!E157,0-全局参数,Holiday))</f>
        <v>42277</v>
      </c>
      <c r="AA157" t="str">
        <f t="shared" ca="1" si="37"/>
        <v/>
      </c>
    </row>
    <row r="158" spans="1:27" x14ac:dyDescent="0.15">
      <c r="A158" s="21" t="str">
        <f t="shared" ca="1" si="44"/>
        <v>JM1511</v>
      </c>
      <c r="B158" s="11">
        <f t="shared" ca="1" si="42"/>
        <v>41960</v>
      </c>
      <c r="C158" s="11">
        <f t="shared" ca="1" si="43"/>
        <v>42321</v>
      </c>
      <c r="D158" s="11">
        <f ca="1">IF(CTP=1,WORKDAY(大连商品交易所!D158,-1,Holiday)+1,WORKDAY(大连商品交易所!D158,0-全局参数,Holiday))</f>
        <v>42304</v>
      </c>
      <c r="E158" s="11">
        <f ca="1">IF(CTP=1,WORKDAY(大连商品交易所!E158,-1,Holiday)+1,WORKDAY(大连商品交易所!E158,0-全局参数,Holiday))</f>
        <v>42307</v>
      </c>
      <c r="AA158" t="str">
        <f t="shared" ca="1" si="37"/>
        <v/>
      </c>
    </row>
    <row r="159" spans="1:27" x14ac:dyDescent="0.15">
      <c r="A159" s="22" t="str">
        <f t="shared" ca="1" si="44"/>
        <v>JM1512</v>
      </c>
      <c r="B159" s="12">
        <f t="shared" ca="1" si="42"/>
        <v>41988</v>
      </c>
      <c r="C159" s="12">
        <f t="shared" ca="1" si="43"/>
        <v>42352</v>
      </c>
      <c r="D159" s="12">
        <f ca="1">IF(CTP=1,WORKDAY(大连商品交易所!D159,-1,Holiday)+1,WORKDAY(大连商品交易所!D159,0-全局参数,Holiday))</f>
        <v>42327</v>
      </c>
      <c r="E159" s="12">
        <f ca="1">IF(CTP=1,WORKDAY(大连商品交易所!E159,-1,Holiday)+1,WORKDAY(大连商品交易所!E159,0-全局参数,Holiday))</f>
        <v>42338</v>
      </c>
      <c r="AA159" t="str">
        <f t="shared" ca="1" si="37"/>
        <v/>
      </c>
    </row>
    <row r="160" spans="1:27" x14ac:dyDescent="0.15">
      <c r="A160" s="21" t="str">
        <f t="shared" ca="1" si="44"/>
        <v>JM1601</v>
      </c>
      <c r="B160" s="11">
        <f t="shared" ca="1" si="42"/>
        <v>42023</v>
      </c>
      <c r="C160" s="11">
        <f t="shared" ca="1" si="43"/>
        <v>42383</v>
      </c>
      <c r="D160" s="11">
        <f ca="1">IF(CTP=1,WORKDAY(大连商品交易所!D160,-1,Holiday)+1,WORKDAY(大连商品交易所!D160,0-全局参数,Holiday))</f>
        <v>42356</v>
      </c>
      <c r="E160" s="11">
        <f ca="1">IF(CTP=1,WORKDAY(大连商品交易所!E160,-1,Holiday)+1,WORKDAY(大连商品交易所!E160,0-全局参数,Holiday))</f>
        <v>42369</v>
      </c>
      <c r="AA160" t="str">
        <f t="shared" ca="1" si="37"/>
        <v/>
      </c>
    </row>
    <row r="161" spans="1:27" x14ac:dyDescent="0.15">
      <c r="A161" s="22" t="str">
        <f t="shared" ca="1" si="44"/>
        <v>JM1602</v>
      </c>
      <c r="B161" s="12">
        <f t="shared" ca="1" si="42"/>
        <v>42051</v>
      </c>
      <c r="C161" s="12">
        <f t="shared" ca="1" si="43"/>
        <v>42412</v>
      </c>
      <c r="D161" s="12">
        <f ca="1">IF(CTP=1,WORKDAY(大连商品交易所!D161,-1,Holiday)+1,WORKDAY(大连商品交易所!D161,0-全局参数,Holiday))</f>
        <v>42389</v>
      </c>
      <c r="E161" s="12">
        <f ca="1">IF(CTP=1,WORKDAY(大连商品交易所!E161,-1,Holiday)+1,WORKDAY(大连商品交易所!E161,0-全局参数,Holiday))</f>
        <v>42398</v>
      </c>
      <c r="AA161" t="str">
        <f t="shared" ca="1" si="37"/>
        <v/>
      </c>
    </row>
    <row r="162" spans="1:27" x14ac:dyDescent="0.15">
      <c r="A162" s="21" t="str">
        <f t="shared" ca="1" si="44"/>
        <v>JM1603</v>
      </c>
      <c r="B162" s="11">
        <f t="shared" ca="1" si="42"/>
        <v>42079</v>
      </c>
      <c r="C162" s="11">
        <f t="shared" ca="1" si="43"/>
        <v>42443</v>
      </c>
      <c r="D162" s="11">
        <f ca="1">IF(CTP=1,WORKDAY(大连商品交易所!D162,-1,Holiday)+1,WORKDAY(大连商品交易所!D162,0-全局参数,Holiday))</f>
        <v>42418</v>
      </c>
      <c r="E162" s="11">
        <f ca="1">IF(CTP=1,WORKDAY(大连商品交易所!E162,-1,Holiday)+1,WORKDAY(大连商品交易所!E162,0-全局参数,Holiday))</f>
        <v>42429</v>
      </c>
      <c r="AA162" t="str">
        <f t="shared" ca="1" si="37"/>
        <v/>
      </c>
    </row>
    <row r="163" spans="1:27" x14ac:dyDescent="0.15">
      <c r="A163" s="22" t="str">
        <f t="shared" ca="1" si="44"/>
        <v>JM1604</v>
      </c>
      <c r="B163" s="12">
        <f t="shared" ca="1" si="42"/>
        <v>42110</v>
      </c>
      <c r="C163" s="12">
        <f t="shared" ca="1" si="43"/>
        <v>42474</v>
      </c>
      <c r="D163" s="12">
        <f ca="1">IF(CTP=1,WORKDAY(大连商品交易所!D163,-1,Holiday)+1,WORKDAY(大连商品交易所!D163,0-全局参数,Holiday))</f>
        <v>42447</v>
      </c>
      <c r="E163" s="12">
        <f ca="1">IF(CTP=1,WORKDAY(大连商品交易所!E163,-1,Holiday)+1,WORKDAY(大连商品交易所!E163,0-全局参数,Holiday))</f>
        <v>42460</v>
      </c>
      <c r="AA163" t="str">
        <f t="shared" ca="1" si="37"/>
        <v/>
      </c>
    </row>
    <row r="164" spans="1:27" x14ac:dyDescent="0.15">
      <c r="A164" s="21" t="str">
        <f t="shared" ca="1" si="44"/>
        <v>JM1605</v>
      </c>
      <c r="B164" s="11">
        <f t="shared" ca="1" si="42"/>
        <v>42142</v>
      </c>
      <c r="C164" s="11">
        <f t="shared" ca="1" si="43"/>
        <v>42503</v>
      </c>
      <c r="D164" s="11">
        <f ca="1">IF(CTP=1,WORKDAY(大连商品交易所!D164,-1,Holiday)+1,WORKDAY(大连商品交易所!D164,0-全局参数,Holiday))</f>
        <v>42480</v>
      </c>
      <c r="E164" s="11">
        <f ca="1">IF(CTP=1,WORKDAY(大连商品交易所!E164,-1,Holiday)+1,WORKDAY(大连商品交易所!E164,0-全局参数,Holiday))</f>
        <v>42489</v>
      </c>
      <c r="AA164" t="str">
        <f t="shared" ca="1" si="37"/>
        <v/>
      </c>
    </row>
    <row r="165" spans="1:27" x14ac:dyDescent="0.15">
      <c r="A165" s="22" t="str">
        <f t="shared" ca="1" si="44"/>
        <v>JM1606</v>
      </c>
      <c r="B165" s="12">
        <f t="shared" ca="1" si="42"/>
        <v>42170</v>
      </c>
      <c r="C165" s="12">
        <f t="shared" ca="1" si="43"/>
        <v>42535</v>
      </c>
      <c r="D165" s="12">
        <f ca="1">IF(CTP=1,WORKDAY(大连商品交易所!D165,-1,Holiday)+1,WORKDAY(大连商品交易所!D165,0-全局参数,Holiday))</f>
        <v>42509</v>
      </c>
      <c r="E165" s="12">
        <f ca="1">IF(CTP=1,WORKDAY(大连商品交易所!E165,-1,Holiday)+1,WORKDAY(大连商品交易所!E165,0-全局参数,Holiday))</f>
        <v>42521</v>
      </c>
      <c r="AA165" t="str">
        <f t="shared" ca="1" si="37"/>
        <v/>
      </c>
    </row>
    <row r="166" spans="1:27" x14ac:dyDescent="0.15">
      <c r="A166" s="21" t="str">
        <f t="shared" ca="1" si="44"/>
        <v>JM1607</v>
      </c>
      <c r="B166" s="11">
        <f t="shared" ca="1" si="42"/>
        <v>42200</v>
      </c>
      <c r="C166" s="11">
        <f t="shared" ca="1" si="43"/>
        <v>42565</v>
      </c>
      <c r="D166" s="11">
        <f ca="1">IF(CTP=1,WORKDAY(大连商品交易所!D166,-1,Holiday)+1,WORKDAY(大连商品交易所!D166,0-全局参数,Holiday))</f>
        <v>42541</v>
      </c>
      <c r="E166" s="11">
        <f ca="1">IF(CTP=1,WORKDAY(大连商品交易所!E166,-1,Holiday)+1,WORKDAY(大连商品交易所!E166,0-全局参数,Holiday))</f>
        <v>42551</v>
      </c>
      <c r="AA166">
        <f t="shared" ca="1" si="37"/>
        <v>166</v>
      </c>
    </row>
    <row r="167" spans="1:27" x14ac:dyDescent="0.15">
      <c r="A167" s="22" t="str">
        <f t="shared" ca="1" si="44"/>
        <v>JM1608</v>
      </c>
      <c r="B167" s="12">
        <f t="shared" ca="1" si="42"/>
        <v>42233</v>
      </c>
      <c r="C167" s="12">
        <f t="shared" ca="1" si="43"/>
        <v>42594</v>
      </c>
      <c r="D167" s="12">
        <f ca="1">IF(CTP=1,WORKDAY(大连商品交易所!D167,-1,Holiday)+1,WORKDAY(大连商品交易所!D167,0-全局参数,Holiday))</f>
        <v>42571</v>
      </c>
      <c r="E167" s="12">
        <f ca="1">IF(CTP=1,WORKDAY(大连商品交易所!E167,-1,Holiday)+1,WORKDAY(大连商品交易所!E167,0-全局参数,Holiday))</f>
        <v>42580</v>
      </c>
      <c r="AA167" t="str">
        <f t="shared" ca="1" si="37"/>
        <v/>
      </c>
    </row>
    <row r="168" spans="1:27" x14ac:dyDescent="0.15">
      <c r="AA168" t="str">
        <f t="shared" ca="1" si="37"/>
        <v/>
      </c>
    </row>
    <row r="169" spans="1:27" x14ac:dyDescent="0.15">
      <c r="AA169" t="str">
        <f t="shared" ca="1" si="37"/>
        <v/>
      </c>
    </row>
    <row r="170" spans="1:27" x14ac:dyDescent="0.15">
      <c r="A170" s="48" t="str">
        <f>"铁矿石I"&amp;TEXT(铁矿石I,"#%")</f>
        <v>铁矿石I5%</v>
      </c>
      <c r="B170" s="49"/>
      <c r="C170" s="49"/>
      <c r="D170" s="49"/>
      <c r="E170" s="50"/>
      <c r="AA170" t="str">
        <f t="shared" ca="1" si="37"/>
        <v/>
      </c>
    </row>
    <row r="171" spans="1:27" ht="17.25" thickBot="1" x14ac:dyDescent="0.2">
      <c r="A171" s="20"/>
      <c r="B171" s="33" t="s">
        <v>46</v>
      </c>
      <c r="C171" s="33" t="s">
        <v>1</v>
      </c>
      <c r="D171" s="10">
        <v>0.1</v>
      </c>
      <c r="E171" s="10">
        <v>0.2</v>
      </c>
      <c r="AA171" t="str">
        <f t="shared" ca="1" si="37"/>
        <v/>
      </c>
    </row>
    <row r="172" spans="1:27" x14ac:dyDescent="0.15">
      <c r="A172" s="21" t="str">
        <f ca="1">"I"&amp;IF(TEXT(IF(TODAY()&gt;WORKDAY(DATE(YEAR(TODAY()),MONTH(TODAY()),0),10,Holiday),DATE(YEAR(TODAY()),MONTH(TODAY())+1,10),DATE(YEAR(TODAY()),MONTH(TODAY()),10)),"yymm")*1&gt;1403,TEXT(IF(TODAY()&gt;WORKDAY(DATE(YEAR(TODAY()),MONTH(TODAY()),0),10,Holiday),DATE(YEAR(TODAY()),MONTH(TODAY())+1,10),DATE(YEAR(TODAY()),MONTH(TODAY()),10)),"yymm"),"1403")</f>
        <v>I1507</v>
      </c>
      <c r="B172" s="11">
        <f t="shared" ref="B172:B185" ca="1" si="45">IF(RIGHT(A172,4)*1&lt;1410,DATE(2013,10,18),WORKDAY(WORKDAY(DATE("20"&amp;MID(A172,2,2),RIGHT(A172,2)-12,0),10,Holiday),1,Holiday))</f>
        <v>41835</v>
      </c>
      <c r="C172" s="11">
        <f t="shared" ref="C172:C185" ca="1" si="46">WORKDAY(DATE("20"&amp;MID(A172,2,2),RIGHT(A172,2),0),10,Holiday)</f>
        <v>42199</v>
      </c>
      <c r="D172" s="11">
        <f ca="1">IF(CTP=1,WORKDAY(大连商品交易所!D172,-1,Holiday)+1,WORKDAY(大连商品交易所!D172,0-全局参数,Holiday))</f>
        <v>42173</v>
      </c>
      <c r="E172" s="11">
        <f ca="1">IF(CTP=1,WORKDAY(大连商品交易所!E172,-1,Holiday)+1,WORKDAY(大连商品交易所!E172,0-全局参数,Holiday))</f>
        <v>42185</v>
      </c>
      <c r="AA172" t="str">
        <f t="shared" ca="1" si="37"/>
        <v/>
      </c>
    </row>
    <row r="173" spans="1:27" x14ac:dyDescent="0.15">
      <c r="A173" s="22" t="str">
        <f ca="1">"I"&amp;TEXT(DATE("20"&amp;MID(A172,LEN(A172)-3,2),RIGHT(A172,2)+1,"10"),"yymm")</f>
        <v>I1508</v>
      </c>
      <c r="B173" s="12">
        <f t="shared" ca="1" si="45"/>
        <v>41866</v>
      </c>
      <c r="C173" s="12">
        <f t="shared" ca="1" si="46"/>
        <v>42230</v>
      </c>
      <c r="D173" s="12">
        <f ca="1">IF(CTP=1,WORKDAY(大连商品交易所!D173,-1,Holiday)+1,WORKDAY(大连商品交易所!D173,0-全局参数,Holiday))</f>
        <v>42205</v>
      </c>
      <c r="E173" s="12">
        <f ca="1">IF(CTP=1,WORKDAY(大连商品交易所!E173,-1,Holiday)+1,WORKDAY(大连商品交易所!E173,0-全局参数,Holiday))</f>
        <v>42216</v>
      </c>
      <c r="AA173" t="str">
        <f t="shared" ca="1" si="37"/>
        <v/>
      </c>
    </row>
    <row r="174" spans="1:27" x14ac:dyDescent="0.15">
      <c r="A174" s="21" t="str">
        <f t="shared" ref="A174:A185" ca="1" si="47">"I"&amp;TEXT(DATE("20"&amp;MID(A173,LEN(A173)-3,2),RIGHT(A173,2)+1,"10"),"yymm")</f>
        <v>I1509</v>
      </c>
      <c r="B174" s="11">
        <f t="shared" ca="1" si="45"/>
        <v>41898</v>
      </c>
      <c r="C174" s="11">
        <f t="shared" ca="1" si="46"/>
        <v>42263</v>
      </c>
      <c r="D174" s="11">
        <f ca="1">IF(CTP=1,WORKDAY(大连商品交易所!D174,-1,Holiday)+1,WORKDAY(大连商品交易所!D174,0-全局参数,Holiday))</f>
        <v>42236</v>
      </c>
      <c r="E174" s="11">
        <f ca="1">IF(CTP=1,WORKDAY(大连商品交易所!E174,-1,Holiday)+1,WORKDAY(大连商品交易所!E174,0-全局参数,Holiday))</f>
        <v>42247</v>
      </c>
      <c r="AA174" t="str">
        <f t="shared" ca="1" si="37"/>
        <v/>
      </c>
    </row>
    <row r="175" spans="1:27" x14ac:dyDescent="0.15">
      <c r="A175" s="22" t="str">
        <f t="shared" ca="1" si="47"/>
        <v>I1510</v>
      </c>
      <c r="B175" s="12">
        <f t="shared" ca="1" si="45"/>
        <v>41934</v>
      </c>
      <c r="C175" s="12">
        <f t="shared" ca="1" si="46"/>
        <v>42298</v>
      </c>
      <c r="D175" s="12">
        <f ca="1">IF(CTP=1,WORKDAY(大连商品交易所!D175,-1,Holiday)+1,WORKDAY(大连商品交易所!D175,0-全局参数,Holiday))</f>
        <v>42269</v>
      </c>
      <c r="E175" s="12">
        <f ca="1">IF(CTP=1,WORKDAY(大连商品交易所!E175,-1,Holiday)+1,WORKDAY(大连商品交易所!E175,0-全局参数,Holiday))</f>
        <v>42277</v>
      </c>
      <c r="AA175" t="str">
        <f t="shared" ca="1" si="37"/>
        <v/>
      </c>
    </row>
    <row r="176" spans="1:27" x14ac:dyDescent="0.15">
      <c r="A176" s="21" t="str">
        <f t="shared" ca="1" si="47"/>
        <v>I1511</v>
      </c>
      <c r="B176" s="11">
        <f t="shared" ca="1" si="45"/>
        <v>41960</v>
      </c>
      <c r="C176" s="11">
        <f t="shared" ca="1" si="46"/>
        <v>42321</v>
      </c>
      <c r="D176" s="11">
        <f ca="1">IF(CTP=1,WORKDAY(大连商品交易所!D176,-1,Holiday)+1,WORKDAY(大连商品交易所!D176,0-全局参数,Holiday))</f>
        <v>42304</v>
      </c>
      <c r="E176" s="11">
        <f ca="1">IF(CTP=1,WORKDAY(大连商品交易所!E176,-1,Holiday)+1,WORKDAY(大连商品交易所!E176,0-全局参数,Holiday))</f>
        <v>42307</v>
      </c>
      <c r="AA176" t="str">
        <f t="shared" ca="1" si="37"/>
        <v/>
      </c>
    </row>
    <row r="177" spans="1:27" x14ac:dyDescent="0.15">
      <c r="A177" s="22" t="str">
        <f t="shared" ca="1" si="47"/>
        <v>I1512</v>
      </c>
      <c r="B177" s="12">
        <f t="shared" ca="1" si="45"/>
        <v>41988</v>
      </c>
      <c r="C177" s="12">
        <f t="shared" ca="1" si="46"/>
        <v>42352</v>
      </c>
      <c r="D177" s="12">
        <f ca="1">IF(CTP=1,WORKDAY(大连商品交易所!D177,-1,Holiday)+1,WORKDAY(大连商品交易所!D177,0-全局参数,Holiday))</f>
        <v>42327</v>
      </c>
      <c r="E177" s="12">
        <f ca="1">IF(CTP=1,WORKDAY(大连商品交易所!E177,-1,Holiday)+1,WORKDAY(大连商品交易所!E177,0-全局参数,Holiday))</f>
        <v>42338</v>
      </c>
      <c r="AA177" t="str">
        <f t="shared" ca="1" si="37"/>
        <v/>
      </c>
    </row>
    <row r="178" spans="1:27" x14ac:dyDescent="0.15">
      <c r="A178" s="21" t="str">
        <f t="shared" ca="1" si="47"/>
        <v>I1601</v>
      </c>
      <c r="B178" s="11">
        <f t="shared" ca="1" si="45"/>
        <v>42023</v>
      </c>
      <c r="C178" s="11">
        <f t="shared" ca="1" si="46"/>
        <v>42383</v>
      </c>
      <c r="D178" s="11">
        <f ca="1">IF(CTP=1,WORKDAY(大连商品交易所!D178,-1,Holiday)+1,WORKDAY(大连商品交易所!D178,0-全局参数,Holiday))</f>
        <v>42356</v>
      </c>
      <c r="E178" s="11">
        <f ca="1">IF(CTP=1,WORKDAY(大连商品交易所!E178,-1,Holiday)+1,WORKDAY(大连商品交易所!E178,0-全局参数,Holiday))</f>
        <v>42369</v>
      </c>
      <c r="AA178" t="str">
        <f t="shared" ca="1" si="37"/>
        <v/>
      </c>
    </row>
    <row r="179" spans="1:27" x14ac:dyDescent="0.15">
      <c r="A179" s="22" t="str">
        <f t="shared" ca="1" si="47"/>
        <v>I1602</v>
      </c>
      <c r="B179" s="12">
        <f t="shared" ca="1" si="45"/>
        <v>42051</v>
      </c>
      <c r="C179" s="12">
        <f t="shared" ca="1" si="46"/>
        <v>42412</v>
      </c>
      <c r="D179" s="12">
        <f ca="1">IF(CTP=1,WORKDAY(大连商品交易所!D179,-1,Holiday)+1,WORKDAY(大连商品交易所!D179,0-全局参数,Holiday))</f>
        <v>42389</v>
      </c>
      <c r="E179" s="12">
        <f ca="1">IF(CTP=1,WORKDAY(大连商品交易所!E179,-1,Holiday)+1,WORKDAY(大连商品交易所!E179,0-全局参数,Holiday))</f>
        <v>42398</v>
      </c>
      <c r="AA179" t="str">
        <f t="shared" ca="1" si="37"/>
        <v/>
      </c>
    </row>
    <row r="180" spans="1:27" x14ac:dyDescent="0.15">
      <c r="A180" s="21" t="str">
        <f t="shared" ca="1" si="47"/>
        <v>I1603</v>
      </c>
      <c r="B180" s="11">
        <f t="shared" ca="1" si="45"/>
        <v>42079</v>
      </c>
      <c r="C180" s="11">
        <f t="shared" ca="1" si="46"/>
        <v>42443</v>
      </c>
      <c r="D180" s="11">
        <f ca="1">IF(CTP=1,WORKDAY(大连商品交易所!D180,-1,Holiday)+1,WORKDAY(大连商品交易所!D180,0-全局参数,Holiday))</f>
        <v>42418</v>
      </c>
      <c r="E180" s="11">
        <f ca="1">IF(CTP=1,WORKDAY(大连商品交易所!E180,-1,Holiday)+1,WORKDAY(大连商品交易所!E180,0-全局参数,Holiday))</f>
        <v>42429</v>
      </c>
      <c r="AA180" t="str">
        <f t="shared" ca="1" si="37"/>
        <v/>
      </c>
    </row>
    <row r="181" spans="1:27" x14ac:dyDescent="0.15">
      <c r="A181" s="22" t="str">
        <f t="shared" ca="1" si="47"/>
        <v>I1604</v>
      </c>
      <c r="B181" s="12">
        <f t="shared" ca="1" si="45"/>
        <v>42110</v>
      </c>
      <c r="C181" s="12">
        <f t="shared" ca="1" si="46"/>
        <v>42474</v>
      </c>
      <c r="D181" s="12">
        <f ca="1">IF(CTP=1,WORKDAY(大连商品交易所!D181,-1,Holiday)+1,WORKDAY(大连商品交易所!D181,0-全局参数,Holiday))</f>
        <v>42447</v>
      </c>
      <c r="E181" s="12">
        <f ca="1">IF(CTP=1,WORKDAY(大连商品交易所!E181,-1,Holiday)+1,WORKDAY(大连商品交易所!E181,0-全局参数,Holiday))</f>
        <v>42460</v>
      </c>
      <c r="AA181" t="str">
        <f t="shared" ca="1" si="37"/>
        <v/>
      </c>
    </row>
    <row r="182" spans="1:27" x14ac:dyDescent="0.15">
      <c r="A182" s="21" t="str">
        <f t="shared" ca="1" si="47"/>
        <v>I1605</v>
      </c>
      <c r="B182" s="11">
        <f t="shared" ca="1" si="45"/>
        <v>42142</v>
      </c>
      <c r="C182" s="11">
        <f t="shared" ca="1" si="46"/>
        <v>42503</v>
      </c>
      <c r="D182" s="11">
        <f ca="1">IF(CTP=1,WORKDAY(大连商品交易所!D182,-1,Holiday)+1,WORKDAY(大连商品交易所!D182,0-全局参数,Holiday))</f>
        <v>42480</v>
      </c>
      <c r="E182" s="11">
        <f ca="1">IF(CTP=1,WORKDAY(大连商品交易所!E182,-1,Holiday)+1,WORKDAY(大连商品交易所!E182,0-全局参数,Holiday))</f>
        <v>42489</v>
      </c>
      <c r="AA182" t="str">
        <f t="shared" ca="1" si="37"/>
        <v/>
      </c>
    </row>
    <row r="183" spans="1:27" x14ac:dyDescent="0.15">
      <c r="A183" s="22" t="str">
        <f t="shared" ca="1" si="47"/>
        <v>I1606</v>
      </c>
      <c r="B183" s="12">
        <f t="shared" ca="1" si="45"/>
        <v>42170</v>
      </c>
      <c r="C183" s="12">
        <f t="shared" ca="1" si="46"/>
        <v>42535</v>
      </c>
      <c r="D183" s="12">
        <f ca="1">IF(CTP=1,WORKDAY(大连商品交易所!D183,-1,Holiday)+1,WORKDAY(大连商品交易所!D183,0-全局参数,Holiday))</f>
        <v>42509</v>
      </c>
      <c r="E183" s="12">
        <f ca="1">IF(CTP=1,WORKDAY(大连商品交易所!E183,-1,Holiday)+1,WORKDAY(大连商品交易所!E183,0-全局参数,Holiday))</f>
        <v>42521</v>
      </c>
      <c r="AA183" t="str">
        <f t="shared" ca="1" si="37"/>
        <v/>
      </c>
    </row>
    <row r="184" spans="1:27" x14ac:dyDescent="0.15">
      <c r="A184" s="21" t="str">
        <f t="shared" ca="1" si="47"/>
        <v>I1607</v>
      </c>
      <c r="B184" s="11">
        <f t="shared" ca="1" si="45"/>
        <v>42200</v>
      </c>
      <c r="C184" s="11">
        <f t="shared" ca="1" si="46"/>
        <v>42565</v>
      </c>
      <c r="D184" s="11">
        <f ca="1">IF(CTP=1,WORKDAY(大连商品交易所!D184,-1,Holiday)+1,WORKDAY(大连商品交易所!D184,0-全局参数,Holiday))</f>
        <v>42541</v>
      </c>
      <c r="E184" s="11">
        <f ca="1">IF(CTP=1,WORKDAY(大连商品交易所!E184,-1,Holiday)+1,WORKDAY(大连商品交易所!E184,0-全局参数,Holiday))</f>
        <v>42551</v>
      </c>
      <c r="AA184">
        <f t="shared" ca="1" si="37"/>
        <v>184</v>
      </c>
    </row>
    <row r="185" spans="1:27" x14ac:dyDescent="0.15">
      <c r="A185" s="22" t="str">
        <f t="shared" ca="1" si="47"/>
        <v>I1608</v>
      </c>
      <c r="B185" s="12">
        <f t="shared" ca="1" si="45"/>
        <v>42233</v>
      </c>
      <c r="C185" s="12">
        <f t="shared" ca="1" si="46"/>
        <v>42594</v>
      </c>
      <c r="D185" s="12">
        <f ca="1">IF(CTP=1,WORKDAY(大连商品交易所!D185,-1,Holiday)+1,WORKDAY(大连商品交易所!D185,0-全局参数,Holiday))</f>
        <v>42571</v>
      </c>
      <c r="E185" s="12">
        <f ca="1">IF(CTP=1,WORKDAY(大连商品交易所!E185,-1,Holiday)+1,WORKDAY(大连商品交易所!E185,0-全局参数,Holiday))</f>
        <v>42580</v>
      </c>
      <c r="AA185" t="str">
        <f t="shared" ca="1" si="37"/>
        <v/>
      </c>
    </row>
    <row r="186" spans="1:27" x14ac:dyDescent="0.15">
      <c r="AA186" t="str">
        <f t="shared" ca="1" si="37"/>
        <v/>
      </c>
    </row>
    <row r="187" spans="1:27" x14ac:dyDescent="0.15">
      <c r="AA187" t="str">
        <f t="shared" ca="1" si="37"/>
        <v/>
      </c>
    </row>
    <row r="188" spans="1:27" x14ac:dyDescent="0.15">
      <c r="A188" s="48" t="str">
        <f>"鲜鸡蛋JD"&amp;TEXT(鲜鸡蛋JD,"#%")</f>
        <v>鲜鸡蛋JD8%</v>
      </c>
      <c r="B188" s="49"/>
      <c r="C188" s="49"/>
      <c r="D188" s="49"/>
      <c r="E188" s="50"/>
      <c r="AA188" t="str">
        <f t="shared" ca="1" si="37"/>
        <v/>
      </c>
    </row>
    <row r="189" spans="1:27" ht="17.25" thickBot="1" x14ac:dyDescent="0.2">
      <c r="A189" s="20"/>
      <c r="B189" s="33" t="s">
        <v>46</v>
      </c>
      <c r="C189" s="33" t="s">
        <v>1</v>
      </c>
      <c r="D189" s="10">
        <v>0.1</v>
      </c>
      <c r="E189" s="10">
        <v>0.2</v>
      </c>
      <c r="AA189" t="str">
        <f t="shared" ca="1" si="37"/>
        <v/>
      </c>
    </row>
    <row r="190" spans="1:27" x14ac:dyDescent="0.15">
      <c r="A190" s="21" t="str">
        <f ca="1">"JD"&amp;IF(TEXT(IF(TODAY()&gt;WORKDAY(DATE(YEAR(TODAY()),VLOOKUP(MONTH(TODAY()),{1,1;2,2;3,3;4,4;5,5;6,6;7,9;8,9;9,9;10,10;11,11;12,12},2,FALSE),0),10,Holiday),DATE(YEAR(TODAY()),VLOOKUP(MONTH(TODAY()),{1,1;2,2;3,3;4,4;5,5;6,6;7,9;8,9;9,9;10,10;11,11;12,12},2,FALSE)+1,10),DATE(YEAR(TODAY()),VLOOKUP(MONTH(TODAY()),{1,1;2,2;3,3;4,4;5,5;6,6;7,9;8,9;9,9;10,10;11,11;12,12},2,FALSE),10)),"yymm")*1&gt;1403,TEXT(IF(TODAY()&gt;WORKDAY(DATE(YEAR(TODAY()),VLOOKUP(MONTH(TODAY()),{1,1;2,2;3,3;4,4;5,5;6,6;7,9;8,9;9,9;10,10;11,11;12,12},2,FALSE),0),10,Holiday),DATE(YEAR(TODAY()),VLOOKUP(MONTH(TODAY()),{1,1;2,2;3,3;4,4;5,5;6,6;7,9;8,9;9,9;10,10;11,11;12,12},2,FALSE)+1,10),DATE(YEAR(TODAY()),VLOOKUP(MONTH(TODAY()),{1,1;2,2;3,3;4,4;5,5;6,6;7,9;8,9;9,9;10,10;11,11;12,12},2,FALSE),10)),"yymm"),"1403")</f>
        <v>JD1507</v>
      </c>
      <c r="B190" s="11">
        <f t="shared" ref="B190:B201" ca="1" si="48">IF(RIGHT(A190,4)*1&lt;=1410,DATE(2013,11,8),WORKDAY(WORKDAY(DATE("20"&amp;MID(A190,3,2),RIGHT(A190,2)-12,0),10,Holiday),1,Holiday))</f>
        <v>41835</v>
      </c>
      <c r="C190" s="11">
        <f t="shared" ref="C190:C201" ca="1" si="49">WORKDAY(DATE("20"&amp;MID(A190,3,2),RIGHT(A190,2),0),10,Holiday)</f>
        <v>42199</v>
      </c>
      <c r="D190" s="11">
        <f ca="1">IF(CTP=1,WORKDAY(大连商品交易所!D190,-1,Holiday)+1,WORKDAY(大连商品交易所!D190,0-全局参数,Holiday))</f>
        <v>42173</v>
      </c>
      <c r="E190" s="11">
        <f ca="1">IF(CTP=1,WORKDAY(大连商品交易所!E190,-1,Holiday)+1,WORKDAY(大连商品交易所!E190,0-全局参数,Holiday))</f>
        <v>42185</v>
      </c>
      <c r="AA190" t="str">
        <f t="shared" ca="1" si="37"/>
        <v/>
      </c>
    </row>
    <row r="191" spans="1:27" x14ac:dyDescent="0.15">
      <c r="A191" s="22" t="str">
        <f ca="1">"JD"&amp;TEXT(DATE("20"&amp;MID(A190,LEN(A190)-3,2),VLOOKUP(RIGHT(A190,2)+1,{1,1;2,2;3,3;4,4;5,5;6,6;7,9;8,9;9,9;10,10;11,11;12,12;13,13},2,FALSE),"10"),"yymm")</f>
        <v>JD1509</v>
      </c>
      <c r="B191" s="12">
        <f t="shared" ca="1" si="48"/>
        <v>41898</v>
      </c>
      <c r="C191" s="12">
        <f t="shared" ca="1" si="49"/>
        <v>42263</v>
      </c>
      <c r="D191" s="12">
        <f ca="1">IF(CTP=1,WORKDAY(大连商品交易所!D191,-1,Holiday)+1,WORKDAY(大连商品交易所!D191,0-全局参数,Holiday))</f>
        <v>42236</v>
      </c>
      <c r="E191" s="12">
        <f ca="1">IF(CTP=1,WORKDAY(大连商品交易所!E191,-1,Holiday)+1,WORKDAY(大连商品交易所!E191,0-全局参数,Holiday))</f>
        <v>42247</v>
      </c>
      <c r="AA191" t="str">
        <f t="shared" ca="1" si="37"/>
        <v/>
      </c>
    </row>
    <row r="192" spans="1:27" x14ac:dyDescent="0.15">
      <c r="A192" s="21" t="str">
        <f ca="1">"JD"&amp;TEXT(DATE("20"&amp;MID(A191,LEN(A191)-3,2),VLOOKUP(RIGHT(A191,2)+1,{1,1;2,2;3,3;4,4;5,5;6,6;7,9;8,9;9,9;10,10;11,11;12,12;13,13},2,FALSE),"10"),"yymm")</f>
        <v>JD1510</v>
      </c>
      <c r="B192" s="11">
        <f t="shared" ca="1" si="48"/>
        <v>41934</v>
      </c>
      <c r="C192" s="11">
        <f t="shared" ca="1" si="49"/>
        <v>42298</v>
      </c>
      <c r="D192" s="11">
        <f ca="1">IF(CTP=1,WORKDAY(大连商品交易所!D192,-1,Holiday)+1,WORKDAY(大连商品交易所!D192,0-全局参数,Holiday))</f>
        <v>42269</v>
      </c>
      <c r="E192" s="11">
        <f ca="1">IF(CTP=1,WORKDAY(大连商品交易所!E192,-1,Holiday)+1,WORKDAY(大连商品交易所!E192,0-全局参数,Holiday))</f>
        <v>42277</v>
      </c>
      <c r="AA192" t="str">
        <f t="shared" ca="1" si="37"/>
        <v/>
      </c>
    </row>
    <row r="193" spans="1:27" x14ac:dyDescent="0.15">
      <c r="A193" s="22" t="str">
        <f ca="1">"JD"&amp;TEXT(DATE("20"&amp;MID(A192,LEN(A192)-3,2),VLOOKUP(RIGHT(A192,2)+1,{1,1;2,2;3,3;4,4;5,5;6,6;7,9;8,9;9,9;10,10;11,11;12,12;13,13},2,FALSE),"10"),"yymm")</f>
        <v>JD1511</v>
      </c>
      <c r="B193" s="12">
        <f t="shared" ca="1" si="48"/>
        <v>41960</v>
      </c>
      <c r="C193" s="12">
        <f t="shared" ca="1" si="49"/>
        <v>42321</v>
      </c>
      <c r="D193" s="12">
        <f ca="1">IF(CTP=1,WORKDAY(大连商品交易所!D193,-1,Holiday)+1,WORKDAY(大连商品交易所!D193,0-全局参数,Holiday))</f>
        <v>42304</v>
      </c>
      <c r="E193" s="12">
        <f ca="1">IF(CTP=1,WORKDAY(大连商品交易所!E193,-1,Holiday)+1,WORKDAY(大连商品交易所!E193,0-全局参数,Holiday))</f>
        <v>42307</v>
      </c>
      <c r="AA193" t="str">
        <f t="shared" ca="1" si="37"/>
        <v/>
      </c>
    </row>
    <row r="194" spans="1:27" x14ac:dyDescent="0.15">
      <c r="A194" s="21" t="str">
        <f ca="1">"JD"&amp;TEXT(DATE("20"&amp;MID(A193,LEN(A193)-3,2),VLOOKUP(RIGHT(A193,2)+1,{1,1;2,2;3,3;4,4;5,5;6,6;7,9;8,9;9,9;10,10;11,11;12,12;13,13},2,FALSE),"10"),"yymm")</f>
        <v>JD1512</v>
      </c>
      <c r="B194" s="11">
        <f t="shared" ca="1" si="48"/>
        <v>41988</v>
      </c>
      <c r="C194" s="11">
        <f t="shared" ca="1" si="49"/>
        <v>42352</v>
      </c>
      <c r="D194" s="11">
        <f ca="1">IF(CTP=1,WORKDAY(大连商品交易所!D194,-1,Holiday)+1,WORKDAY(大连商品交易所!D194,0-全局参数,Holiday))</f>
        <v>42327</v>
      </c>
      <c r="E194" s="11">
        <f ca="1">IF(CTP=1,WORKDAY(大连商品交易所!E194,-1,Holiday)+1,WORKDAY(大连商品交易所!E194,0-全局参数,Holiday))</f>
        <v>42338</v>
      </c>
      <c r="AA194" t="str">
        <f t="shared" ref="AA194:AA255" ca="1" si="50">IFERROR(IF(AND(B194+0&gt;TODAY(),B194+0&lt;DATE(YEAR(TODAY()),MONTH(TODAY())+1,DAY(TODAY()))),ROW(),""),"")</f>
        <v/>
      </c>
    </row>
    <row r="195" spans="1:27" x14ac:dyDescent="0.15">
      <c r="A195" s="22" t="str">
        <f ca="1">"JD"&amp;TEXT(DATE("20"&amp;MID(A194,LEN(A194)-3,2),VLOOKUP(RIGHT(A194,2)+1,{1,1;2,2;3,3;4,4;5,5;6,6;7,9;8,9;9,9;10,10;11,11;12,12;13,13},2,FALSE),"10"),"yymm")</f>
        <v>JD1601</v>
      </c>
      <c r="B195" s="12">
        <f t="shared" ca="1" si="48"/>
        <v>42023</v>
      </c>
      <c r="C195" s="12">
        <f t="shared" ca="1" si="49"/>
        <v>42383</v>
      </c>
      <c r="D195" s="12">
        <f ca="1">IF(CTP=1,WORKDAY(大连商品交易所!D195,-1,Holiday)+1,WORKDAY(大连商品交易所!D195,0-全局参数,Holiday))</f>
        <v>42356</v>
      </c>
      <c r="E195" s="12">
        <f ca="1">IF(CTP=1,WORKDAY(大连商品交易所!E195,-1,Holiday)+1,WORKDAY(大连商品交易所!E195,0-全局参数,Holiday))</f>
        <v>42369</v>
      </c>
      <c r="AA195" t="str">
        <f t="shared" ca="1" si="50"/>
        <v/>
      </c>
    </row>
    <row r="196" spans="1:27" x14ac:dyDescent="0.15">
      <c r="A196" s="21" t="str">
        <f ca="1">"JD"&amp;TEXT(DATE("20"&amp;MID(A195,LEN(A195)-3,2),VLOOKUP(RIGHT(A195,2)+1,{1,1;2,2;3,3;4,4;5,5;6,6;7,9;8,9;9,9;10,10;11,11;12,12;13,13},2,FALSE),"10"),"yymm")</f>
        <v>JD1602</v>
      </c>
      <c r="B196" s="11">
        <f t="shared" ca="1" si="48"/>
        <v>42051</v>
      </c>
      <c r="C196" s="11">
        <f t="shared" ca="1" si="49"/>
        <v>42412</v>
      </c>
      <c r="D196" s="11">
        <f ca="1">IF(CTP=1,WORKDAY(大连商品交易所!D196,-1,Holiday)+1,WORKDAY(大连商品交易所!D196,0-全局参数,Holiday))</f>
        <v>42389</v>
      </c>
      <c r="E196" s="11">
        <f ca="1">IF(CTP=1,WORKDAY(大连商品交易所!E196,-1,Holiday)+1,WORKDAY(大连商品交易所!E196,0-全局参数,Holiday))</f>
        <v>42398</v>
      </c>
      <c r="AA196" t="str">
        <f t="shared" ca="1" si="50"/>
        <v/>
      </c>
    </row>
    <row r="197" spans="1:27" x14ac:dyDescent="0.15">
      <c r="A197" s="22" t="str">
        <f ca="1">"JD"&amp;TEXT(DATE("20"&amp;MID(A196,LEN(A196)-3,2),VLOOKUP(RIGHT(A196,2)+1,{1,1;2,2;3,3;4,4;5,5;6,6;7,9;8,9;9,9;10,10;11,11;12,12;13,13},2,FALSE),"10"),"yymm")</f>
        <v>JD1603</v>
      </c>
      <c r="B197" s="12">
        <f t="shared" ca="1" si="48"/>
        <v>42079</v>
      </c>
      <c r="C197" s="12">
        <f t="shared" ca="1" si="49"/>
        <v>42443</v>
      </c>
      <c r="D197" s="12">
        <f ca="1">IF(CTP=1,WORKDAY(大连商品交易所!D197,-1,Holiday)+1,WORKDAY(大连商品交易所!D197,0-全局参数,Holiday))</f>
        <v>42418</v>
      </c>
      <c r="E197" s="12">
        <f ca="1">IF(CTP=1,WORKDAY(大连商品交易所!E197,-1,Holiday)+1,WORKDAY(大连商品交易所!E197,0-全局参数,Holiday))</f>
        <v>42429</v>
      </c>
      <c r="AA197" t="str">
        <f t="shared" ca="1" si="50"/>
        <v/>
      </c>
    </row>
    <row r="198" spans="1:27" x14ac:dyDescent="0.15">
      <c r="A198" s="21" t="str">
        <f ca="1">"JD"&amp;TEXT(DATE("20"&amp;MID(A197,LEN(A197)-3,2),VLOOKUP(RIGHT(A197,2)+1,{1,1;2,2;3,3;4,4;5,5;6,6;7,9;8,9;9,9;10,10;11,11;12,12;13,13},2,FALSE),"10"),"yymm")</f>
        <v>JD1604</v>
      </c>
      <c r="B198" s="11">
        <f t="shared" ca="1" si="48"/>
        <v>42110</v>
      </c>
      <c r="C198" s="11">
        <f t="shared" ca="1" si="49"/>
        <v>42474</v>
      </c>
      <c r="D198" s="11">
        <f ca="1">IF(CTP=1,WORKDAY(大连商品交易所!D198,-1,Holiday)+1,WORKDAY(大连商品交易所!D198,0-全局参数,Holiday))</f>
        <v>42447</v>
      </c>
      <c r="E198" s="11">
        <f ca="1">IF(CTP=1,WORKDAY(大连商品交易所!E198,-1,Holiday)+1,WORKDAY(大连商品交易所!E198,0-全局参数,Holiday))</f>
        <v>42460</v>
      </c>
      <c r="AA198" t="str">
        <f t="shared" ca="1" si="50"/>
        <v/>
      </c>
    </row>
    <row r="199" spans="1:27" x14ac:dyDescent="0.15">
      <c r="A199" s="22" t="str">
        <f ca="1">"JD"&amp;TEXT(DATE("20"&amp;MID(A198,LEN(A198)-3,2),VLOOKUP(RIGHT(A198,2)+1,{1,1;2,2;3,3;4,4;5,5;6,6;7,9;8,9;9,9;10,10;11,11;12,12;13,13},2,FALSE),"10"),"yymm")</f>
        <v>JD1605</v>
      </c>
      <c r="B199" s="12">
        <f t="shared" ca="1" si="48"/>
        <v>42142</v>
      </c>
      <c r="C199" s="12">
        <f t="shared" ca="1" si="49"/>
        <v>42503</v>
      </c>
      <c r="D199" s="12">
        <f ca="1">IF(CTP=1,WORKDAY(大连商品交易所!D199,-1,Holiday)+1,WORKDAY(大连商品交易所!D199,0-全局参数,Holiday))</f>
        <v>42480</v>
      </c>
      <c r="E199" s="12">
        <f ca="1">IF(CTP=1,WORKDAY(大连商品交易所!E199,-1,Holiday)+1,WORKDAY(大连商品交易所!E199,0-全局参数,Holiday))</f>
        <v>42489</v>
      </c>
      <c r="AA199" t="str">
        <f t="shared" ca="1" si="50"/>
        <v/>
      </c>
    </row>
    <row r="200" spans="1:27" x14ac:dyDescent="0.15">
      <c r="A200" s="21" t="str">
        <f ca="1">"JD"&amp;TEXT(DATE("20"&amp;MID(A199,LEN(A199)-3,2),VLOOKUP(RIGHT(A199,2)+1,{1,1;2,2;3,3;4,4;5,5;6,6;7,9;8,9;9,9;10,10;11,11;12,12;13,13},2,FALSE),"10"),"yymm")</f>
        <v>JD1606</v>
      </c>
      <c r="B200" s="11">
        <f t="shared" ca="1" si="48"/>
        <v>42170</v>
      </c>
      <c r="C200" s="11">
        <f t="shared" ca="1" si="49"/>
        <v>42535</v>
      </c>
      <c r="D200" s="11">
        <f ca="1">IF(CTP=1,WORKDAY(大连商品交易所!D200,-1,Holiday)+1,WORKDAY(大连商品交易所!D200,0-全局参数,Holiday))</f>
        <v>42509</v>
      </c>
      <c r="E200" s="11">
        <f ca="1">IF(CTP=1,WORKDAY(大连商品交易所!E200,-1,Holiday)+1,WORKDAY(大连商品交易所!E200,0-全局参数,Holiday))</f>
        <v>42521</v>
      </c>
      <c r="AA200" t="str">
        <f t="shared" ca="1" si="50"/>
        <v/>
      </c>
    </row>
    <row r="201" spans="1:27" x14ac:dyDescent="0.15">
      <c r="A201" s="22" t="str">
        <f ca="1">"JD"&amp;TEXT(DATE("20"&amp;MID(A200,LEN(A200)-3,2),VLOOKUP(RIGHT(A200,2)+1,{1,1;2,2;3,3;4,4;5,5;6,6;7,9;8,9;9,9;10,10;11,11;12,12;13,13},2,FALSE),"10"),"yymm")</f>
        <v>JD1609</v>
      </c>
      <c r="B201" s="12">
        <f t="shared" ca="1" si="48"/>
        <v>42264</v>
      </c>
      <c r="C201" s="12">
        <f t="shared" ca="1" si="49"/>
        <v>42627</v>
      </c>
      <c r="D201" s="12">
        <f ca="1">IF(CTP=1,WORKDAY(大连商品交易所!D201,-1,Holiday)+1,WORKDAY(大连商品交易所!D201,0-全局参数,Holiday))</f>
        <v>42600</v>
      </c>
      <c r="E201" s="12">
        <f ca="1">IF(CTP=1,WORKDAY(大连商品交易所!E201,-1,Holiday)+1,WORKDAY(大连商品交易所!E201,0-全局参数,Holiday))</f>
        <v>42613</v>
      </c>
      <c r="AA201" t="str">
        <f t="shared" ca="1" si="50"/>
        <v/>
      </c>
    </row>
    <row r="202" spans="1:27" x14ac:dyDescent="0.15">
      <c r="AA202" t="str">
        <f t="shared" ca="1" si="50"/>
        <v/>
      </c>
    </row>
    <row r="203" spans="1:27" x14ac:dyDescent="0.15">
      <c r="AA203" t="str">
        <f t="shared" ca="1" si="50"/>
        <v/>
      </c>
    </row>
    <row r="204" spans="1:27" x14ac:dyDescent="0.15">
      <c r="A204" s="48" t="str">
        <f>"纤维板FB"&amp;TEXT(纤维板FB,"#%")</f>
        <v>纤维板FB20%</v>
      </c>
      <c r="B204" s="49"/>
      <c r="C204" s="49"/>
      <c r="D204" s="49"/>
      <c r="E204" s="50"/>
      <c r="AA204" t="str">
        <f t="shared" ca="1" si="50"/>
        <v/>
      </c>
    </row>
    <row r="205" spans="1:27" ht="17.25" thickBot="1" x14ac:dyDescent="0.2">
      <c r="A205" s="20"/>
      <c r="B205" s="33" t="s">
        <v>46</v>
      </c>
      <c r="C205" s="33" t="s">
        <v>1</v>
      </c>
      <c r="D205" s="10">
        <v>0.1</v>
      </c>
      <c r="E205" s="10">
        <v>0.2</v>
      </c>
      <c r="AA205" t="str">
        <f t="shared" ca="1" si="50"/>
        <v/>
      </c>
    </row>
    <row r="206" spans="1:27" x14ac:dyDescent="0.15">
      <c r="A206" s="21" t="str">
        <f ca="1">"FB"&amp;IF(TEXT(IF(TODAY()&gt;WORKDAY(DATE(YEAR(TODAY()),MONTH(TODAY()),0),10,Holiday),DATE(YEAR(TODAY()),MONTH(TODAY())+1,10),DATE(YEAR(TODAY()),MONTH(TODAY()),10)),"yymm")*1&gt;1404,TEXT(IF(TODAY()&gt;WORKDAY(DATE(YEAR(TODAY()),MONTH(TODAY()),0),10,Holiday),DATE(YEAR(TODAY()),MONTH(TODAY())+1,10),DATE(YEAR(TODAY()),MONTH(TODAY()),10)),"yymm"),"1404")</f>
        <v>FB1507</v>
      </c>
      <c r="B206" s="11">
        <f t="shared" ref="B206:B219" ca="1" si="51">IF(RIGHT(A206,4)*1&lt;1412,DATE(2013,12,6),WORKDAY(WORKDAY(DATE("20"&amp;MID(A206,3,2),RIGHT(A206,2)-12,0),10,Holiday),1,Holiday))</f>
        <v>41835</v>
      </c>
      <c r="C206" s="11">
        <f t="shared" ref="C206:C219" ca="1" si="52">WORKDAY(DATE("20"&amp;MID(A206,3,2),RIGHT(A206,2),0),10,Holiday)</f>
        <v>42199</v>
      </c>
      <c r="D206" s="11">
        <f ca="1">IF(CTP=1,WORKDAY(大连商品交易所!D206,-1,Holiday)+1,WORKDAY(大连商品交易所!D206,0-全局参数,Holiday))</f>
        <v>42173</v>
      </c>
      <c r="E206" s="11">
        <f ca="1">IF(CTP=1,WORKDAY(大连商品交易所!E206,-1,Holiday)+1,WORKDAY(大连商品交易所!E206,0-全局参数,Holiday))</f>
        <v>42185</v>
      </c>
      <c r="AA206" t="str">
        <f t="shared" ca="1" si="50"/>
        <v/>
      </c>
    </row>
    <row r="207" spans="1:27" x14ac:dyDescent="0.15">
      <c r="A207" s="22" t="str">
        <f ca="1">"FB"&amp;TEXT(DATE("20"&amp;MID(A206,LEN(A206)-3,2),RIGHT(A206,2)+1,"10"),"yymm")</f>
        <v>FB1508</v>
      </c>
      <c r="B207" s="12">
        <f t="shared" ca="1" si="51"/>
        <v>41866</v>
      </c>
      <c r="C207" s="12">
        <f t="shared" ca="1" si="52"/>
        <v>42230</v>
      </c>
      <c r="D207" s="12">
        <f ca="1">IF(CTP=1,WORKDAY(大连商品交易所!D207,-1,Holiday)+1,WORKDAY(大连商品交易所!D207,0-全局参数,Holiday))</f>
        <v>42205</v>
      </c>
      <c r="E207" s="12">
        <f ca="1">IF(CTP=1,WORKDAY(大连商品交易所!E207,-1,Holiday)+1,WORKDAY(大连商品交易所!E207,0-全局参数,Holiday))</f>
        <v>42216</v>
      </c>
      <c r="AA207" t="str">
        <f t="shared" ca="1" si="50"/>
        <v/>
      </c>
    </row>
    <row r="208" spans="1:27" x14ac:dyDescent="0.15">
      <c r="A208" s="21" t="str">
        <f ca="1">"FB"&amp;TEXT(DATE("20"&amp;MID(A207,LEN(A207)-3,2),RIGHT(A207,2)+1,"10"),"yymm")</f>
        <v>FB1509</v>
      </c>
      <c r="B208" s="11">
        <f t="shared" ca="1" si="51"/>
        <v>41898</v>
      </c>
      <c r="C208" s="11">
        <f t="shared" ca="1" si="52"/>
        <v>42263</v>
      </c>
      <c r="D208" s="11">
        <f ca="1">IF(CTP=1,WORKDAY(大连商品交易所!D208,-1,Holiday)+1,WORKDAY(大连商品交易所!D208,0-全局参数,Holiday))</f>
        <v>42236</v>
      </c>
      <c r="E208" s="11">
        <f ca="1">IF(CTP=1,WORKDAY(大连商品交易所!E208,-1,Holiday)+1,WORKDAY(大连商品交易所!E208,0-全局参数,Holiday))</f>
        <v>42247</v>
      </c>
      <c r="AA208" t="str">
        <f t="shared" ca="1" si="50"/>
        <v/>
      </c>
    </row>
    <row r="209" spans="1:27" x14ac:dyDescent="0.15">
      <c r="A209" s="22" t="str">
        <f t="shared" ref="A209:A219" ca="1" si="53">"FB"&amp;TEXT(DATE("20"&amp;MID(A208,LEN(A208)-3,2),RIGHT(A208,2)+1,"10"),"yymm")</f>
        <v>FB1510</v>
      </c>
      <c r="B209" s="12">
        <f t="shared" ca="1" si="51"/>
        <v>41934</v>
      </c>
      <c r="C209" s="12">
        <f t="shared" ca="1" si="52"/>
        <v>42298</v>
      </c>
      <c r="D209" s="12">
        <f ca="1">IF(CTP=1,WORKDAY(大连商品交易所!D209,-1,Holiday)+1,WORKDAY(大连商品交易所!D209,0-全局参数,Holiday))</f>
        <v>42269</v>
      </c>
      <c r="E209" s="12">
        <f ca="1">IF(CTP=1,WORKDAY(大连商品交易所!E209,-1,Holiday)+1,WORKDAY(大连商品交易所!E209,0-全局参数,Holiday))</f>
        <v>42277</v>
      </c>
      <c r="AA209" t="str">
        <f t="shared" ca="1" si="50"/>
        <v/>
      </c>
    </row>
    <row r="210" spans="1:27" x14ac:dyDescent="0.15">
      <c r="A210" s="21" t="str">
        <f t="shared" ca="1" si="53"/>
        <v>FB1511</v>
      </c>
      <c r="B210" s="11">
        <f t="shared" ca="1" si="51"/>
        <v>41960</v>
      </c>
      <c r="C210" s="11">
        <f t="shared" ca="1" si="52"/>
        <v>42321</v>
      </c>
      <c r="D210" s="11">
        <f ca="1">IF(CTP=1,WORKDAY(大连商品交易所!D210,-1,Holiday)+1,WORKDAY(大连商品交易所!D210,0-全局参数,Holiday))</f>
        <v>42304</v>
      </c>
      <c r="E210" s="11">
        <f ca="1">IF(CTP=1,WORKDAY(大连商品交易所!E210,-1,Holiday)+1,WORKDAY(大连商品交易所!E210,0-全局参数,Holiday))</f>
        <v>42307</v>
      </c>
      <c r="AA210" t="str">
        <f t="shared" ca="1" si="50"/>
        <v/>
      </c>
    </row>
    <row r="211" spans="1:27" x14ac:dyDescent="0.15">
      <c r="A211" s="22" t="str">
        <f t="shared" ca="1" si="53"/>
        <v>FB1512</v>
      </c>
      <c r="B211" s="12">
        <f t="shared" ca="1" si="51"/>
        <v>41988</v>
      </c>
      <c r="C211" s="12">
        <f t="shared" ca="1" si="52"/>
        <v>42352</v>
      </c>
      <c r="D211" s="12">
        <f ca="1">IF(CTP=1,WORKDAY(大连商品交易所!D211,-1,Holiday)+1,WORKDAY(大连商品交易所!D211,0-全局参数,Holiday))</f>
        <v>42327</v>
      </c>
      <c r="E211" s="12">
        <f ca="1">IF(CTP=1,WORKDAY(大连商品交易所!E211,-1,Holiday)+1,WORKDAY(大连商品交易所!E211,0-全局参数,Holiday))</f>
        <v>42338</v>
      </c>
      <c r="AA211" t="str">
        <f t="shared" ca="1" si="50"/>
        <v/>
      </c>
    </row>
    <row r="212" spans="1:27" x14ac:dyDescent="0.15">
      <c r="A212" s="21" t="str">
        <f t="shared" ca="1" si="53"/>
        <v>FB1601</v>
      </c>
      <c r="B212" s="11">
        <f t="shared" ca="1" si="51"/>
        <v>42023</v>
      </c>
      <c r="C212" s="11">
        <f t="shared" ca="1" si="52"/>
        <v>42383</v>
      </c>
      <c r="D212" s="11">
        <f ca="1">IF(CTP=1,WORKDAY(大连商品交易所!D212,-1,Holiday)+1,WORKDAY(大连商品交易所!D212,0-全局参数,Holiday))</f>
        <v>42356</v>
      </c>
      <c r="E212" s="11">
        <f ca="1">IF(CTP=1,WORKDAY(大连商品交易所!E212,-1,Holiday)+1,WORKDAY(大连商品交易所!E212,0-全局参数,Holiday))</f>
        <v>42369</v>
      </c>
      <c r="AA212" t="str">
        <f t="shared" ca="1" si="50"/>
        <v/>
      </c>
    </row>
    <row r="213" spans="1:27" x14ac:dyDescent="0.15">
      <c r="A213" s="22" t="str">
        <f t="shared" ca="1" si="53"/>
        <v>FB1602</v>
      </c>
      <c r="B213" s="12">
        <f t="shared" ca="1" si="51"/>
        <v>42051</v>
      </c>
      <c r="C213" s="12">
        <f t="shared" ca="1" si="52"/>
        <v>42412</v>
      </c>
      <c r="D213" s="12">
        <f ca="1">IF(CTP=1,WORKDAY(大连商品交易所!D213,-1,Holiday)+1,WORKDAY(大连商品交易所!D213,0-全局参数,Holiday))</f>
        <v>42389</v>
      </c>
      <c r="E213" s="12">
        <f ca="1">IF(CTP=1,WORKDAY(大连商品交易所!E213,-1,Holiday)+1,WORKDAY(大连商品交易所!E213,0-全局参数,Holiday))</f>
        <v>42398</v>
      </c>
      <c r="AA213" t="str">
        <f t="shared" ca="1" si="50"/>
        <v/>
      </c>
    </row>
    <row r="214" spans="1:27" x14ac:dyDescent="0.15">
      <c r="A214" s="21" t="str">
        <f t="shared" ca="1" si="53"/>
        <v>FB1603</v>
      </c>
      <c r="B214" s="11">
        <f t="shared" ca="1" si="51"/>
        <v>42079</v>
      </c>
      <c r="C214" s="11">
        <f t="shared" ca="1" si="52"/>
        <v>42443</v>
      </c>
      <c r="D214" s="11">
        <f ca="1">IF(CTP=1,WORKDAY(大连商品交易所!D214,-1,Holiday)+1,WORKDAY(大连商品交易所!D214,0-全局参数,Holiday))</f>
        <v>42418</v>
      </c>
      <c r="E214" s="11">
        <f ca="1">IF(CTP=1,WORKDAY(大连商品交易所!E214,-1,Holiday)+1,WORKDAY(大连商品交易所!E214,0-全局参数,Holiday))</f>
        <v>42429</v>
      </c>
      <c r="AA214" t="str">
        <f t="shared" ca="1" si="50"/>
        <v/>
      </c>
    </row>
    <row r="215" spans="1:27" x14ac:dyDescent="0.15">
      <c r="A215" s="22" t="str">
        <f t="shared" ca="1" si="53"/>
        <v>FB1604</v>
      </c>
      <c r="B215" s="12">
        <f t="shared" ca="1" si="51"/>
        <v>42110</v>
      </c>
      <c r="C215" s="12">
        <f t="shared" ca="1" si="52"/>
        <v>42474</v>
      </c>
      <c r="D215" s="12">
        <f ca="1">IF(CTP=1,WORKDAY(大连商品交易所!D215,-1,Holiday)+1,WORKDAY(大连商品交易所!D215,0-全局参数,Holiday))</f>
        <v>42447</v>
      </c>
      <c r="E215" s="12">
        <f ca="1">IF(CTP=1,WORKDAY(大连商品交易所!E215,-1,Holiday)+1,WORKDAY(大连商品交易所!E215,0-全局参数,Holiday))</f>
        <v>42460</v>
      </c>
      <c r="AA215" t="str">
        <f t="shared" ca="1" si="50"/>
        <v/>
      </c>
    </row>
    <row r="216" spans="1:27" x14ac:dyDescent="0.15">
      <c r="A216" s="21" t="str">
        <f t="shared" ca="1" si="53"/>
        <v>FB1605</v>
      </c>
      <c r="B216" s="11">
        <f t="shared" ca="1" si="51"/>
        <v>42142</v>
      </c>
      <c r="C216" s="11">
        <f t="shared" ca="1" si="52"/>
        <v>42503</v>
      </c>
      <c r="D216" s="11">
        <f ca="1">IF(CTP=1,WORKDAY(大连商品交易所!D216,-1,Holiday)+1,WORKDAY(大连商品交易所!D216,0-全局参数,Holiday))</f>
        <v>42480</v>
      </c>
      <c r="E216" s="11">
        <f ca="1">IF(CTP=1,WORKDAY(大连商品交易所!E216,-1,Holiday)+1,WORKDAY(大连商品交易所!E216,0-全局参数,Holiday))</f>
        <v>42489</v>
      </c>
      <c r="AA216" t="str">
        <f t="shared" ca="1" si="50"/>
        <v/>
      </c>
    </row>
    <row r="217" spans="1:27" x14ac:dyDescent="0.15">
      <c r="A217" s="22" t="str">
        <f t="shared" ca="1" si="53"/>
        <v>FB1606</v>
      </c>
      <c r="B217" s="12">
        <f t="shared" ca="1" si="51"/>
        <v>42170</v>
      </c>
      <c r="C217" s="12">
        <f t="shared" ca="1" si="52"/>
        <v>42535</v>
      </c>
      <c r="D217" s="12">
        <f ca="1">IF(CTP=1,WORKDAY(大连商品交易所!D217,-1,Holiday)+1,WORKDAY(大连商品交易所!D217,0-全局参数,Holiday))</f>
        <v>42509</v>
      </c>
      <c r="E217" s="12">
        <f ca="1">IF(CTP=1,WORKDAY(大连商品交易所!E217,-1,Holiday)+1,WORKDAY(大连商品交易所!E217,0-全局参数,Holiday))</f>
        <v>42521</v>
      </c>
      <c r="AA217" t="str">
        <f t="shared" ca="1" si="50"/>
        <v/>
      </c>
    </row>
    <row r="218" spans="1:27" x14ac:dyDescent="0.15">
      <c r="A218" s="21" t="str">
        <f t="shared" ca="1" si="53"/>
        <v>FB1607</v>
      </c>
      <c r="B218" s="11">
        <f t="shared" ca="1" si="51"/>
        <v>42200</v>
      </c>
      <c r="C218" s="11">
        <f t="shared" ca="1" si="52"/>
        <v>42565</v>
      </c>
      <c r="D218" s="11">
        <f ca="1">IF(CTP=1,WORKDAY(大连商品交易所!D218,-1,Holiday)+1,WORKDAY(大连商品交易所!D218,0-全局参数,Holiday))</f>
        <v>42541</v>
      </c>
      <c r="E218" s="11">
        <f ca="1">IF(CTP=1,WORKDAY(大连商品交易所!E218,-1,Holiday)+1,WORKDAY(大连商品交易所!E218,0-全局参数,Holiday))</f>
        <v>42551</v>
      </c>
      <c r="AA218">
        <f t="shared" ca="1" si="50"/>
        <v>218</v>
      </c>
    </row>
    <row r="219" spans="1:27" x14ac:dyDescent="0.15">
      <c r="A219" s="22" t="str">
        <f t="shared" ca="1" si="53"/>
        <v>FB1608</v>
      </c>
      <c r="B219" s="12">
        <f t="shared" ca="1" si="51"/>
        <v>42233</v>
      </c>
      <c r="C219" s="12">
        <f t="shared" ca="1" si="52"/>
        <v>42594</v>
      </c>
      <c r="D219" s="12">
        <f ca="1">IF(CTP=1,WORKDAY(大连商品交易所!D219,-1,Holiday)+1,WORKDAY(大连商品交易所!D219,0-全局参数,Holiday))</f>
        <v>42571</v>
      </c>
      <c r="E219" s="12">
        <f ca="1">IF(CTP=1,WORKDAY(大连商品交易所!E219,-1,Holiday)+1,WORKDAY(大连商品交易所!E219,0-全局参数,Holiday))</f>
        <v>42580</v>
      </c>
      <c r="AA219" t="str">
        <f t="shared" ca="1" si="50"/>
        <v/>
      </c>
    </row>
    <row r="220" spans="1:27" x14ac:dyDescent="0.15">
      <c r="AA220" t="str">
        <f t="shared" ca="1" si="50"/>
        <v/>
      </c>
    </row>
    <row r="221" spans="1:27" x14ac:dyDescent="0.15">
      <c r="AA221" t="str">
        <f t="shared" ca="1" si="50"/>
        <v/>
      </c>
    </row>
    <row r="222" spans="1:27" x14ac:dyDescent="0.15">
      <c r="A222" s="48" t="str">
        <f>"细木工板BB"&amp;TEXT(细木工板BB,"#%")</f>
        <v>细木工板BB20%</v>
      </c>
      <c r="B222" s="49"/>
      <c r="C222" s="49"/>
      <c r="D222" s="49"/>
      <c r="E222" s="50"/>
      <c r="AA222" t="str">
        <f t="shared" ca="1" si="50"/>
        <v/>
      </c>
    </row>
    <row r="223" spans="1:27" ht="17.25" thickBot="1" x14ac:dyDescent="0.2">
      <c r="A223" s="20"/>
      <c r="B223" s="33" t="s">
        <v>46</v>
      </c>
      <c r="C223" s="33" t="s">
        <v>1</v>
      </c>
      <c r="D223" s="10">
        <v>0.1</v>
      </c>
      <c r="E223" s="10">
        <v>0.2</v>
      </c>
      <c r="AA223" t="str">
        <f t="shared" ca="1" si="50"/>
        <v/>
      </c>
    </row>
    <row r="224" spans="1:27" x14ac:dyDescent="0.15">
      <c r="A224" s="21" t="str">
        <f ca="1">"BB"&amp;IF(TEXT(IF(TODAY()&gt;WORKDAY(DATE(YEAR(TODAY()),MONTH(TODAY()),0),10,Holiday),DATE(YEAR(TODAY()),MONTH(TODAY())+1,10),DATE(YEAR(TODAY()),MONTH(TODAY()),10)),"yymm")*1&gt;1404,TEXT(IF(TODAY()&gt;WORKDAY(DATE(YEAR(TODAY()),MONTH(TODAY()),0),10,Holiday),DATE(YEAR(TODAY()),MONTH(TODAY())+1,10),DATE(YEAR(TODAY()),MONTH(TODAY()),10)),"yymm"),"1404")</f>
        <v>BB1507</v>
      </c>
      <c r="B224" s="11">
        <f t="shared" ref="B224:B237" ca="1" si="54">IF(RIGHT(A224,4)*1&lt;1412,DATE(2013,12,6),WORKDAY(WORKDAY(DATE("20"&amp;MID(A224,3,2),RIGHT(A224,2)-12,0),10,Holiday),1,Holiday))</f>
        <v>41835</v>
      </c>
      <c r="C224" s="11">
        <f t="shared" ref="C224:C237" ca="1" si="55">WORKDAY(DATE("20"&amp;MID(A224,3,2),RIGHT(A224,2),0),10,Holiday)</f>
        <v>42199</v>
      </c>
      <c r="D224" s="11">
        <f ca="1">IF(CTP=1,WORKDAY(大连商品交易所!D224,-1,Holiday)+1,WORKDAY(大连商品交易所!D224,0-全局参数,Holiday))</f>
        <v>42173</v>
      </c>
      <c r="E224" s="11">
        <f ca="1">IF(CTP=1,WORKDAY(大连商品交易所!E224,-1,Holiday)+1,WORKDAY(大连商品交易所!E224,0-全局参数,Holiday))</f>
        <v>42185</v>
      </c>
      <c r="AA224" t="str">
        <f t="shared" ca="1" si="50"/>
        <v/>
      </c>
    </row>
    <row r="225" spans="1:27" x14ac:dyDescent="0.15">
      <c r="A225" s="22" t="str">
        <f ca="1">"BB"&amp;TEXT(DATE("20"&amp;MID(A224,LEN(A224)-3,2),RIGHT(A224,2)+1,"10"),"yymm")</f>
        <v>BB1508</v>
      </c>
      <c r="B225" s="12">
        <f t="shared" ca="1" si="54"/>
        <v>41866</v>
      </c>
      <c r="C225" s="12">
        <f t="shared" ca="1" si="55"/>
        <v>42230</v>
      </c>
      <c r="D225" s="12">
        <f ca="1">IF(CTP=1,WORKDAY(大连商品交易所!D225,-1,Holiday)+1,WORKDAY(大连商品交易所!D225,0-全局参数,Holiday))</f>
        <v>42205</v>
      </c>
      <c r="E225" s="12">
        <f ca="1">IF(CTP=1,WORKDAY(大连商品交易所!E225,-1,Holiday)+1,WORKDAY(大连商品交易所!E225,0-全局参数,Holiday))</f>
        <v>42216</v>
      </c>
      <c r="AA225" t="str">
        <f t="shared" ca="1" si="50"/>
        <v/>
      </c>
    </row>
    <row r="226" spans="1:27" x14ac:dyDescent="0.15">
      <c r="A226" s="21" t="str">
        <f t="shared" ref="A226:A237" ca="1" si="56">"BB"&amp;TEXT(DATE("20"&amp;MID(A225,LEN(A225)-3,2),RIGHT(A225,2)+1,"10"),"yymm")</f>
        <v>BB1509</v>
      </c>
      <c r="B226" s="11">
        <f t="shared" ca="1" si="54"/>
        <v>41898</v>
      </c>
      <c r="C226" s="11">
        <f t="shared" ca="1" si="55"/>
        <v>42263</v>
      </c>
      <c r="D226" s="11">
        <f ca="1">IF(CTP=1,WORKDAY(大连商品交易所!D226,-1,Holiday)+1,WORKDAY(大连商品交易所!D226,0-全局参数,Holiday))</f>
        <v>42236</v>
      </c>
      <c r="E226" s="11">
        <f ca="1">IF(CTP=1,WORKDAY(大连商品交易所!E226,-1,Holiday)+1,WORKDAY(大连商品交易所!E226,0-全局参数,Holiday))</f>
        <v>42247</v>
      </c>
      <c r="AA226" t="str">
        <f t="shared" ca="1" si="50"/>
        <v/>
      </c>
    </row>
    <row r="227" spans="1:27" x14ac:dyDescent="0.15">
      <c r="A227" s="22" t="str">
        <f t="shared" ca="1" si="56"/>
        <v>BB1510</v>
      </c>
      <c r="B227" s="12">
        <f t="shared" ca="1" si="54"/>
        <v>41934</v>
      </c>
      <c r="C227" s="12">
        <f t="shared" ca="1" si="55"/>
        <v>42298</v>
      </c>
      <c r="D227" s="12">
        <f ca="1">IF(CTP=1,WORKDAY(大连商品交易所!D227,-1,Holiday)+1,WORKDAY(大连商品交易所!D227,0-全局参数,Holiday))</f>
        <v>42269</v>
      </c>
      <c r="E227" s="12">
        <f ca="1">IF(CTP=1,WORKDAY(大连商品交易所!E227,-1,Holiday)+1,WORKDAY(大连商品交易所!E227,0-全局参数,Holiday))</f>
        <v>42277</v>
      </c>
      <c r="AA227" t="str">
        <f t="shared" ca="1" si="50"/>
        <v/>
      </c>
    </row>
    <row r="228" spans="1:27" x14ac:dyDescent="0.15">
      <c r="A228" s="21" t="str">
        <f t="shared" ca="1" si="56"/>
        <v>BB1511</v>
      </c>
      <c r="B228" s="11">
        <f t="shared" ca="1" si="54"/>
        <v>41960</v>
      </c>
      <c r="C228" s="11">
        <f t="shared" ca="1" si="55"/>
        <v>42321</v>
      </c>
      <c r="D228" s="11">
        <f ca="1">IF(CTP=1,WORKDAY(大连商品交易所!D228,-1,Holiday)+1,WORKDAY(大连商品交易所!D228,0-全局参数,Holiday))</f>
        <v>42304</v>
      </c>
      <c r="E228" s="11">
        <f ca="1">IF(CTP=1,WORKDAY(大连商品交易所!E228,-1,Holiday)+1,WORKDAY(大连商品交易所!E228,0-全局参数,Holiday))</f>
        <v>42307</v>
      </c>
      <c r="AA228" t="str">
        <f t="shared" ca="1" si="50"/>
        <v/>
      </c>
    </row>
    <row r="229" spans="1:27" x14ac:dyDescent="0.15">
      <c r="A229" s="22" t="str">
        <f t="shared" ca="1" si="56"/>
        <v>BB1512</v>
      </c>
      <c r="B229" s="12">
        <f t="shared" ca="1" si="54"/>
        <v>41988</v>
      </c>
      <c r="C229" s="12">
        <f t="shared" ca="1" si="55"/>
        <v>42352</v>
      </c>
      <c r="D229" s="12">
        <f ca="1">IF(CTP=1,WORKDAY(大连商品交易所!D229,-1,Holiday)+1,WORKDAY(大连商品交易所!D229,0-全局参数,Holiday))</f>
        <v>42327</v>
      </c>
      <c r="E229" s="12">
        <f ca="1">IF(CTP=1,WORKDAY(大连商品交易所!E229,-1,Holiday)+1,WORKDAY(大连商品交易所!E229,0-全局参数,Holiday))</f>
        <v>42338</v>
      </c>
      <c r="AA229" t="str">
        <f t="shared" ca="1" si="50"/>
        <v/>
      </c>
    </row>
    <row r="230" spans="1:27" x14ac:dyDescent="0.15">
      <c r="A230" s="21" t="str">
        <f t="shared" ca="1" si="56"/>
        <v>BB1601</v>
      </c>
      <c r="B230" s="11">
        <f t="shared" ca="1" si="54"/>
        <v>42023</v>
      </c>
      <c r="C230" s="11">
        <f t="shared" ca="1" si="55"/>
        <v>42383</v>
      </c>
      <c r="D230" s="11">
        <f ca="1">IF(CTP=1,WORKDAY(大连商品交易所!D230,-1,Holiday)+1,WORKDAY(大连商品交易所!D230,0-全局参数,Holiday))</f>
        <v>42356</v>
      </c>
      <c r="E230" s="11">
        <f ca="1">IF(CTP=1,WORKDAY(大连商品交易所!E230,-1,Holiday)+1,WORKDAY(大连商品交易所!E230,0-全局参数,Holiday))</f>
        <v>42369</v>
      </c>
      <c r="AA230" t="str">
        <f t="shared" ca="1" si="50"/>
        <v/>
      </c>
    </row>
    <row r="231" spans="1:27" x14ac:dyDescent="0.15">
      <c r="A231" s="22" t="str">
        <f t="shared" ca="1" si="56"/>
        <v>BB1602</v>
      </c>
      <c r="B231" s="12">
        <f t="shared" ca="1" si="54"/>
        <v>42051</v>
      </c>
      <c r="C231" s="12">
        <f t="shared" ca="1" si="55"/>
        <v>42412</v>
      </c>
      <c r="D231" s="12">
        <f ca="1">IF(CTP=1,WORKDAY(大连商品交易所!D231,-1,Holiday)+1,WORKDAY(大连商品交易所!D231,0-全局参数,Holiday))</f>
        <v>42389</v>
      </c>
      <c r="E231" s="12">
        <f ca="1">IF(CTP=1,WORKDAY(大连商品交易所!E231,-1,Holiday)+1,WORKDAY(大连商品交易所!E231,0-全局参数,Holiday))</f>
        <v>42398</v>
      </c>
      <c r="AA231" t="str">
        <f t="shared" ca="1" si="50"/>
        <v/>
      </c>
    </row>
    <row r="232" spans="1:27" x14ac:dyDescent="0.15">
      <c r="A232" s="21" t="str">
        <f t="shared" ca="1" si="56"/>
        <v>BB1603</v>
      </c>
      <c r="B232" s="11">
        <f t="shared" ca="1" si="54"/>
        <v>42079</v>
      </c>
      <c r="C232" s="11">
        <f t="shared" ca="1" si="55"/>
        <v>42443</v>
      </c>
      <c r="D232" s="11">
        <f ca="1">IF(CTP=1,WORKDAY(大连商品交易所!D232,-1,Holiday)+1,WORKDAY(大连商品交易所!D232,0-全局参数,Holiday))</f>
        <v>42418</v>
      </c>
      <c r="E232" s="11">
        <f ca="1">IF(CTP=1,WORKDAY(大连商品交易所!E232,-1,Holiday)+1,WORKDAY(大连商品交易所!E232,0-全局参数,Holiday))</f>
        <v>42429</v>
      </c>
      <c r="AA232" t="str">
        <f t="shared" ca="1" si="50"/>
        <v/>
      </c>
    </row>
    <row r="233" spans="1:27" x14ac:dyDescent="0.15">
      <c r="A233" s="22" t="str">
        <f t="shared" ca="1" si="56"/>
        <v>BB1604</v>
      </c>
      <c r="B233" s="12">
        <f t="shared" ca="1" si="54"/>
        <v>42110</v>
      </c>
      <c r="C233" s="12">
        <f t="shared" ca="1" si="55"/>
        <v>42474</v>
      </c>
      <c r="D233" s="12">
        <f ca="1">IF(CTP=1,WORKDAY(大连商品交易所!D233,-1,Holiday)+1,WORKDAY(大连商品交易所!D233,0-全局参数,Holiday))</f>
        <v>42447</v>
      </c>
      <c r="E233" s="12">
        <f ca="1">IF(CTP=1,WORKDAY(大连商品交易所!E233,-1,Holiday)+1,WORKDAY(大连商品交易所!E233,0-全局参数,Holiday))</f>
        <v>42460</v>
      </c>
      <c r="AA233" t="str">
        <f t="shared" ca="1" si="50"/>
        <v/>
      </c>
    </row>
    <row r="234" spans="1:27" x14ac:dyDescent="0.15">
      <c r="A234" s="21" t="str">
        <f t="shared" ca="1" si="56"/>
        <v>BB1605</v>
      </c>
      <c r="B234" s="11">
        <f t="shared" ca="1" si="54"/>
        <v>42142</v>
      </c>
      <c r="C234" s="11">
        <f t="shared" ca="1" si="55"/>
        <v>42503</v>
      </c>
      <c r="D234" s="11">
        <f ca="1">IF(CTP=1,WORKDAY(大连商品交易所!D234,-1,Holiday)+1,WORKDAY(大连商品交易所!D234,0-全局参数,Holiday))</f>
        <v>42480</v>
      </c>
      <c r="E234" s="11">
        <f ca="1">IF(CTP=1,WORKDAY(大连商品交易所!E234,-1,Holiday)+1,WORKDAY(大连商品交易所!E234,0-全局参数,Holiday))</f>
        <v>42489</v>
      </c>
      <c r="AA234" t="str">
        <f t="shared" ca="1" si="50"/>
        <v/>
      </c>
    </row>
    <row r="235" spans="1:27" x14ac:dyDescent="0.15">
      <c r="A235" s="22" t="str">
        <f t="shared" ca="1" si="56"/>
        <v>BB1606</v>
      </c>
      <c r="B235" s="12">
        <f t="shared" ca="1" si="54"/>
        <v>42170</v>
      </c>
      <c r="C235" s="12">
        <f t="shared" ca="1" si="55"/>
        <v>42535</v>
      </c>
      <c r="D235" s="12">
        <f ca="1">IF(CTP=1,WORKDAY(大连商品交易所!D235,-1,Holiday)+1,WORKDAY(大连商品交易所!D235,0-全局参数,Holiday))</f>
        <v>42509</v>
      </c>
      <c r="E235" s="12">
        <f ca="1">IF(CTP=1,WORKDAY(大连商品交易所!E235,-1,Holiday)+1,WORKDAY(大连商品交易所!E235,0-全局参数,Holiday))</f>
        <v>42521</v>
      </c>
      <c r="AA235" t="str">
        <f t="shared" ca="1" si="50"/>
        <v/>
      </c>
    </row>
    <row r="236" spans="1:27" x14ac:dyDescent="0.15">
      <c r="A236" s="21" t="str">
        <f t="shared" ca="1" si="56"/>
        <v>BB1607</v>
      </c>
      <c r="B236" s="11">
        <f t="shared" ca="1" si="54"/>
        <v>42200</v>
      </c>
      <c r="C236" s="11">
        <f t="shared" ca="1" si="55"/>
        <v>42565</v>
      </c>
      <c r="D236" s="11">
        <f ca="1">IF(CTP=1,WORKDAY(大连商品交易所!D236,-1,Holiday)+1,WORKDAY(大连商品交易所!D236,0-全局参数,Holiday))</f>
        <v>42541</v>
      </c>
      <c r="E236" s="11">
        <f ca="1">IF(CTP=1,WORKDAY(大连商品交易所!E236,-1,Holiday)+1,WORKDAY(大连商品交易所!E236,0-全局参数,Holiday))</f>
        <v>42551</v>
      </c>
      <c r="AA236">
        <f t="shared" ca="1" si="50"/>
        <v>236</v>
      </c>
    </row>
    <row r="237" spans="1:27" x14ac:dyDescent="0.15">
      <c r="A237" s="22" t="str">
        <f t="shared" ca="1" si="56"/>
        <v>BB1608</v>
      </c>
      <c r="B237" s="12">
        <f t="shared" ca="1" si="54"/>
        <v>42233</v>
      </c>
      <c r="C237" s="12">
        <f t="shared" ca="1" si="55"/>
        <v>42594</v>
      </c>
      <c r="D237" s="12">
        <f ca="1">IF(CTP=1,WORKDAY(大连商品交易所!D237,-1,Holiday)+1,WORKDAY(大连商品交易所!D237,0-全局参数,Holiday))</f>
        <v>42571</v>
      </c>
      <c r="E237" s="12">
        <f ca="1">IF(CTP=1,WORKDAY(大连商品交易所!E237,-1,Holiday)+1,WORKDAY(大连商品交易所!E237,0-全局参数,Holiday))</f>
        <v>42580</v>
      </c>
      <c r="AA237" t="str">
        <f t="shared" ca="1" si="50"/>
        <v/>
      </c>
    </row>
    <row r="238" spans="1:27" x14ac:dyDescent="0.15">
      <c r="AA238" t="str">
        <f t="shared" ca="1" si="50"/>
        <v/>
      </c>
    </row>
    <row r="239" spans="1:27" x14ac:dyDescent="0.15">
      <c r="AA239" t="str">
        <f t="shared" ca="1" si="50"/>
        <v/>
      </c>
    </row>
    <row r="240" spans="1:27" x14ac:dyDescent="0.15">
      <c r="A240" s="48" t="str">
        <f>"聚丙烯"&amp;TEXT(聚丙烯PP,"#%")</f>
        <v>聚丙烯5%</v>
      </c>
      <c r="B240" s="49"/>
      <c r="C240" s="49"/>
      <c r="D240" s="49"/>
      <c r="E240" s="50"/>
      <c r="AA240" t="str">
        <f t="shared" ca="1" si="50"/>
        <v/>
      </c>
    </row>
    <row r="241" spans="1:27" ht="17.25" thickBot="1" x14ac:dyDescent="0.2">
      <c r="A241" s="20"/>
      <c r="B241" s="33" t="s">
        <v>46</v>
      </c>
      <c r="C241" s="33" t="s">
        <v>1</v>
      </c>
      <c r="D241" s="10">
        <v>0.1</v>
      </c>
      <c r="E241" s="10">
        <v>0.2</v>
      </c>
      <c r="AA241" t="str">
        <f t="shared" ca="1" si="50"/>
        <v/>
      </c>
    </row>
    <row r="242" spans="1:27" x14ac:dyDescent="0.15">
      <c r="A242" s="21" t="str">
        <f ca="1">"PP"&amp;IF(TEXT(IF(TODAY()&gt;WORKDAY(DATE(YEAR(TODAY()),MONTH(TODAY()),0),10,Holiday),DATE(YEAR(TODAY()),MONTH(TODAY())+1,10),DATE(YEAR(TODAY()),MONTH(TODAY()),10)),"yymm")*1&gt;1405,TEXT(IF(TODAY()&gt;WORKDAY(DATE(YEAR(TODAY()),MONTH(TODAY()),0),10,Holiday),DATE(YEAR(TODAY()),MONTH(TODAY())+1,10),DATE(YEAR(TODAY()),MONTH(TODAY()),10)),"yymm"),"1405")</f>
        <v>PP1507</v>
      </c>
      <c r="B242" s="11">
        <f t="shared" ref="B242:B255" ca="1" si="57">IF(RIGHT(A242,4)*1&lt;1503,DATE(2014,2,28),WORKDAY(WORKDAY(DATE("20"&amp;MID(A242,3,2),RIGHT(A242,2)-12,0),10,Holiday),1,Holiday))</f>
        <v>41835</v>
      </c>
      <c r="C242" s="11">
        <f t="shared" ref="C242:C255" ca="1" si="58">WORKDAY(DATE("20"&amp;MID(A242,3,2),RIGHT(A242,2),0),10,Holiday)</f>
        <v>42199</v>
      </c>
      <c r="D242" s="11">
        <f ca="1">IF(CTP=1,WORKDAY(大连商品交易所!D242,-1,Holiday)+1,WORKDAY(大连商品交易所!D242,0-全局参数,Holiday))</f>
        <v>42173</v>
      </c>
      <c r="E242" s="11">
        <f ca="1">IF(CTP=1,WORKDAY(大连商品交易所!E242,-1,Holiday)+1,WORKDAY(大连商品交易所!E242,0-全局参数,Holiday))</f>
        <v>42185</v>
      </c>
      <c r="AA242" t="str">
        <f t="shared" ca="1" si="50"/>
        <v/>
      </c>
    </row>
    <row r="243" spans="1:27" x14ac:dyDescent="0.15">
      <c r="A243" s="22" t="str">
        <f ca="1">"PP"&amp;TEXT(DATE("20"&amp;MID(A242,LEN(A242)-3,2),RIGHT(A242,2)+1,"10"),"yymm")</f>
        <v>PP1508</v>
      </c>
      <c r="B243" s="12">
        <f t="shared" ca="1" si="57"/>
        <v>41866</v>
      </c>
      <c r="C243" s="12">
        <f t="shared" ca="1" si="58"/>
        <v>42230</v>
      </c>
      <c r="D243" s="12">
        <f ca="1">IF(CTP=1,WORKDAY(大连商品交易所!D243,-1,Holiday)+1,WORKDAY(大连商品交易所!D243,0-全局参数,Holiday))</f>
        <v>42205</v>
      </c>
      <c r="E243" s="12">
        <f ca="1">IF(CTP=1,WORKDAY(大连商品交易所!E243,-1,Holiday)+1,WORKDAY(大连商品交易所!E243,0-全局参数,Holiday))</f>
        <v>42216</v>
      </c>
      <c r="AA243" t="str">
        <f t="shared" ca="1" si="50"/>
        <v/>
      </c>
    </row>
    <row r="244" spans="1:27" x14ac:dyDescent="0.15">
      <c r="A244" s="21" t="str">
        <f t="shared" ref="A244:A255" ca="1" si="59">"PP"&amp;TEXT(DATE("20"&amp;MID(A243,LEN(A243)-3,2),RIGHT(A243,2)+1,"10"),"yymm")</f>
        <v>PP1509</v>
      </c>
      <c r="B244" s="11">
        <f t="shared" ca="1" si="57"/>
        <v>41898</v>
      </c>
      <c r="C244" s="11">
        <f t="shared" ca="1" si="58"/>
        <v>42263</v>
      </c>
      <c r="D244" s="11">
        <f ca="1">IF(CTP=1,WORKDAY(大连商品交易所!D244,-1,Holiday)+1,WORKDAY(大连商品交易所!D244,0-全局参数,Holiday))</f>
        <v>42236</v>
      </c>
      <c r="E244" s="11">
        <f ca="1">IF(CTP=1,WORKDAY(大连商品交易所!E244,-1,Holiday)+1,WORKDAY(大连商品交易所!E244,0-全局参数,Holiday))</f>
        <v>42247</v>
      </c>
      <c r="AA244" t="str">
        <f t="shared" ca="1" si="50"/>
        <v/>
      </c>
    </row>
    <row r="245" spans="1:27" x14ac:dyDescent="0.15">
      <c r="A245" s="22" t="str">
        <f t="shared" ca="1" si="59"/>
        <v>PP1510</v>
      </c>
      <c r="B245" s="12">
        <f t="shared" ca="1" si="57"/>
        <v>41934</v>
      </c>
      <c r="C245" s="12">
        <f t="shared" ca="1" si="58"/>
        <v>42298</v>
      </c>
      <c r="D245" s="12">
        <f ca="1">IF(CTP=1,WORKDAY(大连商品交易所!D245,-1,Holiday)+1,WORKDAY(大连商品交易所!D245,0-全局参数,Holiday))</f>
        <v>42269</v>
      </c>
      <c r="E245" s="12">
        <f ca="1">IF(CTP=1,WORKDAY(大连商品交易所!E245,-1,Holiday)+1,WORKDAY(大连商品交易所!E245,0-全局参数,Holiday))</f>
        <v>42277</v>
      </c>
      <c r="AA245" t="str">
        <f t="shared" ca="1" si="50"/>
        <v/>
      </c>
    </row>
    <row r="246" spans="1:27" x14ac:dyDescent="0.15">
      <c r="A246" s="21" t="str">
        <f t="shared" ca="1" si="59"/>
        <v>PP1511</v>
      </c>
      <c r="B246" s="11">
        <f t="shared" ca="1" si="57"/>
        <v>41960</v>
      </c>
      <c r="C246" s="11">
        <f t="shared" ca="1" si="58"/>
        <v>42321</v>
      </c>
      <c r="D246" s="11">
        <f ca="1">IF(CTP=1,WORKDAY(大连商品交易所!D246,-1,Holiday)+1,WORKDAY(大连商品交易所!D246,0-全局参数,Holiday))</f>
        <v>42304</v>
      </c>
      <c r="E246" s="11">
        <f ca="1">IF(CTP=1,WORKDAY(大连商品交易所!E246,-1,Holiday)+1,WORKDAY(大连商品交易所!E246,0-全局参数,Holiday))</f>
        <v>42307</v>
      </c>
      <c r="AA246" t="str">
        <f t="shared" ca="1" si="50"/>
        <v/>
      </c>
    </row>
    <row r="247" spans="1:27" x14ac:dyDescent="0.15">
      <c r="A247" s="22" t="str">
        <f t="shared" ca="1" si="59"/>
        <v>PP1512</v>
      </c>
      <c r="B247" s="12">
        <f t="shared" ca="1" si="57"/>
        <v>41988</v>
      </c>
      <c r="C247" s="12">
        <f t="shared" ca="1" si="58"/>
        <v>42352</v>
      </c>
      <c r="D247" s="12">
        <f ca="1">IF(CTP=1,WORKDAY(大连商品交易所!D247,-1,Holiday)+1,WORKDAY(大连商品交易所!D247,0-全局参数,Holiday))</f>
        <v>42327</v>
      </c>
      <c r="E247" s="12">
        <f ca="1">IF(CTP=1,WORKDAY(大连商品交易所!E247,-1,Holiday)+1,WORKDAY(大连商品交易所!E247,0-全局参数,Holiday))</f>
        <v>42338</v>
      </c>
      <c r="AA247" t="str">
        <f t="shared" ca="1" si="50"/>
        <v/>
      </c>
    </row>
    <row r="248" spans="1:27" x14ac:dyDescent="0.15">
      <c r="A248" s="21" t="str">
        <f t="shared" ca="1" si="59"/>
        <v>PP1601</v>
      </c>
      <c r="B248" s="11">
        <f t="shared" ca="1" si="57"/>
        <v>42023</v>
      </c>
      <c r="C248" s="11">
        <f t="shared" ca="1" si="58"/>
        <v>42383</v>
      </c>
      <c r="D248" s="11">
        <f ca="1">IF(CTP=1,WORKDAY(大连商品交易所!D248,-1,Holiday)+1,WORKDAY(大连商品交易所!D248,0-全局参数,Holiday))</f>
        <v>42356</v>
      </c>
      <c r="E248" s="11">
        <f ca="1">IF(CTP=1,WORKDAY(大连商品交易所!E248,-1,Holiday)+1,WORKDAY(大连商品交易所!E248,0-全局参数,Holiday))</f>
        <v>42369</v>
      </c>
      <c r="AA248" t="str">
        <f t="shared" ca="1" si="50"/>
        <v/>
      </c>
    </row>
    <row r="249" spans="1:27" x14ac:dyDescent="0.15">
      <c r="A249" s="22" t="str">
        <f t="shared" ca="1" si="59"/>
        <v>PP1602</v>
      </c>
      <c r="B249" s="12">
        <f t="shared" ca="1" si="57"/>
        <v>42051</v>
      </c>
      <c r="C249" s="12">
        <f t="shared" ca="1" si="58"/>
        <v>42412</v>
      </c>
      <c r="D249" s="12">
        <f ca="1">IF(CTP=1,WORKDAY(大连商品交易所!D249,-1,Holiday)+1,WORKDAY(大连商品交易所!D249,0-全局参数,Holiday))</f>
        <v>42389</v>
      </c>
      <c r="E249" s="12">
        <f ca="1">IF(CTP=1,WORKDAY(大连商品交易所!E249,-1,Holiday)+1,WORKDAY(大连商品交易所!E249,0-全局参数,Holiday))</f>
        <v>42398</v>
      </c>
      <c r="AA249" t="str">
        <f t="shared" ca="1" si="50"/>
        <v/>
      </c>
    </row>
    <row r="250" spans="1:27" x14ac:dyDescent="0.15">
      <c r="A250" s="21" t="str">
        <f t="shared" ca="1" si="59"/>
        <v>PP1603</v>
      </c>
      <c r="B250" s="11">
        <f t="shared" ca="1" si="57"/>
        <v>42079</v>
      </c>
      <c r="C250" s="11">
        <f t="shared" ca="1" si="58"/>
        <v>42443</v>
      </c>
      <c r="D250" s="11">
        <f ca="1">IF(CTP=1,WORKDAY(大连商品交易所!D250,-1,Holiday)+1,WORKDAY(大连商品交易所!D250,0-全局参数,Holiday))</f>
        <v>42418</v>
      </c>
      <c r="E250" s="11">
        <f ca="1">IF(CTP=1,WORKDAY(大连商品交易所!E250,-1,Holiday)+1,WORKDAY(大连商品交易所!E250,0-全局参数,Holiday))</f>
        <v>42429</v>
      </c>
      <c r="AA250" t="str">
        <f t="shared" ca="1" si="50"/>
        <v/>
      </c>
    </row>
    <row r="251" spans="1:27" x14ac:dyDescent="0.15">
      <c r="A251" s="22" t="str">
        <f t="shared" ca="1" si="59"/>
        <v>PP1604</v>
      </c>
      <c r="B251" s="12">
        <f t="shared" ca="1" si="57"/>
        <v>42110</v>
      </c>
      <c r="C251" s="12">
        <f t="shared" ca="1" si="58"/>
        <v>42474</v>
      </c>
      <c r="D251" s="12">
        <f ca="1">IF(CTP=1,WORKDAY(大连商品交易所!D251,-1,Holiday)+1,WORKDAY(大连商品交易所!D251,0-全局参数,Holiday))</f>
        <v>42447</v>
      </c>
      <c r="E251" s="12">
        <f ca="1">IF(CTP=1,WORKDAY(大连商品交易所!E251,-1,Holiday)+1,WORKDAY(大连商品交易所!E251,0-全局参数,Holiday))</f>
        <v>42460</v>
      </c>
      <c r="AA251" t="str">
        <f t="shared" ca="1" si="50"/>
        <v/>
      </c>
    </row>
    <row r="252" spans="1:27" x14ac:dyDescent="0.15">
      <c r="A252" s="21" t="str">
        <f t="shared" ca="1" si="59"/>
        <v>PP1605</v>
      </c>
      <c r="B252" s="11">
        <f t="shared" ca="1" si="57"/>
        <v>42142</v>
      </c>
      <c r="C252" s="11">
        <f t="shared" ca="1" si="58"/>
        <v>42503</v>
      </c>
      <c r="D252" s="11">
        <f ca="1">IF(CTP=1,WORKDAY(大连商品交易所!D252,-1,Holiday)+1,WORKDAY(大连商品交易所!D252,0-全局参数,Holiday))</f>
        <v>42480</v>
      </c>
      <c r="E252" s="11">
        <f ca="1">IF(CTP=1,WORKDAY(大连商品交易所!E252,-1,Holiday)+1,WORKDAY(大连商品交易所!E252,0-全局参数,Holiday))</f>
        <v>42489</v>
      </c>
      <c r="AA252" t="str">
        <f t="shared" ca="1" si="50"/>
        <v/>
      </c>
    </row>
    <row r="253" spans="1:27" x14ac:dyDescent="0.15">
      <c r="A253" s="22" t="str">
        <f t="shared" ca="1" si="59"/>
        <v>PP1606</v>
      </c>
      <c r="B253" s="12">
        <f t="shared" ca="1" si="57"/>
        <v>42170</v>
      </c>
      <c r="C253" s="12">
        <f t="shared" ca="1" si="58"/>
        <v>42535</v>
      </c>
      <c r="D253" s="12">
        <f ca="1">IF(CTP=1,WORKDAY(大连商品交易所!D253,-1,Holiday)+1,WORKDAY(大连商品交易所!D253,0-全局参数,Holiday))</f>
        <v>42509</v>
      </c>
      <c r="E253" s="12">
        <f ca="1">IF(CTP=1,WORKDAY(大连商品交易所!E253,-1,Holiday)+1,WORKDAY(大连商品交易所!E253,0-全局参数,Holiday))</f>
        <v>42521</v>
      </c>
      <c r="AA253" t="str">
        <f t="shared" ca="1" si="50"/>
        <v/>
      </c>
    </row>
    <row r="254" spans="1:27" x14ac:dyDescent="0.15">
      <c r="A254" s="21" t="str">
        <f t="shared" ca="1" si="59"/>
        <v>PP1607</v>
      </c>
      <c r="B254" s="11">
        <f t="shared" ca="1" si="57"/>
        <v>42200</v>
      </c>
      <c r="C254" s="11">
        <f t="shared" ca="1" si="58"/>
        <v>42565</v>
      </c>
      <c r="D254" s="11">
        <f ca="1">IF(CTP=1,WORKDAY(大连商品交易所!D254,-1,Holiday)+1,WORKDAY(大连商品交易所!D254,0-全局参数,Holiday))</f>
        <v>42541</v>
      </c>
      <c r="E254" s="11">
        <f ca="1">IF(CTP=1,WORKDAY(大连商品交易所!E254,-1,Holiday)+1,WORKDAY(大连商品交易所!E254,0-全局参数,Holiday))</f>
        <v>42551</v>
      </c>
      <c r="AA254">
        <f t="shared" ca="1" si="50"/>
        <v>254</v>
      </c>
    </row>
    <row r="255" spans="1:27" x14ac:dyDescent="0.15">
      <c r="A255" s="22" t="str">
        <f t="shared" ca="1" si="59"/>
        <v>PP1608</v>
      </c>
      <c r="B255" s="12">
        <f t="shared" ca="1" si="57"/>
        <v>42233</v>
      </c>
      <c r="C255" s="12">
        <f t="shared" ca="1" si="58"/>
        <v>42594</v>
      </c>
      <c r="D255" s="12">
        <f ca="1">IF(CTP=1,WORKDAY(大连商品交易所!D255,-1,Holiday)+1,WORKDAY(大连商品交易所!D255,0-全局参数,Holiday))</f>
        <v>42571</v>
      </c>
      <c r="E255" s="12">
        <f ca="1">IF(CTP=1,WORKDAY(大连商品交易所!E255,-1,Holiday)+1,WORKDAY(大连商品交易所!E255,0-全局参数,Holiday))</f>
        <v>42580</v>
      </c>
      <c r="AA255" t="str">
        <f t="shared" ca="1" si="50"/>
        <v/>
      </c>
    </row>
  </sheetData>
  <sheetProtection selectLockedCells="1" selectUnlockedCells="1"/>
  <mergeCells count="16">
    <mergeCell ref="A40:E40"/>
    <mergeCell ref="A240:E240"/>
    <mergeCell ref="A1:E1"/>
    <mergeCell ref="A16:E16"/>
    <mergeCell ref="A28:E28"/>
    <mergeCell ref="A124:E124"/>
    <mergeCell ref="A138:E138"/>
    <mergeCell ref="A106:E106"/>
    <mergeCell ref="A88:E88"/>
    <mergeCell ref="A70:E70"/>
    <mergeCell ref="A52:E52"/>
    <mergeCell ref="A204:E204"/>
    <mergeCell ref="A222:E222"/>
    <mergeCell ref="A188:E188"/>
    <mergeCell ref="A170:E170"/>
    <mergeCell ref="A152:E152"/>
  </mergeCells>
  <phoneticPr fontId="1" type="noConversion"/>
  <conditionalFormatting sqref="C30:C37 C3:C13 C18:C25 C54:C67 C72:C85 C90:C103 C108:C121 C126:C135 C140:C149">
    <cfRule type="iconSet" priority="8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3:B13">
    <cfRule type="iconSet" priority="80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8:B25">
    <cfRule type="iconSet" priority="7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30:B37">
    <cfRule type="iconSet" priority="78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54:B67">
    <cfRule type="iconSet" priority="7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72:B85">
    <cfRule type="iconSet" priority="76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85">
    <cfRule type="iconSet" priority="7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90:B103">
    <cfRule type="iconSet" priority="74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93 B97 B101">
    <cfRule type="iconSet" priority="7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08:B121">
    <cfRule type="iconSet" priority="72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11 B117">
    <cfRule type="iconSet" priority="7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26:B135">
    <cfRule type="iconSet" priority="70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40:B149">
    <cfRule type="iconSet" priority="6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30:E37 D3:E13 D18:E25 D54:E67 D72:E85 D90:E103 D108:E121 D126:E135 D140:E149">
    <cfRule type="cellIs" dxfId="37" priority="120" operator="between">
      <formula>WORKDAY(TODAY(),10,Holiday)</formula>
      <formula>WORKDAY(TODAY(),1,Holiday)</formula>
    </cfRule>
    <cfRule type="iconSet" priority="121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54:C163">
    <cfRule type="iconSet" priority="16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54:B163">
    <cfRule type="iconSet" priority="16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54:E163">
    <cfRule type="cellIs" dxfId="36" priority="166" operator="between">
      <formula>WORKDAY(TODAY(),10,Holiday)</formula>
      <formula>WORKDAY(TODAY(),1,Holiday)</formula>
    </cfRule>
    <cfRule type="iconSet" priority="167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64:C167">
    <cfRule type="iconSet" priority="6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64:B167">
    <cfRule type="iconSet" priority="6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64:E167">
    <cfRule type="cellIs" dxfId="35" priority="61" operator="between">
      <formula>WORKDAY(TODAY(),10,Holiday)</formula>
      <formula>WORKDAY(TODAY(),1,Holiday)</formula>
    </cfRule>
    <cfRule type="iconSet" priority="6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54:C167">
    <cfRule type="iconSet" priority="6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54:B167">
    <cfRule type="iconSet" priority="5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72:C181">
    <cfRule type="iconSet" priority="55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72:B181">
    <cfRule type="iconSet" priority="56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72:E181">
    <cfRule type="cellIs" dxfId="34" priority="57" operator="between">
      <formula>WORKDAY(TODAY(),10,Holiday)</formula>
      <formula>WORKDAY(TODAY(),1,Holiday)</formula>
    </cfRule>
    <cfRule type="iconSet" priority="5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82:C185">
    <cfRule type="iconSet" priority="5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82:B185">
    <cfRule type="iconSet" priority="5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82:E185">
    <cfRule type="cellIs" dxfId="33" priority="51" operator="between">
      <formula>WORKDAY(TODAY(),10,Holiday)</formula>
      <formula>WORKDAY(TODAY(),1,Holiday)</formula>
    </cfRule>
    <cfRule type="iconSet" priority="5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72:C185">
    <cfRule type="iconSet" priority="5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72:B185">
    <cfRule type="iconSet" priority="4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90:C199">
    <cfRule type="iconSet" priority="45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90:B199">
    <cfRule type="iconSet" priority="46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90:E199">
    <cfRule type="cellIs" dxfId="32" priority="47" operator="between">
      <formula>WORKDAY(TODAY(),10,Holiday)</formula>
      <formula>WORKDAY(TODAY(),1,Holiday)</formula>
    </cfRule>
    <cfRule type="iconSet" priority="4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00:C201">
    <cfRule type="iconSet" priority="18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00:B201">
    <cfRule type="iconSet" priority="18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00:E201">
    <cfRule type="cellIs" dxfId="31" priority="182" operator="between">
      <formula>WORKDAY(TODAY(),10,Holiday)</formula>
      <formula>WORKDAY(TODAY(),1,Holiday)</formula>
    </cfRule>
    <cfRule type="iconSet" priority="183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90:C201">
    <cfRule type="iconSet" priority="18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190:B201">
    <cfRule type="iconSet" priority="18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206:C215">
    <cfRule type="iconSet" priority="38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06:B215">
    <cfRule type="iconSet" priority="3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06:E215">
    <cfRule type="cellIs" dxfId="30" priority="35" operator="between">
      <formula>WORKDAY(TODAY(),10,Holiday)</formula>
      <formula>WORKDAY(TODAY(),1,Holiday)</formula>
    </cfRule>
    <cfRule type="iconSet" priority="3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16:C219">
    <cfRule type="iconSet" priority="3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16:B219">
    <cfRule type="iconSet" priority="3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16:E219">
    <cfRule type="cellIs" dxfId="29" priority="31" operator="between">
      <formula>WORKDAY(TODAY(),10,Holiday)</formula>
      <formula>WORKDAY(TODAY(),1,Holiday)</formula>
    </cfRule>
    <cfRule type="iconSet" priority="3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06:C219">
    <cfRule type="iconSet" priority="3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06:B219">
    <cfRule type="iconSet" priority="2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224:C233">
    <cfRule type="iconSet" priority="28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24:B233">
    <cfRule type="iconSet" priority="2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24:E233">
    <cfRule type="cellIs" dxfId="28" priority="25" operator="between">
      <formula>WORKDAY(TODAY(),10,Holiday)</formula>
      <formula>WORKDAY(TODAY(),1,Holiday)</formula>
    </cfRule>
    <cfRule type="iconSet" priority="2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34:C237">
    <cfRule type="iconSet" priority="2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34:B237">
    <cfRule type="iconSet" priority="2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34:E237">
    <cfRule type="cellIs" dxfId="27" priority="21" operator="between">
      <formula>WORKDAY(TODAY(),10,Holiday)</formula>
      <formula>WORKDAY(TODAY(),1,Holiday)</formula>
    </cfRule>
    <cfRule type="iconSet" priority="2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24:C237">
    <cfRule type="iconSet" priority="2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24:B237">
    <cfRule type="iconSet" priority="1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242:C251">
    <cfRule type="iconSet" priority="18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42:B251">
    <cfRule type="iconSet" priority="1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42:E251">
    <cfRule type="cellIs" dxfId="26" priority="15" operator="between">
      <formula>WORKDAY(TODAY(),10,Holiday)</formula>
      <formula>WORKDAY(TODAY(),1,Holiday)</formula>
    </cfRule>
    <cfRule type="iconSet" priority="1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52:C255">
    <cfRule type="iconSet" priority="14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52:B255">
    <cfRule type="iconSet" priority="1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252:E255">
    <cfRule type="cellIs" dxfId="25" priority="11" operator="between">
      <formula>WORKDAY(TODAY(),10,Holiday)</formula>
      <formula>WORKDAY(TODAY(),1,Holiday)</formula>
    </cfRule>
    <cfRule type="iconSet" priority="1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242:C255">
    <cfRule type="iconSet" priority="10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242:B255">
    <cfRule type="iconSet" priority="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42:C49">
    <cfRule type="iconSet" priority="2">
      <iconSet iconSet="3Symbols2">
        <cfvo type="percent" val="0"/>
        <cfvo type="num" val="VALUE(DATE(YEAR(TODAY()),MONTH(TODAY()),DAY(TODAY())))"/>
        <cfvo type="num" val="VALUE(DATE(YEAR(TODAY()),MONTH(TODAY()),DAY(TODAY())))+7" gte="0"/>
      </iconSet>
    </cfRule>
  </conditionalFormatting>
  <conditionalFormatting sqref="B42:B49">
    <cfRule type="iconSet" priority="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42:E49">
    <cfRule type="cellIs" dxfId="24" priority="3" operator="between">
      <formula>WORKDAY(TODAY(),10,Holiday)</formula>
      <formula>WORKDAY(TODAY(),1,Holiday)</formula>
    </cfRule>
    <cfRule type="iconSet" priority="4">
      <iconSet iconSet="4TrafficLights">
        <cfvo type="percent" val="0"/>
        <cfvo type="num" val="TODAY()"/>
        <cfvo type="num" val="TODAY()+1"/>
        <cfvo type="num" val="TODAY()+1"/>
      </iconSet>
    </cfRule>
  </conditionalFormatting>
  <pageMargins left="0.7" right="0.7" top="0.75" bottom="0.75" header="0.3" footer="0.3"/>
  <webPublishItems count="1">
    <webPublishItem id="1577" divId="中融汇信期货2012年交保证金参数表_1577" sourceType="sheet" destinationFile="C:\Documents and Settings\Administrator\桌面\2012年大商所品种临交割月保证金调整日历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55"/>
  <sheetViews>
    <sheetView topLeftCell="A28" workbookViewId="0">
      <selection activeCell="D53" sqref="D53"/>
    </sheetView>
  </sheetViews>
  <sheetFormatPr defaultRowHeight="13.5" x14ac:dyDescent="0.15"/>
  <cols>
    <col min="2" max="3" width="11.625" bestFit="1" customWidth="1"/>
    <col min="4" max="4" width="28.625" customWidth="1"/>
    <col min="5" max="5" width="20.125" customWidth="1"/>
  </cols>
  <sheetData>
    <row r="1" spans="1:5" x14ac:dyDescent="0.15">
      <c r="A1" t="s">
        <v>27</v>
      </c>
      <c r="D1" s="6">
        <v>0.1</v>
      </c>
      <c r="E1" s="6">
        <v>0.2</v>
      </c>
    </row>
    <row r="2" spans="1:5" s="32" customFormat="1" x14ac:dyDescent="0.15">
      <c r="B2" s="32" t="s">
        <v>48</v>
      </c>
      <c r="C2" s="32" t="s">
        <v>17</v>
      </c>
      <c r="D2" s="32" t="s">
        <v>88</v>
      </c>
      <c r="E2" s="32" t="s">
        <v>18</v>
      </c>
    </row>
    <row r="3" spans="1:5" x14ac:dyDescent="0.15">
      <c r="A3" t="str">
        <f ca="1">"A"&amp;TEXT(DATE(YEAR(TODAY()),ODD(MONTH(TODAY())+IF(TODAY()&gt;WORKDAY(DATE(YEAR(TODAY()),ODD(MONTH(TODAY())),0),10,Holiday),1,0)),1),"yymm")</f>
        <v>A1507</v>
      </c>
      <c r="B3" s="3">
        <f t="shared" ref="B3:B13" ca="1" si="0">WORKDAY(WORKDAY(DATE("20"&amp;MID(A3,2,2),RIGHT(A3,2)-18,0),10,Holiday),1,Holiday)</f>
        <v>41655</v>
      </c>
      <c r="C3" s="3">
        <f t="shared" ref="C3:C8" ca="1" si="1">WORKDAY(DATE("20"&amp;MID(A3,2,2),RIGHT(A3,2),0),10,Holiday)</f>
        <v>42199</v>
      </c>
      <c r="D3" s="3">
        <f t="shared" ref="D3:D13" ca="1" si="2">WORKDAY(DATE("20"&amp;MID(A3,2,2),RIGHT(A3,2)-1,0),15,Holiday)</f>
        <v>42174</v>
      </c>
      <c r="E3" s="3">
        <f t="shared" ref="E3:E8" ca="1" si="3">WORKDAY(DATE("20"&amp;MID(A3,2,2),RIGHT(A3,2),0),1,Holiday)</f>
        <v>42186</v>
      </c>
    </row>
    <row r="4" spans="1:5" x14ac:dyDescent="0.15">
      <c r="A4" t="str">
        <f ca="1">"A"&amp;TEXT(DATE("20"&amp;MID(A3,2,2),RIGHT(A3,2)+2,10),"yymm")</f>
        <v>A1509</v>
      </c>
      <c r="B4" s="3">
        <f t="shared" ca="1" si="0"/>
        <v>41715</v>
      </c>
      <c r="C4" s="3">
        <f t="shared" ca="1" si="1"/>
        <v>42263</v>
      </c>
      <c r="D4" s="3">
        <f t="shared" ca="1" si="2"/>
        <v>42237</v>
      </c>
      <c r="E4" s="3">
        <f t="shared" ca="1" si="3"/>
        <v>42248</v>
      </c>
    </row>
    <row r="5" spans="1:5" x14ac:dyDescent="0.15">
      <c r="A5" t="str">
        <f ca="1">"A"&amp;TEXT(DATE("20"&amp;MID(A4,2,2),RIGHT(A4,2)+2,10),"yymm")</f>
        <v>A1511</v>
      </c>
      <c r="B5" s="3">
        <f t="shared" ca="1" si="0"/>
        <v>41778</v>
      </c>
      <c r="C5" s="3">
        <f t="shared" ca="1" si="1"/>
        <v>42321</v>
      </c>
      <c r="D5" s="3">
        <f t="shared" ca="1" si="2"/>
        <v>42305</v>
      </c>
      <c r="E5" s="3">
        <f t="shared" ca="1" si="3"/>
        <v>42310</v>
      </c>
    </row>
    <row r="6" spans="1:5" x14ac:dyDescent="0.15">
      <c r="A6" t="str">
        <f ca="1">"A"&amp;TEXT(DATE("20"&amp;MID(A5,2,2),RIGHT(A5,2)+2,10),"yymm")</f>
        <v>A1601</v>
      </c>
      <c r="B6" s="3">
        <f t="shared" ca="1" si="0"/>
        <v>41835</v>
      </c>
      <c r="C6" s="3">
        <f t="shared" ca="1" si="1"/>
        <v>42383</v>
      </c>
      <c r="D6" s="3">
        <f t="shared" ca="1" si="2"/>
        <v>42359</v>
      </c>
      <c r="E6" s="3">
        <f t="shared" ca="1" si="3"/>
        <v>42370</v>
      </c>
    </row>
    <row r="7" spans="1:5" x14ac:dyDescent="0.15">
      <c r="A7" t="str">
        <f ca="1">"A"&amp;TEXT(DATE("20"&amp;MID(A6,2,2),RIGHT(A6,2)+2,10),"yymm")</f>
        <v>A1603</v>
      </c>
      <c r="B7" s="3">
        <f t="shared" ca="1" si="0"/>
        <v>41898</v>
      </c>
      <c r="C7" s="3">
        <f t="shared" ca="1" si="1"/>
        <v>42443</v>
      </c>
      <c r="D7" s="3">
        <f t="shared" ca="1" si="2"/>
        <v>42419</v>
      </c>
      <c r="E7" s="3">
        <f t="shared" ca="1" si="3"/>
        <v>42430</v>
      </c>
    </row>
    <row r="8" spans="1:5" x14ac:dyDescent="0.15">
      <c r="A8" t="str">
        <f ca="1">"A"&amp;TEXT(DATE("20"&amp;MID(A7,2,2),RIGHT(A7,2)+2,10),"yymm")</f>
        <v>A1605</v>
      </c>
      <c r="B8" s="3">
        <f t="shared" ca="1" si="0"/>
        <v>41960</v>
      </c>
      <c r="C8" s="3">
        <f t="shared" ca="1" si="1"/>
        <v>42503</v>
      </c>
      <c r="D8" s="3">
        <f t="shared" ca="1" si="2"/>
        <v>42481</v>
      </c>
      <c r="E8" s="3">
        <f t="shared" ca="1" si="3"/>
        <v>42492</v>
      </c>
    </row>
    <row r="9" spans="1:5" x14ac:dyDescent="0.15">
      <c r="A9" t="str">
        <f t="shared" ref="A9:A13" ca="1" si="4">"A"&amp;TEXT(DATE("20"&amp;MID(A8,2,2),RIGHT(A8,2)+2,10),"yymm")</f>
        <v>A1607</v>
      </c>
      <c r="B9" s="3">
        <f t="shared" ca="1" si="0"/>
        <v>42023</v>
      </c>
      <c r="C9" s="3">
        <f t="shared" ref="C9:C11" ca="1" si="5">WORKDAY(DATE("20"&amp;MID(A9,2,2),RIGHT(A9,2),0),10,Holiday)</f>
        <v>42565</v>
      </c>
      <c r="D9" s="3">
        <f t="shared" ca="1" si="2"/>
        <v>42542</v>
      </c>
      <c r="E9" s="3">
        <f t="shared" ref="E9:E11" ca="1" si="6">WORKDAY(DATE("20"&amp;MID(A9,2,2),RIGHT(A9,2),0),1,Holiday)</f>
        <v>42552</v>
      </c>
    </row>
    <row r="10" spans="1:5" x14ac:dyDescent="0.15">
      <c r="A10" t="str">
        <f t="shared" ca="1" si="4"/>
        <v>A1609</v>
      </c>
      <c r="B10" s="3">
        <f t="shared" ca="1" si="0"/>
        <v>42079</v>
      </c>
      <c r="C10" s="3">
        <f t="shared" ca="1" si="5"/>
        <v>42627</v>
      </c>
      <c r="D10" s="3">
        <f t="shared" ca="1" si="2"/>
        <v>42601</v>
      </c>
      <c r="E10" s="3">
        <f t="shared" ca="1" si="6"/>
        <v>42614</v>
      </c>
    </row>
    <row r="11" spans="1:5" x14ac:dyDescent="0.15">
      <c r="A11" t="str">
        <f t="shared" ca="1" si="4"/>
        <v>A1611</v>
      </c>
      <c r="B11" s="3">
        <f t="shared" ca="1" si="0"/>
        <v>42142</v>
      </c>
      <c r="C11" s="3">
        <f t="shared" ca="1" si="5"/>
        <v>42688</v>
      </c>
      <c r="D11" s="3">
        <f t="shared" ca="1" si="2"/>
        <v>42664</v>
      </c>
      <c r="E11" s="3">
        <f t="shared" ca="1" si="6"/>
        <v>42675</v>
      </c>
    </row>
    <row r="12" spans="1:5" x14ac:dyDescent="0.15">
      <c r="A12" t="str">
        <f t="shared" ca="1" si="4"/>
        <v>A1701</v>
      </c>
      <c r="B12" s="3">
        <f t="shared" ca="1" si="0"/>
        <v>42200</v>
      </c>
      <c r="C12" s="3">
        <f t="shared" ref="C12:C13" ca="1" si="7">WORKDAY(DATE("20"&amp;MID(A12,2,2),RIGHT(A12,2),0),10,Holiday)</f>
        <v>42748</v>
      </c>
      <c r="D12" s="3">
        <f t="shared" ca="1" si="2"/>
        <v>42725</v>
      </c>
      <c r="E12" s="3">
        <f t="shared" ref="E12:E13" ca="1" si="8">WORKDAY(DATE("20"&amp;MID(A12,2,2),RIGHT(A12,2),0),1,Holiday)</f>
        <v>42737</v>
      </c>
    </row>
    <row r="13" spans="1:5" x14ac:dyDescent="0.15">
      <c r="A13" t="str">
        <f t="shared" ca="1" si="4"/>
        <v>A1703</v>
      </c>
      <c r="B13" s="3">
        <f t="shared" ca="1" si="0"/>
        <v>42264</v>
      </c>
      <c r="C13" s="3">
        <f t="shared" ca="1" si="7"/>
        <v>42808</v>
      </c>
      <c r="D13" s="3">
        <f t="shared" ca="1" si="2"/>
        <v>42787</v>
      </c>
      <c r="E13" s="3">
        <f t="shared" ca="1" si="8"/>
        <v>42795</v>
      </c>
    </row>
    <row r="14" spans="1:5" x14ac:dyDescent="0.15">
      <c r="C14" s="3"/>
      <c r="D14" s="3"/>
      <c r="E14" s="3"/>
    </row>
    <row r="15" spans="1:5" x14ac:dyDescent="0.15">
      <c r="C15" s="3"/>
      <c r="D15" s="3"/>
      <c r="E15" s="3"/>
    </row>
    <row r="16" spans="1:5" x14ac:dyDescent="0.15">
      <c r="A16" t="s">
        <v>28</v>
      </c>
      <c r="D16" s="6">
        <v>0.1</v>
      </c>
      <c r="E16" s="6">
        <v>0.2</v>
      </c>
    </row>
    <row r="17" spans="1:5" x14ac:dyDescent="0.15">
      <c r="B17" s="32" t="s">
        <v>48</v>
      </c>
      <c r="C17" t="s">
        <v>1</v>
      </c>
      <c r="D17" s="32" t="s">
        <v>88</v>
      </c>
      <c r="E17" t="s">
        <v>18</v>
      </c>
    </row>
    <row r="18" spans="1:5" x14ac:dyDescent="0.15">
      <c r="A18" t="str">
        <f ca="1">"B"&amp;TEXT(DATE(YEAR(TODAY()),ODD(MONTH(TODAY())+IF(TODAY()&gt;WORKDAY(DATE(YEAR(TODAY()),ODD(MONTH(TODAY())),0),10,Holiday),1,0)),1),"yymm")</f>
        <v>B1507</v>
      </c>
      <c r="B18" s="3">
        <f t="shared" ref="B18:B25" ca="1" si="9">WORKDAY(WORKDAY(DATE("20"&amp;MID(A18,2,2),RIGHT(A18,2)-12,0),10,Holiday),1,Holiday)</f>
        <v>41835</v>
      </c>
      <c r="C18" s="3">
        <f t="shared" ref="C18:C23" ca="1" si="10">WORKDAY(DATE("20"&amp;MID(A18,2,2),RIGHT(A18,2),0),10,Holiday)</f>
        <v>42199</v>
      </c>
      <c r="D18" s="3">
        <f t="shared" ref="D18:D25" ca="1" si="11">WORKDAY(DATE("20"&amp;MID(A18,2,2),RIGHT(A18,2)-1,0),15,Holiday)</f>
        <v>42174</v>
      </c>
      <c r="E18" s="3">
        <f t="shared" ref="E18:E25" ca="1" si="12">WORKDAY(DATE("20"&amp;MID(A18,2,2),RIGHT(A18,2),0),1,Holiday)</f>
        <v>42186</v>
      </c>
    </row>
    <row r="19" spans="1:5" x14ac:dyDescent="0.15">
      <c r="A19" t="str">
        <f t="shared" ref="A19:A25" ca="1" si="13">"B"&amp;TEXT(DATE("20"&amp;MID(A18,2,2),RIGHT(A18,2)+2,10),"yymm")</f>
        <v>B1509</v>
      </c>
      <c r="B19" s="3">
        <f t="shared" ca="1" si="9"/>
        <v>41898</v>
      </c>
      <c r="C19" s="3">
        <f t="shared" ca="1" si="10"/>
        <v>42263</v>
      </c>
      <c r="D19" s="3">
        <f t="shared" ca="1" si="11"/>
        <v>42237</v>
      </c>
      <c r="E19" s="3">
        <f t="shared" ca="1" si="12"/>
        <v>42248</v>
      </c>
    </row>
    <row r="20" spans="1:5" x14ac:dyDescent="0.15">
      <c r="A20" t="str">
        <f t="shared" ca="1" si="13"/>
        <v>B1511</v>
      </c>
      <c r="B20" s="3">
        <f t="shared" ca="1" si="9"/>
        <v>41960</v>
      </c>
      <c r="C20" s="3">
        <f t="shared" ca="1" si="10"/>
        <v>42321</v>
      </c>
      <c r="D20" s="3">
        <f t="shared" ca="1" si="11"/>
        <v>42305</v>
      </c>
      <c r="E20" s="3">
        <f t="shared" ca="1" si="12"/>
        <v>42310</v>
      </c>
    </row>
    <row r="21" spans="1:5" x14ac:dyDescent="0.15">
      <c r="A21" t="str">
        <f t="shared" ca="1" si="13"/>
        <v>B1601</v>
      </c>
      <c r="B21" s="3">
        <f t="shared" ca="1" si="9"/>
        <v>42023</v>
      </c>
      <c r="C21" s="3">
        <f t="shared" ca="1" si="10"/>
        <v>42383</v>
      </c>
      <c r="D21" s="3">
        <f t="shared" ca="1" si="11"/>
        <v>42359</v>
      </c>
      <c r="E21" s="3">
        <f t="shared" ca="1" si="12"/>
        <v>42370</v>
      </c>
    </row>
    <row r="22" spans="1:5" x14ac:dyDescent="0.15">
      <c r="A22" t="str">
        <f t="shared" ca="1" si="13"/>
        <v>B1603</v>
      </c>
      <c r="B22" s="3">
        <f t="shared" ca="1" si="9"/>
        <v>42079</v>
      </c>
      <c r="C22" s="3">
        <f t="shared" ca="1" si="10"/>
        <v>42443</v>
      </c>
      <c r="D22" s="3">
        <f t="shared" ca="1" si="11"/>
        <v>42419</v>
      </c>
      <c r="E22" s="3">
        <f t="shared" ca="1" si="12"/>
        <v>42430</v>
      </c>
    </row>
    <row r="23" spans="1:5" x14ac:dyDescent="0.15">
      <c r="A23" t="str">
        <f t="shared" ca="1" si="13"/>
        <v>B1605</v>
      </c>
      <c r="B23" s="3">
        <f t="shared" ca="1" si="9"/>
        <v>42142</v>
      </c>
      <c r="C23" s="3">
        <f t="shared" ca="1" si="10"/>
        <v>42503</v>
      </c>
      <c r="D23" s="3">
        <f t="shared" ca="1" si="11"/>
        <v>42481</v>
      </c>
      <c r="E23" s="3">
        <f t="shared" ca="1" si="12"/>
        <v>42492</v>
      </c>
    </row>
    <row r="24" spans="1:5" x14ac:dyDescent="0.15">
      <c r="A24" t="str">
        <f t="shared" ca="1" si="13"/>
        <v>B1607</v>
      </c>
      <c r="B24" s="3">
        <f t="shared" ca="1" si="9"/>
        <v>42200</v>
      </c>
      <c r="C24" s="3">
        <f t="shared" ref="C24:C25" ca="1" si="14">WORKDAY(DATE("20"&amp;MID(A24,2,2),RIGHT(A24,2),0),10,Holiday)</f>
        <v>42565</v>
      </c>
      <c r="D24" s="3">
        <f t="shared" ca="1" si="11"/>
        <v>42542</v>
      </c>
      <c r="E24" s="3">
        <f t="shared" ca="1" si="12"/>
        <v>42552</v>
      </c>
    </row>
    <row r="25" spans="1:5" x14ac:dyDescent="0.15">
      <c r="A25" t="str">
        <f t="shared" ca="1" si="13"/>
        <v>B1609</v>
      </c>
      <c r="B25" s="3">
        <f t="shared" ca="1" si="9"/>
        <v>42264</v>
      </c>
      <c r="C25" s="3">
        <f t="shared" ca="1" si="14"/>
        <v>42627</v>
      </c>
      <c r="D25" s="3">
        <f t="shared" ca="1" si="11"/>
        <v>42601</v>
      </c>
      <c r="E25" s="3">
        <f t="shared" ca="1" si="12"/>
        <v>42614</v>
      </c>
    </row>
    <row r="26" spans="1:5" x14ac:dyDescent="0.15">
      <c r="C26" s="3"/>
      <c r="D26" s="3"/>
      <c r="E26" s="3"/>
    </row>
    <row r="27" spans="1:5" x14ac:dyDescent="0.15">
      <c r="C27" s="3"/>
      <c r="D27" s="3"/>
      <c r="E27" s="3"/>
    </row>
    <row r="28" spans="1:5" x14ac:dyDescent="0.15">
      <c r="A28" t="s">
        <v>29</v>
      </c>
      <c r="D28" s="6">
        <v>0.1</v>
      </c>
      <c r="E28" s="6">
        <v>0.2</v>
      </c>
    </row>
    <row r="29" spans="1:5" x14ac:dyDescent="0.15">
      <c r="B29" t="s">
        <v>48</v>
      </c>
      <c r="C29" t="s">
        <v>1</v>
      </c>
      <c r="D29" s="32" t="s">
        <v>88</v>
      </c>
      <c r="E29" t="s">
        <v>18</v>
      </c>
    </row>
    <row r="30" spans="1:5" x14ac:dyDescent="0.15">
      <c r="A30" t="str">
        <f ca="1">"C"&amp;TEXT(DATE(YEAR(TODAY()),ODD(MONTH(TODAY())+IF(TODAY()&gt;WORKDAY(DATE(YEAR(TODAY()),ODD(MONTH(TODAY())),0),10,Holiday),1,0)),1),"yymm")</f>
        <v>C1507</v>
      </c>
      <c r="B30" s="3">
        <f t="shared" ref="B30:B37" ca="1" si="15">WORKDAY(WORKDAY(DATE("20"&amp;MID(A30,2,2),RIGHT(A30,2)-12,0),10,Holiday),1,Holiday)</f>
        <v>41835</v>
      </c>
      <c r="C30" s="3">
        <f t="shared" ref="C30:C35" ca="1" si="16">WORKDAY(DATE("20"&amp;MID(A30,2,2),RIGHT(A30,2),0),10,Holiday)</f>
        <v>42199</v>
      </c>
      <c r="D30" s="3">
        <f t="shared" ref="D30:D37" ca="1" si="17">WORKDAY(DATE("20"&amp;MID(A30,2,2),RIGHT(A30,2)-1,0),15,Holiday)</f>
        <v>42174</v>
      </c>
      <c r="E30" s="3">
        <f t="shared" ref="E30:E37" ca="1" si="18">WORKDAY(DATE("20"&amp;MID(A30,2,2),RIGHT(A30,2),0),1,Holiday)</f>
        <v>42186</v>
      </c>
    </row>
    <row r="31" spans="1:5" x14ac:dyDescent="0.15">
      <c r="A31" t="str">
        <f t="shared" ref="A31:A37" ca="1" si="19">"C"&amp;TEXT(DATE("20"&amp;MID(A30,2,2),RIGHT(A30,2)+2,10),"yymm")</f>
        <v>C1509</v>
      </c>
      <c r="B31" s="3">
        <f t="shared" ca="1" si="15"/>
        <v>41898</v>
      </c>
      <c r="C31" s="3">
        <f t="shared" ca="1" si="16"/>
        <v>42263</v>
      </c>
      <c r="D31" s="3">
        <f t="shared" ca="1" si="17"/>
        <v>42237</v>
      </c>
      <c r="E31" s="3">
        <f t="shared" ca="1" si="18"/>
        <v>42248</v>
      </c>
    </row>
    <row r="32" spans="1:5" x14ac:dyDescent="0.15">
      <c r="A32" t="str">
        <f t="shared" ca="1" si="19"/>
        <v>C1511</v>
      </c>
      <c r="B32" s="3">
        <f t="shared" ca="1" si="15"/>
        <v>41960</v>
      </c>
      <c r="C32" s="3">
        <f t="shared" ca="1" si="16"/>
        <v>42321</v>
      </c>
      <c r="D32" s="3">
        <f t="shared" ca="1" si="17"/>
        <v>42305</v>
      </c>
      <c r="E32" s="3">
        <f t="shared" ca="1" si="18"/>
        <v>42310</v>
      </c>
    </row>
    <row r="33" spans="1:5" x14ac:dyDescent="0.15">
      <c r="A33" t="str">
        <f t="shared" ca="1" si="19"/>
        <v>C1601</v>
      </c>
      <c r="B33" s="3">
        <f t="shared" ca="1" si="15"/>
        <v>42023</v>
      </c>
      <c r="C33" s="3">
        <f t="shared" ca="1" si="16"/>
        <v>42383</v>
      </c>
      <c r="D33" s="3">
        <f t="shared" ca="1" si="17"/>
        <v>42359</v>
      </c>
      <c r="E33" s="3">
        <f t="shared" ca="1" si="18"/>
        <v>42370</v>
      </c>
    </row>
    <row r="34" spans="1:5" x14ac:dyDescent="0.15">
      <c r="A34" t="str">
        <f t="shared" ca="1" si="19"/>
        <v>C1603</v>
      </c>
      <c r="B34" s="3">
        <f t="shared" ca="1" si="15"/>
        <v>42079</v>
      </c>
      <c r="C34" s="3">
        <f t="shared" ca="1" si="16"/>
        <v>42443</v>
      </c>
      <c r="D34" s="3">
        <f t="shared" ca="1" si="17"/>
        <v>42419</v>
      </c>
      <c r="E34" s="3">
        <f t="shared" ca="1" si="18"/>
        <v>42430</v>
      </c>
    </row>
    <row r="35" spans="1:5" x14ac:dyDescent="0.15">
      <c r="A35" t="str">
        <f t="shared" ca="1" si="19"/>
        <v>C1605</v>
      </c>
      <c r="B35" s="3">
        <f t="shared" ca="1" si="15"/>
        <v>42142</v>
      </c>
      <c r="C35" s="3">
        <f t="shared" ca="1" si="16"/>
        <v>42503</v>
      </c>
      <c r="D35" s="3">
        <f t="shared" ca="1" si="17"/>
        <v>42481</v>
      </c>
      <c r="E35" s="3">
        <f t="shared" ca="1" si="18"/>
        <v>42492</v>
      </c>
    </row>
    <row r="36" spans="1:5" x14ac:dyDescent="0.15">
      <c r="A36" t="str">
        <f t="shared" ca="1" si="19"/>
        <v>C1607</v>
      </c>
      <c r="B36" s="3">
        <f t="shared" ca="1" si="15"/>
        <v>42200</v>
      </c>
      <c r="C36" s="3">
        <f t="shared" ref="C36:C37" ca="1" si="20">WORKDAY(DATE("20"&amp;MID(A36,2,2),RIGHT(A36,2),0),10,Holiday)</f>
        <v>42565</v>
      </c>
      <c r="D36" s="3">
        <f t="shared" ca="1" si="17"/>
        <v>42542</v>
      </c>
      <c r="E36" s="3">
        <f t="shared" ca="1" si="18"/>
        <v>42552</v>
      </c>
    </row>
    <row r="37" spans="1:5" x14ac:dyDescent="0.15">
      <c r="A37" t="str">
        <f t="shared" ca="1" si="19"/>
        <v>C1609</v>
      </c>
      <c r="B37" s="3">
        <f t="shared" ca="1" si="15"/>
        <v>42264</v>
      </c>
      <c r="C37" s="3">
        <f t="shared" ca="1" si="20"/>
        <v>42627</v>
      </c>
      <c r="D37" s="3">
        <f t="shared" ca="1" si="17"/>
        <v>42601</v>
      </c>
      <c r="E37" s="3">
        <f t="shared" ca="1" si="18"/>
        <v>42614</v>
      </c>
    </row>
    <row r="38" spans="1:5" x14ac:dyDescent="0.15">
      <c r="B38" s="3"/>
      <c r="C38" s="3"/>
      <c r="D38" s="3"/>
      <c r="E38" s="3"/>
    </row>
    <row r="39" spans="1:5" x14ac:dyDescent="0.15">
      <c r="B39" s="3"/>
      <c r="C39" s="3"/>
      <c r="D39" s="3"/>
      <c r="E39" s="3"/>
    </row>
    <row r="40" spans="1:5" x14ac:dyDescent="0.15">
      <c r="A40" t="s">
        <v>90</v>
      </c>
      <c r="D40" s="6">
        <v>0.1</v>
      </c>
      <c r="E40" s="6">
        <v>0.2</v>
      </c>
    </row>
    <row r="41" spans="1:5" x14ac:dyDescent="0.15">
      <c r="B41" t="s">
        <v>46</v>
      </c>
      <c r="C41" t="s">
        <v>1</v>
      </c>
      <c r="D41" s="32" t="s">
        <v>88</v>
      </c>
      <c r="E41" t="s">
        <v>18</v>
      </c>
    </row>
    <row r="42" spans="1:5" x14ac:dyDescent="0.15">
      <c r="A42" t="str">
        <f ca="1">"CS"&amp;IF(TEXT(DATE(YEAR(TODAY()),ODD(MONTH(TODAY())+IF(TODAY()&gt;WORKDAY(DATE(YEAR(TODAY()),ODD(MONTH(TODAY())),0),10,Holiday),1,0)),1),"yymm")*1&lt;=1503,"1503",TEXT(DATE(YEAR(TODAY()),ODD(MONTH(TODAY())+IF(TODAY()&gt;WORKDAY(DATE(YEAR(TODAY()),ODD(MONTH(TODAY())),0),10,Holiday),1,0)),1),"yymm"))</f>
        <v>CS1507</v>
      </c>
      <c r="B42" s="3">
        <f t="shared" ref="B42:B49" ca="1" si="21">IF(WORKDAY(WORKDAY(DATE("20"&amp;MID(A42,3,2),RIGHT(A42,2)-12,0),10,Holiday),1,Holiday)&lt;=DATE(2014,12,19),DATE(2014,12,19),WORKDAY(WORKDAY(DATE("20"&amp;MID(A42,3,2),RIGHT(A42,2)-12,0),10,Holiday),1,Holiday))</f>
        <v>41992</v>
      </c>
      <c r="C42" s="3">
        <f t="shared" ref="C42:C49" ca="1" si="22">WORKDAY(DATE("20"&amp;MID(A42,3,2),RIGHT(A42,2),0),10,Holiday)</f>
        <v>42199</v>
      </c>
      <c r="D42" s="3">
        <f t="shared" ref="D42:D49" ca="1" si="23">WORKDAY(DATE("20"&amp;MID(A42,3,2),RIGHT(A42,2)-1,0),15,Holiday)</f>
        <v>42174</v>
      </c>
      <c r="E42" s="3">
        <f t="shared" ref="E42:E49" ca="1" si="24">WORKDAY(DATE("20"&amp;MID(A42,3,2),RIGHT(A42,2),0),1,Holiday)</f>
        <v>42186</v>
      </c>
    </row>
    <row r="43" spans="1:5" x14ac:dyDescent="0.15">
      <c r="A43" t="str">
        <f ca="1">"CS"&amp;TEXT(DATE("20"&amp;MID(A42,3,2),RIGHT(A42,2)+2,10),"yymm")</f>
        <v>CS1509</v>
      </c>
      <c r="B43" s="3">
        <f t="shared" ca="1" si="21"/>
        <v>41992</v>
      </c>
      <c r="C43" s="3">
        <f t="shared" ca="1" si="22"/>
        <v>42263</v>
      </c>
      <c r="D43" s="3">
        <f t="shared" ca="1" si="23"/>
        <v>42237</v>
      </c>
      <c r="E43" s="3">
        <f t="shared" ca="1" si="24"/>
        <v>42248</v>
      </c>
    </row>
    <row r="44" spans="1:5" x14ac:dyDescent="0.15">
      <c r="A44" t="str">
        <f t="shared" ref="A44:A49" ca="1" si="25">"CS"&amp;TEXT(DATE("20"&amp;MID(A43,3,2),RIGHT(A43,2)+2,10),"yymm")</f>
        <v>CS1511</v>
      </c>
      <c r="B44" s="3">
        <f t="shared" ca="1" si="21"/>
        <v>41992</v>
      </c>
      <c r="C44" s="3">
        <f t="shared" ca="1" si="22"/>
        <v>42321</v>
      </c>
      <c r="D44" s="3">
        <f t="shared" ca="1" si="23"/>
        <v>42305</v>
      </c>
      <c r="E44" s="3">
        <f t="shared" ca="1" si="24"/>
        <v>42310</v>
      </c>
    </row>
    <row r="45" spans="1:5" x14ac:dyDescent="0.15">
      <c r="A45" t="str">
        <f t="shared" ca="1" si="25"/>
        <v>CS1601</v>
      </c>
      <c r="B45" s="3">
        <f t="shared" ca="1" si="21"/>
        <v>42023</v>
      </c>
      <c r="C45" s="3">
        <f t="shared" ca="1" si="22"/>
        <v>42383</v>
      </c>
      <c r="D45" s="3">
        <f t="shared" ca="1" si="23"/>
        <v>42359</v>
      </c>
      <c r="E45" s="3">
        <f t="shared" ca="1" si="24"/>
        <v>42370</v>
      </c>
    </row>
    <row r="46" spans="1:5" x14ac:dyDescent="0.15">
      <c r="A46" t="str">
        <f t="shared" ca="1" si="25"/>
        <v>CS1603</v>
      </c>
      <c r="B46" s="3">
        <f t="shared" ca="1" si="21"/>
        <v>42079</v>
      </c>
      <c r="C46" s="3">
        <f t="shared" ca="1" si="22"/>
        <v>42443</v>
      </c>
      <c r="D46" s="3">
        <f t="shared" ca="1" si="23"/>
        <v>42419</v>
      </c>
      <c r="E46" s="3">
        <f t="shared" ca="1" si="24"/>
        <v>42430</v>
      </c>
    </row>
    <row r="47" spans="1:5" x14ac:dyDescent="0.15">
      <c r="A47" t="str">
        <f t="shared" ca="1" si="25"/>
        <v>CS1605</v>
      </c>
      <c r="B47" s="3">
        <f t="shared" ca="1" si="21"/>
        <v>42142</v>
      </c>
      <c r="C47" s="3">
        <f t="shared" ca="1" si="22"/>
        <v>42503</v>
      </c>
      <c r="D47" s="3">
        <f t="shared" ca="1" si="23"/>
        <v>42481</v>
      </c>
      <c r="E47" s="3">
        <f t="shared" ca="1" si="24"/>
        <v>42492</v>
      </c>
    </row>
    <row r="48" spans="1:5" x14ac:dyDescent="0.15">
      <c r="A48" t="str">
        <f t="shared" ca="1" si="25"/>
        <v>CS1607</v>
      </c>
      <c r="B48" s="3">
        <f t="shared" ca="1" si="21"/>
        <v>42200</v>
      </c>
      <c r="C48" s="3">
        <f t="shared" ca="1" si="22"/>
        <v>42565</v>
      </c>
      <c r="D48" s="3">
        <f t="shared" ca="1" si="23"/>
        <v>42542</v>
      </c>
      <c r="E48" s="3">
        <f t="shared" ca="1" si="24"/>
        <v>42552</v>
      </c>
    </row>
    <row r="49" spans="1:15" x14ac:dyDescent="0.15">
      <c r="A49" t="str">
        <f t="shared" ca="1" si="25"/>
        <v>CS1609</v>
      </c>
      <c r="B49" s="3">
        <f t="shared" ca="1" si="21"/>
        <v>42264</v>
      </c>
      <c r="C49" s="3">
        <f t="shared" ca="1" si="22"/>
        <v>42627</v>
      </c>
      <c r="D49" s="3">
        <f t="shared" ca="1" si="23"/>
        <v>42601</v>
      </c>
      <c r="E49" s="3">
        <f t="shared" ca="1" si="24"/>
        <v>42614</v>
      </c>
    </row>
    <row r="50" spans="1:15" x14ac:dyDescent="0.15">
      <c r="D50" s="3"/>
      <c r="E50" s="3"/>
      <c r="O50" s="4"/>
    </row>
    <row r="52" spans="1:15" x14ac:dyDescent="0.15">
      <c r="A52" t="s">
        <v>30</v>
      </c>
      <c r="D52" s="6">
        <v>0.1</v>
      </c>
      <c r="E52" s="6">
        <v>0.2</v>
      </c>
    </row>
    <row r="53" spans="1:15" x14ac:dyDescent="0.15">
      <c r="B53" t="s">
        <v>48</v>
      </c>
      <c r="C53" t="s">
        <v>17</v>
      </c>
      <c r="D53" s="32" t="s">
        <v>88</v>
      </c>
      <c r="E53" t="s">
        <v>18</v>
      </c>
    </row>
    <row r="54" spans="1:15" x14ac:dyDescent="0.15">
      <c r="A54" t="str">
        <f ca="1">"P"&amp;TEXT(IF(TODAY()&gt;WORKDAY(DATE(YEAR(TODAY()),MONTH(TODAY()),0),10,Holiday),DATE(YEAR(TODAY()),MONTH(TODAY())+1,10),DATE(YEAR(TODAY()),MONTH(TODAY()),10)),"yymm")</f>
        <v>P1507</v>
      </c>
      <c r="B54" s="3">
        <f t="shared" ref="B54:B67" ca="1" si="26">WORKDAY(WORKDAY(DATE("20"&amp;MID(A54,2,2),RIGHT(A54,2)-12,0),10,Holiday),1,Holiday)</f>
        <v>41835</v>
      </c>
      <c r="C54" s="3">
        <f t="shared" ref="C54:C65" ca="1" si="27">WORKDAY(DATE("20"&amp;MID(A54,2,2),RIGHT(A54,2),0),10,Holiday)</f>
        <v>42199</v>
      </c>
      <c r="D54" s="3">
        <f t="shared" ref="D54:D67" ca="1" si="28">WORKDAY(DATE("20"&amp;MID(A54,2,2),RIGHT(A54,2)-1,0),15,Holiday)</f>
        <v>42174</v>
      </c>
      <c r="E54" s="3">
        <f t="shared" ref="E54:E67" ca="1" si="29">WORKDAY(DATE("20"&amp;MID(A54,2,2),RIGHT(A54,2),0),1,Holiday)</f>
        <v>42186</v>
      </c>
    </row>
    <row r="55" spans="1:15" x14ac:dyDescent="0.15">
      <c r="A55" t="str">
        <f ca="1">"P"&amp;TEXT(DATE("20"&amp;MID(A54,LEN(A54)-3,2),RIGHT(A54,2)+1,"10"),"yymm")</f>
        <v>P1508</v>
      </c>
      <c r="B55" s="3">
        <f t="shared" ca="1" si="26"/>
        <v>41866</v>
      </c>
      <c r="C55" s="3">
        <f t="shared" ca="1" si="27"/>
        <v>42230</v>
      </c>
      <c r="D55" s="3">
        <f t="shared" ca="1" si="28"/>
        <v>42206</v>
      </c>
      <c r="E55" s="3">
        <f t="shared" ca="1" si="29"/>
        <v>42219</v>
      </c>
    </row>
    <row r="56" spans="1:15" x14ac:dyDescent="0.15">
      <c r="A56" t="str">
        <f ca="1">"P"&amp;TEXT(DATE("20"&amp;MID(A55,LEN(A55)-3,2),RIGHT(A55,2)+1,"10"),"yymm")</f>
        <v>P1509</v>
      </c>
      <c r="B56" s="3">
        <f t="shared" ca="1" si="26"/>
        <v>41898</v>
      </c>
      <c r="C56" s="3">
        <f t="shared" ca="1" si="27"/>
        <v>42263</v>
      </c>
      <c r="D56" s="3">
        <f t="shared" ca="1" si="28"/>
        <v>42237</v>
      </c>
      <c r="E56" s="3">
        <f t="shared" ca="1" si="29"/>
        <v>42248</v>
      </c>
    </row>
    <row r="57" spans="1:15" x14ac:dyDescent="0.15">
      <c r="A57" t="str">
        <f ca="1">"P"&amp;TEXT(DATE("20"&amp;MID(A56,LEN(A56)-3,2),RIGHT(A56,2)+1,"10"),"yymm")</f>
        <v>P1510</v>
      </c>
      <c r="B57" s="3">
        <f t="shared" ca="1" si="26"/>
        <v>41934</v>
      </c>
      <c r="C57" s="3">
        <f t="shared" ca="1" si="27"/>
        <v>42298</v>
      </c>
      <c r="D57" s="3">
        <f t="shared" ca="1" si="28"/>
        <v>42270</v>
      </c>
      <c r="E57" s="3">
        <f t="shared" ca="1" si="29"/>
        <v>42285</v>
      </c>
    </row>
    <row r="58" spans="1:15" x14ac:dyDescent="0.15">
      <c r="A58" t="str">
        <f ca="1">"P"&amp;TEXT(DATE("20"&amp;MID(A57,LEN(A57)-3,2),RIGHT(A57,2)+1,"10"),"yymm")</f>
        <v>P1511</v>
      </c>
      <c r="B58" s="3">
        <f t="shared" ca="1" si="26"/>
        <v>41960</v>
      </c>
      <c r="C58" s="3">
        <f t="shared" ca="1" si="27"/>
        <v>42321</v>
      </c>
      <c r="D58" s="3">
        <f t="shared" ca="1" si="28"/>
        <v>42305</v>
      </c>
      <c r="E58" s="3">
        <f t="shared" ca="1" si="29"/>
        <v>42310</v>
      </c>
    </row>
    <row r="59" spans="1:15" x14ac:dyDescent="0.15">
      <c r="A59" t="str">
        <f t="shared" ref="A59:A67" ca="1" si="30">"P"&amp;TEXT(DATE("20"&amp;MID(A58,LEN(A58)-3,2),RIGHT(A58,2)+1,"10"),"yymm")</f>
        <v>P1512</v>
      </c>
      <c r="B59" s="3">
        <f t="shared" ca="1" si="26"/>
        <v>41988</v>
      </c>
      <c r="C59" s="3">
        <f t="shared" ca="1" si="27"/>
        <v>42352</v>
      </c>
      <c r="D59" s="3">
        <f t="shared" ca="1" si="28"/>
        <v>42328</v>
      </c>
      <c r="E59" s="3">
        <f t="shared" ca="1" si="29"/>
        <v>42339</v>
      </c>
    </row>
    <row r="60" spans="1:15" x14ac:dyDescent="0.15">
      <c r="A60" t="str">
        <f t="shared" ca="1" si="30"/>
        <v>P1601</v>
      </c>
      <c r="B60" s="3">
        <f t="shared" ca="1" si="26"/>
        <v>42023</v>
      </c>
      <c r="C60" s="3">
        <f t="shared" ca="1" si="27"/>
        <v>42383</v>
      </c>
      <c r="D60" s="3">
        <f t="shared" ca="1" si="28"/>
        <v>42359</v>
      </c>
      <c r="E60" s="3">
        <f t="shared" ca="1" si="29"/>
        <v>42370</v>
      </c>
    </row>
    <row r="61" spans="1:15" x14ac:dyDescent="0.15">
      <c r="A61" t="str">
        <f t="shared" ca="1" si="30"/>
        <v>P1602</v>
      </c>
      <c r="B61" s="3">
        <f t="shared" ca="1" si="26"/>
        <v>42051</v>
      </c>
      <c r="C61" s="3">
        <f t="shared" ca="1" si="27"/>
        <v>42412</v>
      </c>
      <c r="D61" s="3">
        <f t="shared" ca="1" si="28"/>
        <v>42390</v>
      </c>
      <c r="E61" s="3">
        <f t="shared" ca="1" si="29"/>
        <v>42401</v>
      </c>
    </row>
    <row r="62" spans="1:15" x14ac:dyDescent="0.15">
      <c r="A62" t="str">
        <f t="shared" ca="1" si="30"/>
        <v>P1603</v>
      </c>
      <c r="B62" s="3">
        <f t="shared" ca="1" si="26"/>
        <v>42079</v>
      </c>
      <c r="C62" s="3">
        <f t="shared" ca="1" si="27"/>
        <v>42443</v>
      </c>
      <c r="D62" s="3">
        <f t="shared" ca="1" si="28"/>
        <v>42419</v>
      </c>
      <c r="E62" s="3">
        <f t="shared" ca="1" si="29"/>
        <v>42430</v>
      </c>
    </row>
    <row r="63" spans="1:15" x14ac:dyDescent="0.15">
      <c r="A63" t="str">
        <f t="shared" ca="1" si="30"/>
        <v>P1604</v>
      </c>
      <c r="B63" s="3">
        <f t="shared" ca="1" si="26"/>
        <v>42110</v>
      </c>
      <c r="C63" s="3">
        <f t="shared" ca="1" si="27"/>
        <v>42474</v>
      </c>
      <c r="D63" s="3">
        <f t="shared" ca="1" si="28"/>
        <v>42450</v>
      </c>
      <c r="E63" s="3">
        <f t="shared" ca="1" si="29"/>
        <v>42461</v>
      </c>
    </row>
    <row r="64" spans="1:15" x14ac:dyDescent="0.15">
      <c r="A64" t="str">
        <f t="shared" ca="1" si="30"/>
        <v>P1605</v>
      </c>
      <c r="B64" s="3">
        <f t="shared" ca="1" si="26"/>
        <v>42142</v>
      </c>
      <c r="C64" s="3">
        <f t="shared" ca="1" si="27"/>
        <v>42503</v>
      </c>
      <c r="D64" s="3">
        <f t="shared" ca="1" si="28"/>
        <v>42481</v>
      </c>
      <c r="E64" s="3">
        <f t="shared" ca="1" si="29"/>
        <v>42492</v>
      </c>
    </row>
    <row r="65" spans="1:5" x14ac:dyDescent="0.15">
      <c r="A65" t="str">
        <f t="shared" ca="1" si="30"/>
        <v>P1606</v>
      </c>
      <c r="B65" s="3">
        <f t="shared" ca="1" si="26"/>
        <v>42170</v>
      </c>
      <c r="C65" s="3">
        <f t="shared" ca="1" si="27"/>
        <v>42535</v>
      </c>
      <c r="D65" s="3">
        <f t="shared" ca="1" si="28"/>
        <v>42510</v>
      </c>
      <c r="E65" s="3">
        <f t="shared" ca="1" si="29"/>
        <v>42522</v>
      </c>
    </row>
    <row r="66" spans="1:5" x14ac:dyDescent="0.15">
      <c r="A66" t="str">
        <f t="shared" ca="1" si="30"/>
        <v>P1607</v>
      </c>
      <c r="B66" s="3">
        <f t="shared" ca="1" si="26"/>
        <v>42200</v>
      </c>
      <c r="C66" s="3">
        <f t="shared" ref="C66:C67" ca="1" si="31">WORKDAY(DATE("20"&amp;MID(A66,2,2),RIGHT(A66,2),0),10,Holiday)</f>
        <v>42565</v>
      </c>
      <c r="D66" s="3">
        <f t="shared" ca="1" si="28"/>
        <v>42542</v>
      </c>
      <c r="E66" s="3">
        <f t="shared" ca="1" si="29"/>
        <v>42552</v>
      </c>
    </row>
    <row r="67" spans="1:5" x14ac:dyDescent="0.15">
      <c r="A67" t="str">
        <f t="shared" ca="1" si="30"/>
        <v>P1608</v>
      </c>
      <c r="B67" s="3">
        <f t="shared" ca="1" si="26"/>
        <v>42233</v>
      </c>
      <c r="C67" s="3">
        <f t="shared" ca="1" si="31"/>
        <v>42594</v>
      </c>
      <c r="D67" s="3">
        <f t="shared" ca="1" si="28"/>
        <v>42572</v>
      </c>
      <c r="E67" s="3">
        <f t="shared" ca="1" si="29"/>
        <v>42583</v>
      </c>
    </row>
    <row r="68" spans="1:5" x14ac:dyDescent="0.15">
      <c r="C68" s="3"/>
      <c r="D68" s="3"/>
      <c r="E68" s="3"/>
    </row>
    <row r="69" spans="1:5" x14ac:dyDescent="0.15">
      <c r="C69" s="3"/>
      <c r="D69" s="3"/>
      <c r="E69" s="3"/>
    </row>
    <row r="70" spans="1:5" x14ac:dyDescent="0.15">
      <c r="A70" t="s">
        <v>31</v>
      </c>
      <c r="D70" s="6">
        <v>0.1</v>
      </c>
      <c r="E70" s="6">
        <v>0.2</v>
      </c>
    </row>
    <row r="71" spans="1:5" x14ac:dyDescent="0.15">
      <c r="B71" t="s">
        <v>48</v>
      </c>
      <c r="C71" t="s">
        <v>1</v>
      </c>
      <c r="D71" s="32" t="s">
        <v>88</v>
      </c>
      <c r="E71" t="s">
        <v>18</v>
      </c>
    </row>
    <row r="72" spans="1:5" x14ac:dyDescent="0.15">
      <c r="A72" t="str">
        <f ca="1">"L"&amp;TEXT(IF(TODAY()&gt;WORKDAY(DATE(YEAR(TODAY()),MONTH(TODAY()),0),10,Holiday),DATE(YEAR(TODAY()),MONTH(TODAY())+1,10),DATE(YEAR(TODAY()),MONTH(TODAY()),10)),"yymm")</f>
        <v>L1507</v>
      </c>
      <c r="B72" s="3">
        <f t="shared" ref="B72:B85" ca="1" si="32">WORKDAY(WORKDAY(DATE("20"&amp;MID(A72,2,2),RIGHT(A72,2)-12,0),10,Holiday),1,Holiday)</f>
        <v>41835</v>
      </c>
      <c r="C72" s="3">
        <f t="shared" ref="C72:C83" ca="1" si="33">WORKDAY(DATE("20"&amp;MID(A72,2,2),RIGHT(A72,2),0),10,Holiday)</f>
        <v>42199</v>
      </c>
      <c r="D72" s="3">
        <f t="shared" ref="D72:D85" ca="1" si="34">WORKDAY(DATE("20"&amp;MID(A72,2,2),RIGHT(A72,2)-1,0),15,Holiday)</f>
        <v>42174</v>
      </c>
      <c r="E72" s="3">
        <f t="shared" ref="E72:E85" ca="1" si="35">WORKDAY(DATE("20"&amp;MID(A72,2,2),RIGHT(A72,2),0),1,Holiday)</f>
        <v>42186</v>
      </c>
    </row>
    <row r="73" spans="1:5" x14ac:dyDescent="0.15">
      <c r="A73" t="str">
        <f t="shared" ref="A73:A85" ca="1" si="36">"L"&amp;TEXT(DATE("20"&amp;MID(A72,LEN(A72)-3,2),RIGHT(A72,2)+1,"10"),"yymm")</f>
        <v>L1508</v>
      </c>
      <c r="B73" s="3">
        <f t="shared" ca="1" si="32"/>
        <v>41866</v>
      </c>
      <c r="C73" s="3">
        <f t="shared" ca="1" si="33"/>
        <v>42230</v>
      </c>
      <c r="D73" s="3">
        <f t="shared" ca="1" si="34"/>
        <v>42206</v>
      </c>
      <c r="E73" s="3">
        <f t="shared" ca="1" si="35"/>
        <v>42219</v>
      </c>
    </row>
    <row r="74" spans="1:5" x14ac:dyDescent="0.15">
      <c r="A74" t="str">
        <f t="shared" ca="1" si="36"/>
        <v>L1509</v>
      </c>
      <c r="B74" s="3">
        <f t="shared" ca="1" si="32"/>
        <v>41898</v>
      </c>
      <c r="C74" s="3">
        <f t="shared" ca="1" si="33"/>
        <v>42263</v>
      </c>
      <c r="D74" s="3">
        <f t="shared" ca="1" si="34"/>
        <v>42237</v>
      </c>
      <c r="E74" s="3">
        <f t="shared" ca="1" si="35"/>
        <v>42248</v>
      </c>
    </row>
    <row r="75" spans="1:5" x14ac:dyDescent="0.15">
      <c r="A75" t="str">
        <f t="shared" ca="1" si="36"/>
        <v>L1510</v>
      </c>
      <c r="B75" s="3">
        <f t="shared" ca="1" si="32"/>
        <v>41934</v>
      </c>
      <c r="C75" s="3">
        <f t="shared" ca="1" si="33"/>
        <v>42298</v>
      </c>
      <c r="D75" s="3">
        <f t="shared" ca="1" si="34"/>
        <v>42270</v>
      </c>
      <c r="E75" s="3">
        <f t="shared" ca="1" si="35"/>
        <v>42285</v>
      </c>
    </row>
    <row r="76" spans="1:5" x14ac:dyDescent="0.15">
      <c r="A76" t="str">
        <f t="shared" ca="1" si="36"/>
        <v>L1511</v>
      </c>
      <c r="B76" s="3">
        <f t="shared" ca="1" si="32"/>
        <v>41960</v>
      </c>
      <c r="C76" s="3">
        <f t="shared" ca="1" si="33"/>
        <v>42321</v>
      </c>
      <c r="D76" s="3">
        <f t="shared" ca="1" si="34"/>
        <v>42305</v>
      </c>
      <c r="E76" s="3">
        <f t="shared" ca="1" si="35"/>
        <v>42310</v>
      </c>
    </row>
    <row r="77" spans="1:5" x14ac:dyDescent="0.15">
      <c r="A77" t="str">
        <f t="shared" ca="1" si="36"/>
        <v>L1512</v>
      </c>
      <c r="B77" s="3">
        <f t="shared" ca="1" si="32"/>
        <v>41988</v>
      </c>
      <c r="C77" s="3">
        <f t="shared" ca="1" si="33"/>
        <v>42352</v>
      </c>
      <c r="D77" s="3">
        <f t="shared" ca="1" si="34"/>
        <v>42328</v>
      </c>
      <c r="E77" s="3">
        <f t="shared" ca="1" si="35"/>
        <v>42339</v>
      </c>
    </row>
    <row r="78" spans="1:5" x14ac:dyDescent="0.15">
      <c r="A78" t="str">
        <f t="shared" ca="1" si="36"/>
        <v>L1601</v>
      </c>
      <c r="B78" s="3">
        <f t="shared" ca="1" si="32"/>
        <v>42023</v>
      </c>
      <c r="C78" s="3">
        <f t="shared" ca="1" si="33"/>
        <v>42383</v>
      </c>
      <c r="D78" s="3">
        <f t="shared" ca="1" si="34"/>
        <v>42359</v>
      </c>
      <c r="E78" s="3">
        <f t="shared" ca="1" si="35"/>
        <v>42370</v>
      </c>
    </row>
    <row r="79" spans="1:5" x14ac:dyDescent="0.15">
      <c r="A79" t="str">
        <f t="shared" ca="1" si="36"/>
        <v>L1602</v>
      </c>
      <c r="B79" s="3">
        <f t="shared" ca="1" si="32"/>
        <v>42051</v>
      </c>
      <c r="C79" s="3">
        <f t="shared" ca="1" si="33"/>
        <v>42412</v>
      </c>
      <c r="D79" s="3">
        <f t="shared" ca="1" si="34"/>
        <v>42390</v>
      </c>
      <c r="E79" s="3">
        <f t="shared" ca="1" si="35"/>
        <v>42401</v>
      </c>
    </row>
    <row r="80" spans="1:5" x14ac:dyDescent="0.15">
      <c r="A80" t="str">
        <f t="shared" ca="1" si="36"/>
        <v>L1603</v>
      </c>
      <c r="B80" s="3">
        <f t="shared" ca="1" si="32"/>
        <v>42079</v>
      </c>
      <c r="C80" s="3">
        <f t="shared" ca="1" si="33"/>
        <v>42443</v>
      </c>
      <c r="D80" s="3">
        <f t="shared" ca="1" si="34"/>
        <v>42419</v>
      </c>
      <c r="E80" s="3">
        <f t="shared" ca="1" si="35"/>
        <v>42430</v>
      </c>
    </row>
    <row r="81" spans="1:5" x14ac:dyDescent="0.15">
      <c r="A81" t="str">
        <f t="shared" ca="1" si="36"/>
        <v>L1604</v>
      </c>
      <c r="B81" s="3">
        <f t="shared" ca="1" si="32"/>
        <v>42110</v>
      </c>
      <c r="C81" s="3">
        <f t="shared" ca="1" si="33"/>
        <v>42474</v>
      </c>
      <c r="D81" s="3">
        <f t="shared" ca="1" si="34"/>
        <v>42450</v>
      </c>
      <c r="E81" s="3">
        <f t="shared" ca="1" si="35"/>
        <v>42461</v>
      </c>
    </row>
    <row r="82" spans="1:5" x14ac:dyDescent="0.15">
      <c r="A82" t="str">
        <f t="shared" ca="1" si="36"/>
        <v>L1605</v>
      </c>
      <c r="B82" s="3">
        <f t="shared" ca="1" si="32"/>
        <v>42142</v>
      </c>
      <c r="C82" s="3">
        <f t="shared" ca="1" si="33"/>
        <v>42503</v>
      </c>
      <c r="D82" s="3">
        <f t="shared" ca="1" si="34"/>
        <v>42481</v>
      </c>
      <c r="E82" s="3">
        <f t="shared" ca="1" si="35"/>
        <v>42492</v>
      </c>
    </row>
    <row r="83" spans="1:5" x14ac:dyDescent="0.15">
      <c r="A83" t="str">
        <f t="shared" ca="1" si="36"/>
        <v>L1606</v>
      </c>
      <c r="B83" s="3">
        <f t="shared" ca="1" si="32"/>
        <v>42170</v>
      </c>
      <c r="C83" s="3">
        <f t="shared" ca="1" si="33"/>
        <v>42535</v>
      </c>
      <c r="D83" s="3">
        <f t="shared" ca="1" si="34"/>
        <v>42510</v>
      </c>
      <c r="E83" s="3">
        <f t="shared" ca="1" si="35"/>
        <v>42522</v>
      </c>
    </row>
    <row r="84" spans="1:5" x14ac:dyDescent="0.15">
      <c r="A84" t="str">
        <f t="shared" ca="1" si="36"/>
        <v>L1607</v>
      </c>
      <c r="B84" s="3">
        <f t="shared" ca="1" si="32"/>
        <v>42200</v>
      </c>
      <c r="C84" s="3">
        <f t="shared" ref="C84:C85" ca="1" si="37">WORKDAY(DATE("20"&amp;MID(A84,2,2),RIGHT(A84,2),0),10,Holiday)</f>
        <v>42565</v>
      </c>
      <c r="D84" s="3">
        <f t="shared" ca="1" si="34"/>
        <v>42542</v>
      </c>
      <c r="E84" s="3">
        <f t="shared" ca="1" si="35"/>
        <v>42552</v>
      </c>
    </row>
    <row r="85" spans="1:5" x14ac:dyDescent="0.15">
      <c r="A85" t="str">
        <f t="shared" ca="1" si="36"/>
        <v>L1608</v>
      </c>
      <c r="B85" s="3">
        <f t="shared" ca="1" si="32"/>
        <v>42233</v>
      </c>
      <c r="C85" s="3">
        <f t="shared" ca="1" si="37"/>
        <v>42594</v>
      </c>
      <c r="D85" s="3">
        <f t="shared" ca="1" si="34"/>
        <v>42572</v>
      </c>
      <c r="E85" s="3">
        <f t="shared" ca="1" si="35"/>
        <v>42583</v>
      </c>
    </row>
    <row r="86" spans="1:5" x14ac:dyDescent="0.15">
      <c r="C86" s="3"/>
      <c r="D86" s="3"/>
      <c r="E86" s="3"/>
    </row>
    <row r="87" spans="1:5" x14ac:dyDescent="0.15">
      <c r="C87" s="3"/>
      <c r="D87" s="3"/>
      <c r="E87" s="3"/>
    </row>
    <row r="88" spans="1:5" x14ac:dyDescent="0.15">
      <c r="A88" t="s">
        <v>32</v>
      </c>
      <c r="D88" s="6">
        <v>0.1</v>
      </c>
      <c r="E88" s="6">
        <v>0.2</v>
      </c>
    </row>
    <row r="89" spans="1:5" x14ac:dyDescent="0.15">
      <c r="B89" t="s">
        <v>48</v>
      </c>
      <c r="C89" t="s">
        <v>1</v>
      </c>
      <c r="D89" s="32" t="s">
        <v>88</v>
      </c>
      <c r="E89" t="s">
        <v>18</v>
      </c>
    </row>
    <row r="90" spans="1:5" x14ac:dyDescent="0.15">
      <c r="A90" t="str">
        <f ca="1">"J"&amp;TEXT(IF(TODAY()&gt;WORKDAY(DATE(YEAR(TODAY()),MONTH(TODAY()),0),10,Holiday),DATE(YEAR(TODAY()),MONTH(TODAY())+1,10),DATE(YEAR(TODAY()),MONTH(TODAY()),10)),"yymm")</f>
        <v>J1507</v>
      </c>
      <c r="B90" s="3">
        <f t="shared" ref="B90:B103" ca="1" si="38">WORKDAY(WORKDAY(DATE("20"&amp;MID(A90,2,2),RIGHT(A90,2)-12,0),10,Holiday),1,Holiday)</f>
        <v>41835</v>
      </c>
      <c r="C90" s="3">
        <f t="shared" ref="C90:C101" ca="1" si="39">WORKDAY(DATE("20"&amp;MID(A90,2,2),RIGHT(A90,2),0),10,Holiday)</f>
        <v>42199</v>
      </c>
      <c r="D90" s="3">
        <f t="shared" ref="D90:D103" ca="1" si="40">WORKDAY(DATE("20"&amp;MID(A90,2,2),RIGHT(A90,2)-1,0),15,Holiday)</f>
        <v>42174</v>
      </c>
      <c r="E90" s="3">
        <f t="shared" ref="E90:E103" ca="1" si="41">WORKDAY(DATE("20"&amp;MID(A90,2,2),RIGHT(A90,2),0),1,Holiday)</f>
        <v>42186</v>
      </c>
    </row>
    <row r="91" spans="1:5" x14ac:dyDescent="0.15">
      <c r="A91" t="str">
        <f t="shared" ref="A91:A103" ca="1" si="42">"J"&amp;TEXT(DATE("20"&amp;MID(A90,LEN(A90)-3,2),RIGHT(A90,2)+1,"10"),"yymm")</f>
        <v>J1508</v>
      </c>
      <c r="B91" s="3">
        <f t="shared" ca="1" si="38"/>
        <v>41866</v>
      </c>
      <c r="C91" s="3">
        <f t="shared" ca="1" si="39"/>
        <v>42230</v>
      </c>
      <c r="D91" s="3">
        <f t="shared" ca="1" si="40"/>
        <v>42206</v>
      </c>
      <c r="E91" s="3">
        <f t="shared" ca="1" si="41"/>
        <v>42219</v>
      </c>
    </row>
    <row r="92" spans="1:5" x14ac:dyDescent="0.15">
      <c r="A92" t="str">
        <f t="shared" ca="1" si="42"/>
        <v>J1509</v>
      </c>
      <c r="B92" s="3">
        <f t="shared" ca="1" si="38"/>
        <v>41898</v>
      </c>
      <c r="C92" s="3">
        <f t="shared" ca="1" si="39"/>
        <v>42263</v>
      </c>
      <c r="D92" s="3">
        <f t="shared" ca="1" si="40"/>
        <v>42237</v>
      </c>
      <c r="E92" s="3">
        <f t="shared" ca="1" si="41"/>
        <v>42248</v>
      </c>
    </row>
    <row r="93" spans="1:5" x14ac:dyDescent="0.15">
      <c r="A93" t="str">
        <f t="shared" ca="1" si="42"/>
        <v>J1510</v>
      </c>
      <c r="B93" s="3">
        <f t="shared" ca="1" si="38"/>
        <v>41934</v>
      </c>
      <c r="C93" s="3">
        <f t="shared" ca="1" si="39"/>
        <v>42298</v>
      </c>
      <c r="D93" s="3">
        <f t="shared" ca="1" si="40"/>
        <v>42270</v>
      </c>
      <c r="E93" s="3">
        <f t="shared" ca="1" si="41"/>
        <v>42285</v>
      </c>
    </row>
    <row r="94" spans="1:5" x14ac:dyDescent="0.15">
      <c r="A94" t="str">
        <f t="shared" ca="1" si="42"/>
        <v>J1511</v>
      </c>
      <c r="B94" s="3">
        <f t="shared" ca="1" si="38"/>
        <v>41960</v>
      </c>
      <c r="C94" s="3">
        <f t="shared" ca="1" si="39"/>
        <v>42321</v>
      </c>
      <c r="D94" s="3">
        <f t="shared" ca="1" si="40"/>
        <v>42305</v>
      </c>
      <c r="E94" s="3">
        <f t="shared" ca="1" si="41"/>
        <v>42310</v>
      </c>
    </row>
    <row r="95" spans="1:5" x14ac:dyDescent="0.15">
      <c r="A95" t="str">
        <f t="shared" ca="1" si="42"/>
        <v>J1512</v>
      </c>
      <c r="B95" s="3">
        <f t="shared" ca="1" si="38"/>
        <v>41988</v>
      </c>
      <c r="C95" s="3">
        <f t="shared" ca="1" si="39"/>
        <v>42352</v>
      </c>
      <c r="D95" s="3">
        <f t="shared" ca="1" si="40"/>
        <v>42328</v>
      </c>
      <c r="E95" s="3">
        <f t="shared" ca="1" si="41"/>
        <v>42339</v>
      </c>
    </row>
    <row r="96" spans="1:5" x14ac:dyDescent="0.15">
      <c r="A96" t="str">
        <f t="shared" ca="1" si="42"/>
        <v>J1601</v>
      </c>
      <c r="B96" s="3">
        <f t="shared" ca="1" si="38"/>
        <v>42023</v>
      </c>
      <c r="C96" s="3">
        <f t="shared" ca="1" si="39"/>
        <v>42383</v>
      </c>
      <c r="D96" s="3">
        <f t="shared" ca="1" si="40"/>
        <v>42359</v>
      </c>
      <c r="E96" s="3">
        <f t="shared" ca="1" si="41"/>
        <v>42370</v>
      </c>
    </row>
    <row r="97" spans="1:5" x14ac:dyDescent="0.15">
      <c r="A97" t="str">
        <f t="shared" ca="1" si="42"/>
        <v>J1602</v>
      </c>
      <c r="B97" s="3">
        <f t="shared" ca="1" si="38"/>
        <v>42051</v>
      </c>
      <c r="C97" s="3">
        <f t="shared" ca="1" si="39"/>
        <v>42412</v>
      </c>
      <c r="D97" s="3">
        <f t="shared" ca="1" si="40"/>
        <v>42390</v>
      </c>
      <c r="E97" s="3">
        <f t="shared" ca="1" si="41"/>
        <v>42401</v>
      </c>
    </row>
    <row r="98" spans="1:5" x14ac:dyDescent="0.15">
      <c r="A98" t="str">
        <f t="shared" ca="1" si="42"/>
        <v>J1603</v>
      </c>
      <c r="B98" s="3">
        <f t="shared" ca="1" si="38"/>
        <v>42079</v>
      </c>
      <c r="C98" s="3">
        <f t="shared" ca="1" si="39"/>
        <v>42443</v>
      </c>
      <c r="D98" s="3">
        <f t="shared" ca="1" si="40"/>
        <v>42419</v>
      </c>
      <c r="E98" s="3">
        <f t="shared" ca="1" si="41"/>
        <v>42430</v>
      </c>
    </row>
    <row r="99" spans="1:5" x14ac:dyDescent="0.15">
      <c r="A99" t="str">
        <f t="shared" ca="1" si="42"/>
        <v>J1604</v>
      </c>
      <c r="B99" s="3">
        <f t="shared" ca="1" si="38"/>
        <v>42110</v>
      </c>
      <c r="C99" s="3">
        <f t="shared" ca="1" si="39"/>
        <v>42474</v>
      </c>
      <c r="D99" s="3">
        <f t="shared" ca="1" si="40"/>
        <v>42450</v>
      </c>
      <c r="E99" s="3">
        <f t="shared" ca="1" si="41"/>
        <v>42461</v>
      </c>
    </row>
    <row r="100" spans="1:5" x14ac:dyDescent="0.15">
      <c r="A100" t="str">
        <f t="shared" ca="1" si="42"/>
        <v>J1605</v>
      </c>
      <c r="B100" s="3">
        <f t="shared" ca="1" si="38"/>
        <v>42142</v>
      </c>
      <c r="C100" s="3">
        <f t="shared" ca="1" si="39"/>
        <v>42503</v>
      </c>
      <c r="D100" s="3">
        <f t="shared" ca="1" si="40"/>
        <v>42481</v>
      </c>
      <c r="E100" s="3">
        <f t="shared" ca="1" si="41"/>
        <v>42492</v>
      </c>
    </row>
    <row r="101" spans="1:5" x14ac:dyDescent="0.15">
      <c r="A101" t="str">
        <f t="shared" ca="1" si="42"/>
        <v>J1606</v>
      </c>
      <c r="B101" s="3">
        <f t="shared" ca="1" si="38"/>
        <v>42170</v>
      </c>
      <c r="C101" s="3">
        <f t="shared" ca="1" si="39"/>
        <v>42535</v>
      </c>
      <c r="D101" s="3">
        <f t="shared" ca="1" si="40"/>
        <v>42510</v>
      </c>
      <c r="E101" s="3">
        <f t="shared" ca="1" si="41"/>
        <v>42522</v>
      </c>
    </row>
    <row r="102" spans="1:5" x14ac:dyDescent="0.15">
      <c r="A102" t="str">
        <f t="shared" ca="1" si="42"/>
        <v>J1607</v>
      </c>
      <c r="B102" s="3">
        <f t="shared" ca="1" si="38"/>
        <v>42200</v>
      </c>
      <c r="C102" s="3">
        <f t="shared" ref="C102:C103" ca="1" si="43">WORKDAY(DATE("20"&amp;MID(A102,2,2),RIGHT(A102,2),0),10,Holiday)</f>
        <v>42565</v>
      </c>
      <c r="D102" s="3">
        <f t="shared" ca="1" si="40"/>
        <v>42542</v>
      </c>
      <c r="E102" s="3">
        <f t="shared" ca="1" si="41"/>
        <v>42552</v>
      </c>
    </row>
    <row r="103" spans="1:5" x14ac:dyDescent="0.15">
      <c r="A103" t="str">
        <f t="shared" ca="1" si="42"/>
        <v>J1608</v>
      </c>
      <c r="B103" s="3">
        <f t="shared" ca="1" si="38"/>
        <v>42233</v>
      </c>
      <c r="C103" s="3">
        <f t="shared" ca="1" si="43"/>
        <v>42594</v>
      </c>
      <c r="D103" s="3">
        <f t="shared" ca="1" si="40"/>
        <v>42572</v>
      </c>
      <c r="E103" s="3">
        <f t="shared" ca="1" si="41"/>
        <v>42583</v>
      </c>
    </row>
    <row r="104" spans="1:5" x14ac:dyDescent="0.15">
      <c r="C104" s="3"/>
      <c r="D104" s="3"/>
      <c r="E104" s="3"/>
    </row>
    <row r="105" spans="1:5" x14ac:dyDescent="0.15">
      <c r="C105" s="3"/>
      <c r="D105" s="3"/>
      <c r="E105" s="3"/>
    </row>
    <row r="106" spans="1:5" x14ac:dyDescent="0.15">
      <c r="A106" t="s">
        <v>33</v>
      </c>
      <c r="D106" s="6">
        <v>0.1</v>
      </c>
      <c r="E106" s="6">
        <v>0.2</v>
      </c>
    </row>
    <row r="107" spans="1:5" x14ac:dyDescent="0.15">
      <c r="B107" t="s">
        <v>48</v>
      </c>
      <c r="C107" t="s">
        <v>1</v>
      </c>
      <c r="D107" s="32" t="s">
        <v>88</v>
      </c>
      <c r="E107" t="s">
        <v>18</v>
      </c>
    </row>
    <row r="108" spans="1:5" x14ac:dyDescent="0.15">
      <c r="A108" t="str">
        <f ca="1">"V"&amp;TEXT(IF(TODAY()&gt;WORKDAY(DATE(YEAR(TODAY()),MONTH(TODAY()),0),10,Holiday),DATE(YEAR(TODAY()),MONTH(TODAY())+1,10),DATE(YEAR(TODAY()),MONTH(TODAY()),10)),"yymm")</f>
        <v>V1507</v>
      </c>
      <c r="B108" s="3">
        <f t="shared" ref="B108:B121" ca="1" si="44">WORKDAY(WORKDAY(DATE("20"&amp;MID(A108,2,2),RIGHT(A108,2)-12,0),10,Holiday),1,Holiday)</f>
        <v>41835</v>
      </c>
      <c r="C108" s="3">
        <f t="shared" ref="C108:C119" ca="1" si="45">WORKDAY(DATE("20"&amp;MID(A108,2,2),RIGHT(A108,2),0),10,Holiday)</f>
        <v>42199</v>
      </c>
      <c r="D108" s="3">
        <f t="shared" ref="D108:D121" ca="1" si="46">WORKDAY(DATE("20"&amp;MID(A108,2,2),RIGHT(A108,2)-1,0),15,Holiday)</f>
        <v>42174</v>
      </c>
      <c r="E108" s="3">
        <f t="shared" ref="E108:E121" ca="1" si="47">WORKDAY(DATE("20"&amp;MID(A108,2,2),RIGHT(A108,2),0),1,Holiday)</f>
        <v>42186</v>
      </c>
    </row>
    <row r="109" spans="1:5" x14ac:dyDescent="0.15">
      <c r="A109" t="str">
        <f t="shared" ref="A109:A121" ca="1" si="48">"V"&amp;TEXT(DATE("20"&amp;MID(A108,LEN(A108)-3,2),RIGHT(A108,2)+1,"10"),"yymm")</f>
        <v>V1508</v>
      </c>
      <c r="B109" s="3">
        <f t="shared" ca="1" si="44"/>
        <v>41866</v>
      </c>
      <c r="C109" s="3">
        <f t="shared" ca="1" si="45"/>
        <v>42230</v>
      </c>
      <c r="D109" s="3">
        <f t="shared" ca="1" si="46"/>
        <v>42206</v>
      </c>
      <c r="E109" s="3">
        <f t="shared" ca="1" si="47"/>
        <v>42219</v>
      </c>
    </row>
    <row r="110" spans="1:5" x14ac:dyDescent="0.15">
      <c r="A110" t="str">
        <f t="shared" ca="1" si="48"/>
        <v>V1509</v>
      </c>
      <c r="B110" s="3">
        <f t="shared" ca="1" si="44"/>
        <v>41898</v>
      </c>
      <c r="C110" s="3">
        <f t="shared" ca="1" si="45"/>
        <v>42263</v>
      </c>
      <c r="D110" s="3">
        <f t="shared" ca="1" si="46"/>
        <v>42237</v>
      </c>
      <c r="E110" s="3">
        <f t="shared" ca="1" si="47"/>
        <v>42248</v>
      </c>
    </row>
    <row r="111" spans="1:5" x14ac:dyDescent="0.15">
      <c r="A111" t="str">
        <f t="shared" ca="1" si="48"/>
        <v>V1510</v>
      </c>
      <c r="B111" s="3">
        <f t="shared" ca="1" si="44"/>
        <v>41934</v>
      </c>
      <c r="C111" s="3">
        <f t="shared" ca="1" si="45"/>
        <v>42298</v>
      </c>
      <c r="D111" s="3">
        <f t="shared" ca="1" si="46"/>
        <v>42270</v>
      </c>
      <c r="E111" s="3">
        <f t="shared" ca="1" si="47"/>
        <v>42285</v>
      </c>
    </row>
    <row r="112" spans="1:5" x14ac:dyDescent="0.15">
      <c r="A112" t="str">
        <f t="shared" ca="1" si="48"/>
        <v>V1511</v>
      </c>
      <c r="B112" s="3">
        <f t="shared" ca="1" si="44"/>
        <v>41960</v>
      </c>
      <c r="C112" s="3">
        <f t="shared" ca="1" si="45"/>
        <v>42321</v>
      </c>
      <c r="D112" s="3">
        <f t="shared" ca="1" si="46"/>
        <v>42305</v>
      </c>
      <c r="E112" s="3">
        <f t="shared" ca="1" si="47"/>
        <v>42310</v>
      </c>
    </row>
    <row r="113" spans="1:5" x14ac:dyDescent="0.15">
      <c r="A113" t="str">
        <f t="shared" ca="1" si="48"/>
        <v>V1512</v>
      </c>
      <c r="B113" s="3">
        <f t="shared" ca="1" si="44"/>
        <v>41988</v>
      </c>
      <c r="C113" s="3">
        <f t="shared" ca="1" si="45"/>
        <v>42352</v>
      </c>
      <c r="D113" s="3">
        <f t="shared" ca="1" si="46"/>
        <v>42328</v>
      </c>
      <c r="E113" s="3">
        <f t="shared" ca="1" si="47"/>
        <v>42339</v>
      </c>
    </row>
    <row r="114" spans="1:5" x14ac:dyDescent="0.15">
      <c r="A114" t="str">
        <f t="shared" ca="1" si="48"/>
        <v>V1601</v>
      </c>
      <c r="B114" s="3">
        <f t="shared" ca="1" si="44"/>
        <v>42023</v>
      </c>
      <c r="C114" s="3">
        <f t="shared" ca="1" si="45"/>
        <v>42383</v>
      </c>
      <c r="D114" s="3">
        <f t="shared" ca="1" si="46"/>
        <v>42359</v>
      </c>
      <c r="E114" s="3">
        <f t="shared" ca="1" si="47"/>
        <v>42370</v>
      </c>
    </row>
    <row r="115" spans="1:5" x14ac:dyDescent="0.15">
      <c r="A115" t="str">
        <f t="shared" ca="1" si="48"/>
        <v>V1602</v>
      </c>
      <c r="B115" s="3">
        <f t="shared" ca="1" si="44"/>
        <v>42051</v>
      </c>
      <c r="C115" s="3">
        <f t="shared" ca="1" si="45"/>
        <v>42412</v>
      </c>
      <c r="D115" s="3">
        <f t="shared" ca="1" si="46"/>
        <v>42390</v>
      </c>
      <c r="E115" s="3">
        <f t="shared" ca="1" si="47"/>
        <v>42401</v>
      </c>
    </row>
    <row r="116" spans="1:5" x14ac:dyDescent="0.15">
      <c r="A116" t="str">
        <f t="shared" ca="1" si="48"/>
        <v>V1603</v>
      </c>
      <c r="B116" s="3">
        <f t="shared" ca="1" si="44"/>
        <v>42079</v>
      </c>
      <c r="C116" s="3">
        <f t="shared" ca="1" si="45"/>
        <v>42443</v>
      </c>
      <c r="D116" s="3">
        <f t="shared" ca="1" si="46"/>
        <v>42419</v>
      </c>
      <c r="E116" s="3">
        <f t="shared" ca="1" si="47"/>
        <v>42430</v>
      </c>
    </row>
    <row r="117" spans="1:5" x14ac:dyDescent="0.15">
      <c r="A117" t="str">
        <f t="shared" ca="1" si="48"/>
        <v>V1604</v>
      </c>
      <c r="B117" s="3">
        <f t="shared" ca="1" si="44"/>
        <v>42110</v>
      </c>
      <c r="C117" s="3">
        <f t="shared" ca="1" si="45"/>
        <v>42474</v>
      </c>
      <c r="D117" s="3">
        <f t="shared" ca="1" si="46"/>
        <v>42450</v>
      </c>
      <c r="E117" s="3">
        <f t="shared" ca="1" si="47"/>
        <v>42461</v>
      </c>
    </row>
    <row r="118" spans="1:5" x14ac:dyDescent="0.15">
      <c r="A118" t="str">
        <f t="shared" ca="1" si="48"/>
        <v>V1605</v>
      </c>
      <c r="B118" s="3">
        <f t="shared" ca="1" si="44"/>
        <v>42142</v>
      </c>
      <c r="C118" s="3">
        <f t="shared" ca="1" si="45"/>
        <v>42503</v>
      </c>
      <c r="D118" s="3">
        <f t="shared" ca="1" si="46"/>
        <v>42481</v>
      </c>
      <c r="E118" s="3">
        <f t="shared" ca="1" si="47"/>
        <v>42492</v>
      </c>
    </row>
    <row r="119" spans="1:5" x14ac:dyDescent="0.15">
      <c r="A119" t="str">
        <f t="shared" ca="1" si="48"/>
        <v>V1606</v>
      </c>
      <c r="B119" s="3">
        <f t="shared" ca="1" si="44"/>
        <v>42170</v>
      </c>
      <c r="C119" s="3">
        <f t="shared" ca="1" si="45"/>
        <v>42535</v>
      </c>
      <c r="D119" s="3">
        <f t="shared" ca="1" si="46"/>
        <v>42510</v>
      </c>
      <c r="E119" s="3">
        <f t="shared" ca="1" si="47"/>
        <v>42522</v>
      </c>
    </row>
    <row r="120" spans="1:5" x14ac:dyDescent="0.15">
      <c r="A120" t="str">
        <f t="shared" ca="1" si="48"/>
        <v>V1607</v>
      </c>
      <c r="B120" s="3">
        <f t="shared" ca="1" si="44"/>
        <v>42200</v>
      </c>
      <c r="C120" s="3">
        <f t="shared" ref="C120:C121" ca="1" si="49">WORKDAY(DATE("20"&amp;MID(A120,2,2),RIGHT(A120,2),0),10,Holiday)</f>
        <v>42565</v>
      </c>
      <c r="D120" s="3">
        <f t="shared" ca="1" si="46"/>
        <v>42542</v>
      </c>
      <c r="E120" s="3">
        <f t="shared" ca="1" si="47"/>
        <v>42552</v>
      </c>
    </row>
    <row r="121" spans="1:5" x14ac:dyDescent="0.15">
      <c r="A121" t="str">
        <f t="shared" ca="1" si="48"/>
        <v>V1608</v>
      </c>
      <c r="B121" s="3">
        <f t="shared" ca="1" si="44"/>
        <v>42233</v>
      </c>
      <c r="C121" s="3">
        <f t="shared" ca="1" si="49"/>
        <v>42594</v>
      </c>
      <c r="D121" s="3">
        <f t="shared" ca="1" si="46"/>
        <v>42572</v>
      </c>
      <c r="E121" s="3">
        <f t="shared" ca="1" si="47"/>
        <v>42583</v>
      </c>
    </row>
    <row r="124" spans="1:5" x14ac:dyDescent="0.15">
      <c r="A124" t="s">
        <v>34</v>
      </c>
      <c r="D124" s="6">
        <v>0.1</v>
      </c>
      <c r="E124" s="6">
        <v>0.2</v>
      </c>
    </row>
    <row r="125" spans="1:5" x14ac:dyDescent="0.15">
      <c r="B125" t="s">
        <v>48</v>
      </c>
      <c r="C125" t="s">
        <v>19</v>
      </c>
      <c r="D125" s="32" t="s">
        <v>88</v>
      </c>
      <c r="E125" t="s">
        <v>18</v>
      </c>
    </row>
    <row r="126" spans="1:5" x14ac:dyDescent="0.15">
      <c r="A126" t="str">
        <f ca="1">"M"&amp;TEXT(DATE(YEAR(TODAY()),IF(TODAY()&gt;WORKDAY(DATE(YEAR(TODAY()),VLOOKUP(MONTH(TODAY()),{1,1;2,3;3,3;4,5;5,5;6,7;7,7;8,8;9,9;10,11;11,11;12,12;13,13},2,FALSE),0),10,Holiday),VLOOKUP(MONTH(TODAY())+1,{1,1;2,3;3,3;4,5;5,5;6,7;7,7;8,8;9,9;10,11;11,11;12,12;13,13},2,FALSE),VLOOKUP(MONTH(TODAY()),{1,1;2,3;3,3;4,5;5,5;6,7;7,7;8,8;9,9;10,11;11,11;12,12;13,13},2,FALSE)),10),"yymm")</f>
        <v>M1507</v>
      </c>
      <c r="B126" s="3">
        <f t="shared" ref="B126:B135" ca="1" si="50">WORKDAY(WORKDAY(DATE("20"&amp;MID(A126,2,2),RIGHT(A126,2)-12,0),10,Holiday),1,Holiday)</f>
        <v>41835</v>
      </c>
      <c r="C126" s="3">
        <f t="shared" ref="C126:C133" ca="1" si="51">WORKDAY(DATE("20"&amp;MID(A126,2,2),RIGHT(A126,2),0),10,Holiday)</f>
        <v>42199</v>
      </c>
      <c r="D126" s="3">
        <f t="shared" ref="D126:D135" ca="1" si="52">WORKDAY(DATE("20"&amp;MID(A126,2,2),RIGHT(A126,2)-1,0),15,Holiday)</f>
        <v>42174</v>
      </c>
      <c r="E126" s="3">
        <f t="shared" ref="E126:E135" ca="1" si="53">WORKDAY(DATE("20"&amp;MID(A126,2,2),RIGHT(A126,2),0),1,Holiday)</f>
        <v>42186</v>
      </c>
    </row>
    <row r="127" spans="1:5" x14ac:dyDescent="0.15">
      <c r="A127" t="str">
        <f ca="1">"M"&amp;TEXT(DATE("20"&amp;MID(A126,2,2),VLOOKUP(RIGHT(A126,2)+1,{1,1;2,3;3,3;4,5;5,5;6,7;7,7;8,8;9,9;10,11;11,11;12,12;13,13},2,FALSE),10),"yymm")</f>
        <v>M1508</v>
      </c>
      <c r="B127" s="3">
        <f t="shared" ca="1" si="50"/>
        <v>41866</v>
      </c>
      <c r="C127" s="3">
        <f t="shared" ca="1" si="51"/>
        <v>42230</v>
      </c>
      <c r="D127" s="3">
        <f t="shared" ca="1" si="52"/>
        <v>42206</v>
      </c>
      <c r="E127" s="3">
        <f t="shared" ca="1" si="53"/>
        <v>42219</v>
      </c>
    </row>
    <row r="128" spans="1:5" x14ac:dyDescent="0.15">
      <c r="A128" t="str">
        <f ca="1">"M"&amp;TEXT(DATE("20"&amp;MID(A127,2,2),VLOOKUP(RIGHT(A127,2)+1,{1,1;2,3;3,3;4,5;5,5;6,7;7,7;8,8;9,9;10,11;11,11;12,12;13,13},2,FALSE),10),"yymm")</f>
        <v>M1509</v>
      </c>
      <c r="B128" s="3">
        <f t="shared" ca="1" si="50"/>
        <v>41898</v>
      </c>
      <c r="C128" s="3">
        <f t="shared" ca="1" si="51"/>
        <v>42263</v>
      </c>
      <c r="D128" s="3">
        <f t="shared" ca="1" si="52"/>
        <v>42237</v>
      </c>
      <c r="E128" s="3">
        <f t="shared" ca="1" si="53"/>
        <v>42248</v>
      </c>
    </row>
    <row r="129" spans="1:5" x14ac:dyDescent="0.15">
      <c r="A129" t="str">
        <f ca="1">"M"&amp;TEXT(DATE("20"&amp;MID(A128,2,2),VLOOKUP(RIGHT(A128,2)+1,{1,1;2,3;3,3;4,5;5,5;6,7;7,7;8,8;9,9;10,11;11,11;12,12;13,13},2,FALSE),10),"yymm")</f>
        <v>M1511</v>
      </c>
      <c r="B129" s="3">
        <f t="shared" ca="1" si="50"/>
        <v>41960</v>
      </c>
      <c r="C129" s="3">
        <f t="shared" ca="1" si="51"/>
        <v>42321</v>
      </c>
      <c r="D129" s="3">
        <f t="shared" ca="1" si="52"/>
        <v>42305</v>
      </c>
      <c r="E129" s="3">
        <f t="shared" ca="1" si="53"/>
        <v>42310</v>
      </c>
    </row>
    <row r="130" spans="1:5" x14ac:dyDescent="0.15">
      <c r="A130" t="str">
        <f ca="1">"M"&amp;TEXT(DATE("20"&amp;MID(A129,2,2),VLOOKUP(RIGHT(A129,2)+1,{1,1;2,3;3,3;4,5;5,5;6,7;7,7;8,8;9,9;10,11;11,11;12,12;13,13},2,FALSE),10),"yymm")</f>
        <v>M1512</v>
      </c>
      <c r="B130" s="3">
        <f t="shared" ca="1" si="50"/>
        <v>41988</v>
      </c>
      <c r="C130" s="3">
        <f t="shared" ca="1" si="51"/>
        <v>42352</v>
      </c>
      <c r="D130" s="3">
        <f t="shared" ca="1" si="52"/>
        <v>42328</v>
      </c>
      <c r="E130" s="3">
        <f t="shared" ca="1" si="53"/>
        <v>42339</v>
      </c>
    </row>
    <row r="131" spans="1:5" x14ac:dyDescent="0.15">
      <c r="A131" t="str">
        <f ca="1">"M"&amp;TEXT(DATE("20"&amp;MID(A130,2,2),VLOOKUP(RIGHT(A130,2)+1,{1,1;2,3;3,3;4,5;5,5;6,7;7,7;8,8;9,9;10,11;11,11;12,12;13,13},2,FALSE),10),"yymm")</f>
        <v>M1601</v>
      </c>
      <c r="B131" s="3">
        <f t="shared" ca="1" si="50"/>
        <v>42023</v>
      </c>
      <c r="C131" s="3">
        <f t="shared" ca="1" si="51"/>
        <v>42383</v>
      </c>
      <c r="D131" s="3">
        <f t="shared" ca="1" si="52"/>
        <v>42359</v>
      </c>
      <c r="E131" s="3">
        <f t="shared" ca="1" si="53"/>
        <v>42370</v>
      </c>
    </row>
    <row r="132" spans="1:5" x14ac:dyDescent="0.15">
      <c r="A132" t="str">
        <f ca="1">"M"&amp;TEXT(DATE("20"&amp;MID(A131,2,2),VLOOKUP(RIGHT(A131,2)+1,{1,1;2,3;3,3;4,5;5,5;6,7;7,7;8,8;9,9;10,11;11,11;12,12;13,13},2,FALSE),10),"yymm")</f>
        <v>M1603</v>
      </c>
      <c r="B132" s="3">
        <f t="shared" ca="1" si="50"/>
        <v>42079</v>
      </c>
      <c r="C132" s="3">
        <f t="shared" ca="1" si="51"/>
        <v>42443</v>
      </c>
      <c r="D132" s="3">
        <f t="shared" ca="1" si="52"/>
        <v>42419</v>
      </c>
      <c r="E132" s="3">
        <f t="shared" ca="1" si="53"/>
        <v>42430</v>
      </c>
    </row>
    <row r="133" spans="1:5" x14ac:dyDescent="0.15">
      <c r="A133" t="str">
        <f ca="1">"M"&amp;TEXT(DATE("20"&amp;MID(A132,2,2),VLOOKUP(RIGHT(A132,2)+1,{1,1;2,3;3,3;4,5;5,5;6,7;7,7;8,8;9,9;10,11;11,11;12,12;13,13},2,FALSE),10),"yymm")</f>
        <v>M1605</v>
      </c>
      <c r="B133" s="3">
        <f t="shared" ca="1" si="50"/>
        <v>42142</v>
      </c>
      <c r="C133" s="3">
        <f t="shared" ca="1" si="51"/>
        <v>42503</v>
      </c>
      <c r="D133" s="3">
        <f t="shared" ca="1" si="52"/>
        <v>42481</v>
      </c>
      <c r="E133" s="3">
        <f t="shared" ca="1" si="53"/>
        <v>42492</v>
      </c>
    </row>
    <row r="134" spans="1:5" x14ac:dyDescent="0.15">
      <c r="A134" t="str">
        <f ca="1">"M"&amp;TEXT(DATE("20"&amp;MID(A133,2,2),VLOOKUP(RIGHT(A133,2)+1,{1,1;2,3;3,3;4,5;5,5;6,7;7,7;8,8;9,9;10,11;11,11;12,12;13,13},2,FALSE),10),"yymm")</f>
        <v>M1607</v>
      </c>
      <c r="B134" s="3">
        <f t="shared" ca="1" si="50"/>
        <v>42200</v>
      </c>
      <c r="C134" s="3">
        <f t="shared" ref="C134:C135" ca="1" si="54">WORKDAY(DATE("20"&amp;MID(A134,2,2),RIGHT(A134,2),0),10,Holiday)</f>
        <v>42565</v>
      </c>
      <c r="D134" s="3">
        <f t="shared" ca="1" si="52"/>
        <v>42542</v>
      </c>
      <c r="E134" s="3">
        <f t="shared" ca="1" si="53"/>
        <v>42552</v>
      </c>
    </row>
    <row r="135" spans="1:5" x14ac:dyDescent="0.15">
      <c r="A135" t="str">
        <f ca="1">"M"&amp;TEXT(DATE("20"&amp;MID(A134,2,2),VLOOKUP(RIGHT(A134,2)+1,{1,1;2,3;3,3;4,5;5,5;6,7;7,7;8,8;9,9;10,11;11,11;12,12;13,13},2,FALSE),10),"yymm")</f>
        <v>M1608</v>
      </c>
      <c r="B135" s="3">
        <f t="shared" ca="1" si="50"/>
        <v>42233</v>
      </c>
      <c r="C135" s="3">
        <f t="shared" ca="1" si="54"/>
        <v>42594</v>
      </c>
      <c r="D135" s="3">
        <f t="shared" ca="1" si="52"/>
        <v>42572</v>
      </c>
      <c r="E135" s="3">
        <f t="shared" ca="1" si="53"/>
        <v>42583</v>
      </c>
    </row>
    <row r="136" spans="1:5" x14ac:dyDescent="0.15">
      <c r="D136" s="3"/>
    </row>
    <row r="138" spans="1:5" x14ac:dyDescent="0.15">
      <c r="A138" t="s">
        <v>35</v>
      </c>
      <c r="D138" s="6">
        <v>0.1</v>
      </c>
      <c r="E138" s="6">
        <v>0.2</v>
      </c>
    </row>
    <row r="139" spans="1:5" x14ac:dyDescent="0.15">
      <c r="B139" t="s">
        <v>48</v>
      </c>
      <c r="C139" t="s">
        <v>19</v>
      </c>
      <c r="D139" s="32" t="s">
        <v>88</v>
      </c>
      <c r="E139" t="s">
        <v>18</v>
      </c>
    </row>
    <row r="140" spans="1:5" x14ac:dyDescent="0.15">
      <c r="A140" t="str">
        <f ca="1">"Y"&amp;TEXT(DATE(YEAR(TODAY()),IF(TODAY()&gt;WORKDAY(DATE(YEAR(TODAY()),VLOOKUP(MONTH(TODAY()),{1,1;2,3;3,3;4,5;5,5;6,7;7,7;8,8;9,9;10,11;11,11;12,12;13,13},2,FALSE),0),10,Holiday),VLOOKUP(MONTH(TODAY())+1,{1,1;2,3;3,3;4,5;5,5;6,7;7,7;8,8;9,9;10,11;11,11;12,12;13,13},2,FALSE),VLOOKUP(MONTH(TODAY()),{1,1;2,3;3,3;4,5;5,5;6,7;7,7;8,8;9,9;10,11;11,11;12,12;13,13},2,FALSE)),10),"yymm")</f>
        <v>Y1507</v>
      </c>
      <c r="B140" s="3">
        <f t="shared" ref="B140:B149" ca="1" si="55">WORKDAY(WORKDAY(DATE("20"&amp;MID(A140,2,2),RIGHT(A140,2)-12,0),10,Holiday),1,Holiday)</f>
        <v>41835</v>
      </c>
      <c r="C140" s="3">
        <f t="shared" ref="C140:C147" ca="1" si="56">WORKDAY(DATE("20"&amp;MID(A140,2,2),RIGHT(A140,2),0),10,Holiday)</f>
        <v>42199</v>
      </c>
      <c r="D140" s="3">
        <f t="shared" ref="D140:D149" ca="1" si="57">WORKDAY(DATE("20"&amp;MID(A140,2,2),RIGHT(A140,2)-1,0),15,Holiday)</f>
        <v>42174</v>
      </c>
      <c r="E140" s="3">
        <f t="shared" ref="E140:E149" ca="1" si="58">WORKDAY(DATE("20"&amp;MID(A140,2,2),RIGHT(A140,2),0),1,Holiday)</f>
        <v>42186</v>
      </c>
    </row>
    <row r="141" spans="1:5" x14ac:dyDescent="0.15">
      <c r="A141" t="str">
        <f ca="1">"Y"&amp;TEXT(DATE("20"&amp;MID(A140,2,2),VLOOKUP(RIGHT(A140,2)+1,{1,1;2,3;3,3;4,5;5,5;6,7;7,7;8,8;9,9;10,11;11,11;12,12;13,13},2,FALSE),10),"yymm")</f>
        <v>Y1508</v>
      </c>
      <c r="B141" s="3">
        <f t="shared" ca="1" si="55"/>
        <v>41866</v>
      </c>
      <c r="C141" s="3">
        <f t="shared" ca="1" si="56"/>
        <v>42230</v>
      </c>
      <c r="D141" s="3">
        <f t="shared" ca="1" si="57"/>
        <v>42206</v>
      </c>
      <c r="E141" s="3">
        <f t="shared" ca="1" si="58"/>
        <v>42219</v>
      </c>
    </row>
    <row r="142" spans="1:5" x14ac:dyDescent="0.15">
      <c r="A142" t="str">
        <f ca="1">"Y"&amp;TEXT(DATE("20"&amp;MID(A141,2,2),VLOOKUP(RIGHT(A141,2)+1,{1,1;2,3;3,3;4,5;5,5;6,7;7,7;8,8;9,9;10,11;11,11;12,12;13,13},2,FALSE),10),"yymm")</f>
        <v>Y1509</v>
      </c>
      <c r="B142" s="3">
        <f t="shared" ca="1" si="55"/>
        <v>41898</v>
      </c>
      <c r="C142" s="3">
        <f t="shared" ca="1" si="56"/>
        <v>42263</v>
      </c>
      <c r="D142" s="3">
        <f t="shared" ca="1" si="57"/>
        <v>42237</v>
      </c>
      <c r="E142" s="3">
        <f t="shared" ca="1" si="58"/>
        <v>42248</v>
      </c>
    </row>
    <row r="143" spans="1:5" x14ac:dyDescent="0.15">
      <c r="A143" t="str">
        <f ca="1">"Y"&amp;TEXT(DATE("20"&amp;MID(A142,2,2),VLOOKUP(RIGHT(A142,2)+1,{1,1;2,3;3,3;4,5;5,5;6,7;7,7;8,8;9,9;10,11;11,11;12,12;13,13},2,FALSE),10),"yymm")</f>
        <v>Y1511</v>
      </c>
      <c r="B143" s="3">
        <f t="shared" ca="1" si="55"/>
        <v>41960</v>
      </c>
      <c r="C143" s="3">
        <f t="shared" ca="1" si="56"/>
        <v>42321</v>
      </c>
      <c r="D143" s="3">
        <f t="shared" ca="1" si="57"/>
        <v>42305</v>
      </c>
      <c r="E143" s="3">
        <f t="shared" ca="1" si="58"/>
        <v>42310</v>
      </c>
    </row>
    <row r="144" spans="1:5" x14ac:dyDescent="0.15">
      <c r="A144" t="str">
        <f ca="1">"Y"&amp;TEXT(DATE("20"&amp;MID(A143,2,2),VLOOKUP(RIGHT(A143,2)+1,{1,1;2,3;3,3;4,5;5,5;6,7;7,7;8,8;9,9;10,11;11,11;12,12;13,13},2,FALSE),10),"yymm")</f>
        <v>Y1512</v>
      </c>
      <c r="B144" s="3">
        <f t="shared" ca="1" si="55"/>
        <v>41988</v>
      </c>
      <c r="C144" s="3">
        <f t="shared" ca="1" si="56"/>
        <v>42352</v>
      </c>
      <c r="D144" s="3">
        <f t="shared" ca="1" si="57"/>
        <v>42328</v>
      </c>
      <c r="E144" s="3">
        <f t="shared" ca="1" si="58"/>
        <v>42339</v>
      </c>
    </row>
    <row r="145" spans="1:5" x14ac:dyDescent="0.15">
      <c r="A145" t="str">
        <f ca="1">"Y"&amp;TEXT(DATE("20"&amp;MID(A144,2,2),VLOOKUP(RIGHT(A144,2)+1,{1,1;2,3;3,3;4,5;5,5;6,7;7,7;8,8;9,9;10,11;11,11;12,12;13,13},2,FALSE),10),"yymm")</f>
        <v>Y1601</v>
      </c>
      <c r="B145" s="3">
        <f t="shared" ca="1" si="55"/>
        <v>42023</v>
      </c>
      <c r="C145" s="3">
        <f t="shared" ca="1" si="56"/>
        <v>42383</v>
      </c>
      <c r="D145" s="3">
        <f t="shared" ca="1" si="57"/>
        <v>42359</v>
      </c>
      <c r="E145" s="3">
        <f t="shared" ca="1" si="58"/>
        <v>42370</v>
      </c>
    </row>
    <row r="146" spans="1:5" x14ac:dyDescent="0.15">
      <c r="A146" t="str">
        <f ca="1">"Y"&amp;TEXT(DATE("20"&amp;MID(A145,2,2),VLOOKUP(RIGHT(A145,2)+1,{1,1;2,3;3,3;4,5;5,5;6,7;7,7;8,8;9,9;10,11;11,11;12,12;13,13},2,FALSE),10),"yymm")</f>
        <v>Y1603</v>
      </c>
      <c r="B146" s="3">
        <f t="shared" ca="1" si="55"/>
        <v>42079</v>
      </c>
      <c r="C146" s="3">
        <f t="shared" ca="1" si="56"/>
        <v>42443</v>
      </c>
      <c r="D146" s="3">
        <f t="shared" ca="1" si="57"/>
        <v>42419</v>
      </c>
      <c r="E146" s="3">
        <f t="shared" ca="1" si="58"/>
        <v>42430</v>
      </c>
    </row>
    <row r="147" spans="1:5" x14ac:dyDescent="0.15">
      <c r="A147" t="str">
        <f ca="1">"Y"&amp;TEXT(DATE("20"&amp;MID(A146,2,2),VLOOKUP(RIGHT(A146,2)+1,{1,1;2,3;3,3;4,5;5,5;6,7;7,7;8,8;9,9;10,11;11,11;12,12;13,13},2,FALSE),10),"yymm")</f>
        <v>Y1605</v>
      </c>
      <c r="B147" s="3">
        <f t="shared" ca="1" si="55"/>
        <v>42142</v>
      </c>
      <c r="C147" s="3">
        <f t="shared" ca="1" si="56"/>
        <v>42503</v>
      </c>
      <c r="D147" s="3">
        <f t="shared" ca="1" si="57"/>
        <v>42481</v>
      </c>
      <c r="E147" s="3">
        <f t="shared" ca="1" si="58"/>
        <v>42492</v>
      </c>
    </row>
    <row r="148" spans="1:5" x14ac:dyDescent="0.15">
      <c r="A148" t="str">
        <f ca="1">"Y"&amp;TEXT(DATE("20"&amp;MID(A147,2,2),VLOOKUP(RIGHT(A147,2)+1,{1,1;2,3;3,3;4,5;5,5;6,7;7,7;8,8;9,9;10,11;11,11;12,12;13,13},2,FALSE),10),"yymm")</f>
        <v>Y1607</v>
      </c>
      <c r="B148" s="3">
        <f t="shared" ca="1" si="55"/>
        <v>42200</v>
      </c>
      <c r="C148" s="3">
        <f t="shared" ref="C148:C149" ca="1" si="59">WORKDAY(DATE("20"&amp;MID(A148,2,2),RIGHT(A148,2),0),10,Holiday)</f>
        <v>42565</v>
      </c>
      <c r="D148" s="3">
        <f t="shared" ca="1" si="57"/>
        <v>42542</v>
      </c>
      <c r="E148" s="3">
        <f t="shared" ca="1" si="58"/>
        <v>42552</v>
      </c>
    </row>
    <row r="149" spans="1:5" x14ac:dyDescent="0.15">
      <c r="A149" t="str">
        <f ca="1">"Y"&amp;TEXT(DATE("20"&amp;MID(A148,2,2),VLOOKUP(RIGHT(A148,2)+1,{1,1;2,3;3,3;4,5;5,5;6,7;7,7;8,8;9,9;10,11;11,11;12,12;13,13},2,FALSE),10),"yymm")</f>
        <v>Y1608</v>
      </c>
      <c r="B149" s="3">
        <f t="shared" ca="1" si="55"/>
        <v>42233</v>
      </c>
      <c r="C149" s="3">
        <f t="shared" ca="1" si="59"/>
        <v>42594</v>
      </c>
      <c r="D149" s="3">
        <f t="shared" ca="1" si="57"/>
        <v>42572</v>
      </c>
      <c r="E149" s="3">
        <f t="shared" ca="1" si="58"/>
        <v>42583</v>
      </c>
    </row>
    <row r="152" spans="1:5" x14ac:dyDescent="0.15">
      <c r="A152" t="s">
        <v>55</v>
      </c>
      <c r="D152" s="6">
        <v>0.1</v>
      </c>
      <c r="E152" s="6">
        <v>0.2</v>
      </c>
    </row>
    <row r="153" spans="1:5" x14ac:dyDescent="0.15">
      <c r="B153" t="s">
        <v>46</v>
      </c>
      <c r="C153" t="s">
        <v>17</v>
      </c>
      <c r="D153" s="32" t="s">
        <v>88</v>
      </c>
      <c r="E153" t="s">
        <v>18</v>
      </c>
    </row>
    <row r="154" spans="1:5" x14ac:dyDescent="0.15">
      <c r="A154" t="str">
        <f ca="1">"JM"&amp;TEXT(IF(TODAY()&gt;WORKDAY(DATE(2013,7,0),10,Holiday),IF(TODAY()&gt;WORKDAY(DATE(YEAR(TODAY()),MONTH(TODAY()),0),10,Holiday),DATE(YEAR(TODAY()),MONTH(TODAY())+1,10),TODAY()),DATE(2013,7,10)),"YYMM")</f>
        <v>JM1507</v>
      </c>
      <c r="B154" s="3">
        <f t="shared" ref="B154:B167" ca="1" si="60">IF(RIGHT(A154,4)*1&lt;=1403,DATE(2013,3,22),WORKDAY(WORKDAY(DATE("20"&amp;MID(A154,3,2),RIGHT(A154,2)-12,0),10,Holiday),1,Holiday))</f>
        <v>41835</v>
      </c>
      <c r="C154" s="3">
        <f t="shared" ref="C154:C167" ca="1" si="61">WORKDAY(DATE("20"&amp;MID(A154,3,2),RIGHT(A154,2),0),10,Holiday)</f>
        <v>42199</v>
      </c>
      <c r="D154" s="3">
        <f t="shared" ref="D154:D167" ca="1" si="62">WORKDAY(DATE("20"&amp;MID(A154,3,2),RIGHT(A154,2)-1,0),15,Holiday)</f>
        <v>42174</v>
      </c>
      <c r="E154" s="3">
        <f t="shared" ref="E154:E167" ca="1" si="63">WORKDAY(DATE("20"&amp;MID(A154,3,2),RIGHT(A154,2),0),1,Holiday)</f>
        <v>42186</v>
      </c>
    </row>
    <row r="155" spans="1:5" x14ac:dyDescent="0.15">
      <c r="A155" t="str">
        <f ca="1">"JM"&amp;TEXT(DATE("20"&amp;MID(A154,LEN(A154)-3,2),RIGHT(A154,2)+1,"10"),"yymm")</f>
        <v>JM1508</v>
      </c>
      <c r="B155" s="3">
        <f t="shared" ca="1" si="60"/>
        <v>41866</v>
      </c>
      <c r="C155" s="3">
        <f t="shared" ca="1" si="61"/>
        <v>42230</v>
      </c>
      <c r="D155" s="3">
        <f t="shared" ca="1" si="62"/>
        <v>42206</v>
      </c>
      <c r="E155" s="3">
        <f t="shared" ca="1" si="63"/>
        <v>42219</v>
      </c>
    </row>
    <row r="156" spans="1:5" x14ac:dyDescent="0.15">
      <c r="A156" t="str">
        <f t="shared" ref="A156:A167" ca="1" si="64">"JM"&amp;TEXT(DATE("20"&amp;MID(A155,LEN(A155)-3,2),RIGHT(A155,2)+1,"10"),"yymm")</f>
        <v>JM1509</v>
      </c>
      <c r="B156" s="3">
        <f t="shared" ca="1" si="60"/>
        <v>41898</v>
      </c>
      <c r="C156" s="3">
        <f t="shared" ca="1" si="61"/>
        <v>42263</v>
      </c>
      <c r="D156" s="3">
        <f t="shared" ca="1" si="62"/>
        <v>42237</v>
      </c>
      <c r="E156" s="3">
        <f t="shared" ca="1" si="63"/>
        <v>42248</v>
      </c>
    </row>
    <row r="157" spans="1:5" x14ac:dyDescent="0.15">
      <c r="A157" t="str">
        <f t="shared" ca="1" si="64"/>
        <v>JM1510</v>
      </c>
      <c r="B157" s="3">
        <f t="shared" ca="1" si="60"/>
        <v>41934</v>
      </c>
      <c r="C157" s="3">
        <f t="shared" ca="1" si="61"/>
        <v>42298</v>
      </c>
      <c r="D157" s="3">
        <f t="shared" ca="1" si="62"/>
        <v>42270</v>
      </c>
      <c r="E157" s="3">
        <f t="shared" ca="1" si="63"/>
        <v>42285</v>
      </c>
    </row>
    <row r="158" spans="1:5" x14ac:dyDescent="0.15">
      <c r="A158" t="str">
        <f t="shared" ca="1" si="64"/>
        <v>JM1511</v>
      </c>
      <c r="B158" s="3">
        <f t="shared" ca="1" si="60"/>
        <v>41960</v>
      </c>
      <c r="C158" s="3">
        <f t="shared" ca="1" si="61"/>
        <v>42321</v>
      </c>
      <c r="D158" s="3">
        <f t="shared" ca="1" si="62"/>
        <v>42305</v>
      </c>
      <c r="E158" s="3">
        <f t="shared" ca="1" si="63"/>
        <v>42310</v>
      </c>
    </row>
    <row r="159" spans="1:5" x14ac:dyDescent="0.15">
      <c r="A159" t="str">
        <f t="shared" ca="1" si="64"/>
        <v>JM1512</v>
      </c>
      <c r="B159" s="3">
        <f t="shared" ca="1" si="60"/>
        <v>41988</v>
      </c>
      <c r="C159" s="3">
        <f t="shared" ca="1" si="61"/>
        <v>42352</v>
      </c>
      <c r="D159" s="3">
        <f t="shared" ca="1" si="62"/>
        <v>42328</v>
      </c>
      <c r="E159" s="3">
        <f t="shared" ca="1" si="63"/>
        <v>42339</v>
      </c>
    </row>
    <row r="160" spans="1:5" x14ac:dyDescent="0.15">
      <c r="A160" t="str">
        <f t="shared" ca="1" si="64"/>
        <v>JM1601</v>
      </c>
      <c r="B160" s="3">
        <f t="shared" ca="1" si="60"/>
        <v>42023</v>
      </c>
      <c r="C160" s="3">
        <f t="shared" ca="1" si="61"/>
        <v>42383</v>
      </c>
      <c r="D160" s="3">
        <f t="shared" ca="1" si="62"/>
        <v>42359</v>
      </c>
      <c r="E160" s="3">
        <f t="shared" ca="1" si="63"/>
        <v>42370</v>
      </c>
    </row>
    <row r="161" spans="1:5" x14ac:dyDescent="0.15">
      <c r="A161" t="str">
        <f t="shared" ca="1" si="64"/>
        <v>JM1602</v>
      </c>
      <c r="B161" s="3">
        <f t="shared" ca="1" si="60"/>
        <v>42051</v>
      </c>
      <c r="C161" s="3">
        <f t="shared" ca="1" si="61"/>
        <v>42412</v>
      </c>
      <c r="D161" s="3">
        <f t="shared" ca="1" si="62"/>
        <v>42390</v>
      </c>
      <c r="E161" s="3">
        <f t="shared" ca="1" si="63"/>
        <v>42401</v>
      </c>
    </row>
    <row r="162" spans="1:5" x14ac:dyDescent="0.15">
      <c r="A162" t="str">
        <f t="shared" ca="1" si="64"/>
        <v>JM1603</v>
      </c>
      <c r="B162" s="3">
        <f t="shared" ca="1" si="60"/>
        <v>42079</v>
      </c>
      <c r="C162" s="3">
        <f t="shared" ca="1" si="61"/>
        <v>42443</v>
      </c>
      <c r="D162" s="3">
        <f t="shared" ca="1" si="62"/>
        <v>42419</v>
      </c>
      <c r="E162" s="3">
        <f t="shared" ca="1" si="63"/>
        <v>42430</v>
      </c>
    </row>
    <row r="163" spans="1:5" x14ac:dyDescent="0.15">
      <c r="A163" t="str">
        <f t="shared" ca="1" si="64"/>
        <v>JM1604</v>
      </c>
      <c r="B163" s="3">
        <f t="shared" ca="1" si="60"/>
        <v>42110</v>
      </c>
      <c r="C163" s="3">
        <f t="shared" ca="1" si="61"/>
        <v>42474</v>
      </c>
      <c r="D163" s="3">
        <f t="shared" ca="1" si="62"/>
        <v>42450</v>
      </c>
      <c r="E163" s="3">
        <f t="shared" ca="1" si="63"/>
        <v>42461</v>
      </c>
    </row>
    <row r="164" spans="1:5" x14ac:dyDescent="0.15">
      <c r="A164" t="str">
        <f t="shared" ca="1" si="64"/>
        <v>JM1605</v>
      </c>
      <c r="B164" s="3">
        <f t="shared" ca="1" si="60"/>
        <v>42142</v>
      </c>
      <c r="C164" s="3">
        <f t="shared" ca="1" si="61"/>
        <v>42503</v>
      </c>
      <c r="D164" s="3">
        <f t="shared" ca="1" si="62"/>
        <v>42481</v>
      </c>
      <c r="E164" s="3">
        <f t="shared" ca="1" si="63"/>
        <v>42492</v>
      </c>
    </row>
    <row r="165" spans="1:5" x14ac:dyDescent="0.15">
      <c r="A165" t="str">
        <f t="shared" ca="1" si="64"/>
        <v>JM1606</v>
      </c>
      <c r="B165" s="3">
        <f t="shared" ca="1" si="60"/>
        <v>42170</v>
      </c>
      <c r="C165" s="3">
        <f t="shared" ca="1" si="61"/>
        <v>42535</v>
      </c>
      <c r="D165" s="3">
        <f t="shared" ca="1" si="62"/>
        <v>42510</v>
      </c>
      <c r="E165" s="3">
        <f t="shared" ca="1" si="63"/>
        <v>42522</v>
      </c>
    </row>
    <row r="166" spans="1:5" x14ac:dyDescent="0.15">
      <c r="A166" t="str">
        <f t="shared" ca="1" si="64"/>
        <v>JM1607</v>
      </c>
      <c r="B166" s="3">
        <f t="shared" ca="1" si="60"/>
        <v>42200</v>
      </c>
      <c r="C166" s="3">
        <f t="shared" ca="1" si="61"/>
        <v>42565</v>
      </c>
      <c r="D166" s="3">
        <f t="shared" ca="1" si="62"/>
        <v>42542</v>
      </c>
      <c r="E166" s="3">
        <f t="shared" ca="1" si="63"/>
        <v>42552</v>
      </c>
    </row>
    <row r="167" spans="1:5" x14ac:dyDescent="0.15">
      <c r="A167" t="str">
        <f t="shared" ca="1" si="64"/>
        <v>JM1608</v>
      </c>
      <c r="B167" s="3">
        <f t="shared" ca="1" si="60"/>
        <v>42233</v>
      </c>
      <c r="C167" s="3">
        <f t="shared" ca="1" si="61"/>
        <v>42594</v>
      </c>
      <c r="D167" s="3">
        <f t="shared" ca="1" si="62"/>
        <v>42572</v>
      </c>
      <c r="E167" s="3">
        <f t="shared" ca="1" si="63"/>
        <v>42583</v>
      </c>
    </row>
    <row r="170" spans="1:5" x14ac:dyDescent="0.15">
      <c r="A170" t="s">
        <v>66</v>
      </c>
      <c r="D170" s="6">
        <v>0.1</v>
      </c>
      <c r="E170" s="6">
        <v>0.2</v>
      </c>
    </row>
    <row r="171" spans="1:5" x14ac:dyDescent="0.15">
      <c r="B171" t="s">
        <v>67</v>
      </c>
      <c r="C171" t="s">
        <v>68</v>
      </c>
      <c r="D171" s="32" t="s">
        <v>88</v>
      </c>
      <c r="E171" t="s">
        <v>18</v>
      </c>
    </row>
    <row r="172" spans="1:5" x14ac:dyDescent="0.15">
      <c r="A172" t="str">
        <f ca="1">"I"&amp;IF(TEXT(IF(TODAY()&gt;WORKDAY(DATE(YEAR(TODAY()),MONTH(TODAY()),0),10,Holiday),DATE(YEAR(TODAY()),MONTH(TODAY())+1,10),DATE(YEAR(TODAY()),MONTH(TODAY()),10)),"yymm")*1&gt;1403,TEXT(IF(TODAY()&gt;WORKDAY(DATE(YEAR(TODAY()),MONTH(TODAY()),0),10,Holiday),DATE(YEAR(TODAY()),MONTH(TODAY())+1,10),DATE(YEAR(TODAY()),MONTH(TODAY()),10)),"yymm"),"1403")</f>
        <v>I1507</v>
      </c>
      <c r="B172" s="3">
        <f t="shared" ref="B172:B185" ca="1" si="65">IF(RIGHT(A172,4)*1&lt;1410,DATE(2013,10,18),WORKDAY(WORKDAY(DATE("20"&amp;MID(A172,2,2),RIGHT(A172,2)-12,0),10,Holiday),1,Holiday))</f>
        <v>41835</v>
      </c>
      <c r="C172" s="3">
        <f t="shared" ref="C172" ca="1" si="66">WORKDAY(DATE("20"&amp;MID(A172,2,2),RIGHT(A172,2),0),10,Holiday)</f>
        <v>42199</v>
      </c>
      <c r="D172" s="3">
        <f t="shared" ref="D172:D185" ca="1" si="67">WORKDAY(DATE("20"&amp;MID(A172,2,2),RIGHT(A172,2)-1,0),15,Holiday)</f>
        <v>42174</v>
      </c>
      <c r="E172" s="3">
        <f t="shared" ref="E172" ca="1" si="68">WORKDAY(DATE("20"&amp;MID(A172,2,2),RIGHT(A172,2),0),1,Holiday)</f>
        <v>42186</v>
      </c>
    </row>
    <row r="173" spans="1:5" x14ac:dyDescent="0.15">
      <c r="A173" t="str">
        <f ca="1">"I"&amp;TEXT(DATE("20"&amp;MID(A172,LEN(A172)-3,2),RIGHT(A172,2)+1,"10"),"yymm")</f>
        <v>I1508</v>
      </c>
      <c r="B173" s="3">
        <f t="shared" ca="1" si="65"/>
        <v>41866</v>
      </c>
      <c r="C173" s="3">
        <f t="shared" ref="C173:C185" ca="1" si="69">WORKDAY(DATE("20"&amp;MID(A173,2,2),RIGHT(A173,2),0),10,Holiday)</f>
        <v>42230</v>
      </c>
      <c r="D173" s="3">
        <f t="shared" ca="1" si="67"/>
        <v>42206</v>
      </c>
      <c r="E173" s="3">
        <f t="shared" ref="E173:E185" ca="1" si="70">WORKDAY(DATE("20"&amp;MID(A173,2,2),RIGHT(A173,2),0),1,Holiday)</f>
        <v>42219</v>
      </c>
    </row>
    <row r="174" spans="1:5" x14ac:dyDescent="0.15">
      <c r="A174" t="str">
        <f t="shared" ref="A174:A185" ca="1" si="71">"I"&amp;TEXT(DATE("20"&amp;MID(A173,LEN(A173)-3,2),RIGHT(A173,2)+1,"10"),"yymm")</f>
        <v>I1509</v>
      </c>
      <c r="B174" s="3">
        <f t="shared" ca="1" si="65"/>
        <v>41898</v>
      </c>
      <c r="C174" s="3">
        <f t="shared" ca="1" si="69"/>
        <v>42263</v>
      </c>
      <c r="D174" s="3">
        <f t="shared" ca="1" si="67"/>
        <v>42237</v>
      </c>
      <c r="E174" s="3">
        <f t="shared" ca="1" si="70"/>
        <v>42248</v>
      </c>
    </row>
    <row r="175" spans="1:5" x14ac:dyDescent="0.15">
      <c r="A175" t="str">
        <f t="shared" ca="1" si="71"/>
        <v>I1510</v>
      </c>
      <c r="B175" s="3">
        <f t="shared" ca="1" si="65"/>
        <v>41934</v>
      </c>
      <c r="C175" s="3">
        <f t="shared" ca="1" si="69"/>
        <v>42298</v>
      </c>
      <c r="D175" s="3">
        <f t="shared" ca="1" si="67"/>
        <v>42270</v>
      </c>
      <c r="E175" s="3">
        <f t="shared" ca="1" si="70"/>
        <v>42285</v>
      </c>
    </row>
    <row r="176" spans="1:5" x14ac:dyDescent="0.15">
      <c r="A176" t="str">
        <f t="shared" ca="1" si="71"/>
        <v>I1511</v>
      </c>
      <c r="B176" s="3">
        <f t="shared" ca="1" si="65"/>
        <v>41960</v>
      </c>
      <c r="C176" s="3">
        <f t="shared" ca="1" si="69"/>
        <v>42321</v>
      </c>
      <c r="D176" s="3">
        <f t="shared" ca="1" si="67"/>
        <v>42305</v>
      </c>
      <c r="E176" s="3">
        <f t="shared" ca="1" si="70"/>
        <v>42310</v>
      </c>
    </row>
    <row r="177" spans="1:5" x14ac:dyDescent="0.15">
      <c r="A177" t="str">
        <f t="shared" ca="1" si="71"/>
        <v>I1512</v>
      </c>
      <c r="B177" s="3">
        <f t="shared" ca="1" si="65"/>
        <v>41988</v>
      </c>
      <c r="C177" s="3">
        <f t="shared" ca="1" si="69"/>
        <v>42352</v>
      </c>
      <c r="D177" s="3">
        <f t="shared" ca="1" si="67"/>
        <v>42328</v>
      </c>
      <c r="E177" s="3">
        <f t="shared" ca="1" si="70"/>
        <v>42339</v>
      </c>
    </row>
    <row r="178" spans="1:5" x14ac:dyDescent="0.15">
      <c r="A178" t="str">
        <f t="shared" ca="1" si="71"/>
        <v>I1601</v>
      </c>
      <c r="B178" s="3">
        <f t="shared" ca="1" si="65"/>
        <v>42023</v>
      </c>
      <c r="C178" s="3">
        <f t="shared" ca="1" si="69"/>
        <v>42383</v>
      </c>
      <c r="D178" s="3">
        <f t="shared" ca="1" si="67"/>
        <v>42359</v>
      </c>
      <c r="E178" s="3">
        <f t="shared" ca="1" si="70"/>
        <v>42370</v>
      </c>
    </row>
    <row r="179" spans="1:5" x14ac:dyDescent="0.15">
      <c r="A179" t="str">
        <f t="shared" ca="1" si="71"/>
        <v>I1602</v>
      </c>
      <c r="B179" s="3">
        <f t="shared" ca="1" si="65"/>
        <v>42051</v>
      </c>
      <c r="C179" s="3">
        <f t="shared" ca="1" si="69"/>
        <v>42412</v>
      </c>
      <c r="D179" s="3">
        <f t="shared" ca="1" si="67"/>
        <v>42390</v>
      </c>
      <c r="E179" s="3">
        <f t="shared" ca="1" si="70"/>
        <v>42401</v>
      </c>
    </row>
    <row r="180" spans="1:5" x14ac:dyDescent="0.15">
      <c r="A180" t="str">
        <f t="shared" ca="1" si="71"/>
        <v>I1603</v>
      </c>
      <c r="B180" s="3">
        <f t="shared" ca="1" si="65"/>
        <v>42079</v>
      </c>
      <c r="C180" s="3">
        <f t="shared" ca="1" si="69"/>
        <v>42443</v>
      </c>
      <c r="D180" s="3">
        <f t="shared" ca="1" si="67"/>
        <v>42419</v>
      </c>
      <c r="E180" s="3">
        <f t="shared" ca="1" si="70"/>
        <v>42430</v>
      </c>
    </row>
    <row r="181" spans="1:5" x14ac:dyDescent="0.15">
      <c r="A181" t="str">
        <f t="shared" ca="1" si="71"/>
        <v>I1604</v>
      </c>
      <c r="B181" s="3">
        <f t="shared" ca="1" si="65"/>
        <v>42110</v>
      </c>
      <c r="C181" s="3">
        <f t="shared" ca="1" si="69"/>
        <v>42474</v>
      </c>
      <c r="D181" s="3">
        <f t="shared" ca="1" si="67"/>
        <v>42450</v>
      </c>
      <c r="E181" s="3">
        <f t="shared" ca="1" si="70"/>
        <v>42461</v>
      </c>
    </row>
    <row r="182" spans="1:5" x14ac:dyDescent="0.15">
      <c r="A182" t="str">
        <f t="shared" ca="1" si="71"/>
        <v>I1605</v>
      </c>
      <c r="B182" s="3">
        <f t="shared" ca="1" si="65"/>
        <v>42142</v>
      </c>
      <c r="C182" s="3">
        <f t="shared" ca="1" si="69"/>
        <v>42503</v>
      </c>
      <c r="D182" s="3">
        <f t="shared" ca="1" si="67"/>
        <v>42481</v>
      </c>
      <c r="E182" s="3">
        <f t="shared" ca="1" si="70"/>
        <v>42492</v>
      </c>
    </row>
    <row r="183" spans="1:5" x14ac:dyDescent="0.15">
      <c r="A183" t="str">
        <f t="shared" ca="1" si="71"/>
        <v>I1606</v>
      </c>
      <c r="B183" s="3">
        <f t="shared" ca="1" si="65"/>
        <v>42170</v>
      </c>
      <c r="C183" s="3">
        <f t="shared" ca="1" si="69"/>
        <v>42535</v>
      </c>
      <c r="D183" s="3">
        <f t="shared" ca="1" si="67"/>
        <v>42510</v>
      </c>
      <c r="E183" s="3">
        <f t="shared" ca="1" si="70"/>
        <v>42522</v>
      </c>
    </row>
    <row r="184" spans="1:5" x14ac:dyDescent="0.15">
      <c r="A184" t="str">
        <f t="shared" ca="1" si="71"/>
        <v>I1607</v>
      </c>
      <c r="B184" s="3">
        <f t="shared" ca="1" si="65"/>
        <v>42200</v>
      </c>
      <c r="C184" s="3">
        <f t="shared" ca="1" si="69"/>
        <v>42565</v>
      </c>
      <c r="D184" s="3">
        <f t="shared" ca="1" si="67"/>
        <v>42542</v>
      </c>
      <c r="E184" s="3">
        <f t="shared" ca="1" si="70"/>
        <v>42552</v>
      </c>
    </row>
    <row r="185" spans="1:5" x14ac:dyDescent="0.15">
      <c r="A185" t="str">
        <f t="shared" ca="1" si="71"/>
        <v>I1608</v>
      </c>
      <c r="B185" s="3">
        <f t="shared" ca="1" si="65"/>
        <v>42233</v>
      </c>
      <c r="C185" s="3">
        <f t="shared" ca="1" si="69"/>
        <v>42594</v>
      </c>
      <c r="D185" s="3">
        <f t="shared" ca="1" si="67"/>
        <v>42572</v>
      </c>
      <c r="E185" s="3">
        <f t="shared" ca="1" si="70"/>
        <v>42583</v>
      </c>
    </row>
    <row r="186" spans="1:5" x14ac:dyDescent="0.15">
      <c r="D186" s="6"/>
      <c r="E186" s="6"/>
    </row>
    <row r="187" spans="1:5" x14ac:dyDescent="0.15">
      <c r="D187" s="32"/>
    </row>
    <row r="188" spans="1:5" x14ac:dyDescent="0.15">
      <c r="A188" t="s">
        <v>69</v>
      </c>
      <c r="D188" s="6">
        <v>0.1</v>
      </c>
      <c r="E188" s="6">
        <v>0.2</v>
      </c>
    </row>
    <row r="189" spans="1:5" x14ac:dyDescent="0.15">
      <c r="B189" t="s">
        <v>67</v>
      </c>
      <c r="C189" t="s">
        <v>52</v>
      </c>
      <c r="D189" s="32" t="s">
        <v>88</v>
      </c>
      <c r="E189" t="s">
        <v>18</v>
      </c>
    </row>
    <row r="190" spans="1:5" x14ac:dyDescent="0.15">
      <c r="A190" t="str">
        <f ca="1">"JD"&amp;IF(TEXT(IF(TODAY()&gt;WORKDAY(DATE(YEAR(TODAY()),VLOOKUP(MONTH(TODAY()),{1,1;2,2;3,3;4,4;5,5;6,6;7,9;8,9;9,9;10,10;11,11;12,12},2,FALSE),0),10,Holiday),DATE(YEAR(TODAY()),VLOOKUP(MONTH(TODAY()),{1,1;2,2;3,3;4,4;5,5;6,6;7,9;8,9;9,9;10,10;11,11;12,12},2,FALSE)+1,10),DATE(YEAR(TODAY()),VLOOKUP(MONTH(TODAY()),{1,1;2,2;3,3;4,4;5,5;6,6;7,9;8,9;9,9;10,10;11,11;12,12},2,FALSE),10)),"yymm")*1&gt;1403,TEXT(IF(TODAY()&gt;WORKDAY(DATE(YEAR(TODAY()),VLOOKUP(MONTH(TODAY()),{1,1;2,2;3,3;4,4;5,5;6,6;7,9;8,9;9,9;10,10;11,11;12,12},2,FALSE),0),10,Holiday),DATE(YEAR(TODAY()),VLOOKUP(MONTH(TODAY()),{1,1;2,2;3,3;4,4;5,5;6,6;7,9;8,9;9,9;10,10;11,11;12,12},2,FALSE)+1,10),DATE(YEAR(TODAY()),VLOOKUP(MONTH(TODAY()),{1,1;2,2;3,3;4,4;5,5;6,6;7,9;8,9;9,9;10,10;11,11;12,12},2,FALSE),10)),"yymm"),"1403")</f>
        <v>JD1507</v>
      </c>
      <c r="B190" s="3">
        <f t="shared" ref="B190:B201" ca="1" si="72">IF(RIGHT(A190,4)*1&lt;=1410,DATE(2013,11,8),WORKDAY(WORKDAY(DATE("20"&amp;MID(A190,3,2),RIGHT(A190,2)-12,0),10,Holiday),1,Holiday))</f>
        <v>41835</v>
      </c>
      <c r="C190" s="3">
        <f t="shared" ref="C190:C201" ca="1" si="73">WORKDAY(DATE("20"&amp;MID(A190,3,2),RIGHT(A190,2),0),10,Holiday)</f>
        <v>42199</v>
      </c>
      <c r="D190" s="3">
        <f t="shared" ref="D190:D201" ca="1" si="74">WORKDAY(DATE("20"&amp;MID(A190,3,2),RIGHT(A190,2)-1,0),15,Holiday)</f>
        <v>42174</v>
      </c>
      <c r="E190" s="3">
        <f t="shared" ref="E190:E201" ca="1" si="75">WORKDAY(DATE("20"&amp;MID(A190,3,2),RIGHT(A190,2),0),1,Holiday)</f>
        <v>42186</v>
      </c>
    </row>
    <row r="191" spans="1:5" x14ac:dyDescent="0.15">
      <c r="A191" t="str">
        <f ca="1">"JD"&amp;TEXT(DATE("20"&amp;MID(A190,LEN(A190)-3,2),VLOOKUP(RIGHT(A190,2)+1,{1,1;2,2;3,3;4,4;5,5;6,6;7,9;8,9;9,9;10,10;11,11;12,12;13,13},2,FALSE),"10"),"yymm")</f>
        <v>JD1509</v>
      </c>
      <c r="B191" s="3">
        <f t="shared" ca="1" si="72"/>
        <v>41898</v>
      </c>
      <c r="C191" s="3">
        <f t="shared" ca="1" si="73"/>
        <v>42263</v>
      </c>
      <c r="D191" s="3">
        <f t="shared" ca="1" si="74"/>
        <v>42237</v>
      </c>
      <c r="E191" s="3">
        <f t="shared" ca="1" si="75"/>
        <v>42248</v>
      </c>
    </row>
    <row r="192" spans="1:5" x14ac:dyDescent="0.15">
      <c r="A192" t="str">
        <f ca="1">"JD"&amp;TEXT(DATE("20"&amp;MID(A191,LEN(A191)-3,2),VLOOKUP(RIGHT(A191,2)+1,{1,1;2,2;3,3;4,4;5,5;6,6;7,9;8,9;9,9;10,10;11,11;12,12;13,13},2,FALSE),"10"),"yymm")</f>
        <v>JD1510</v>
      </c>
      <c r="B192" s="3">
        <f t="shared" ca="1" si="72"/>
        <v>41934</v>
      </c>
      <c r="C192" s="3">
        <f t="shared" ca="1" si="73"/>
        <v>42298</v>
      </c>
      <c r="D192" s="3">
        <f t="shared" ca="1" si="74"/>
        <v>42270</v>
      </c>
      <c r="E192" s="3">
        <f t="shared" ca="1" si="75"/>
        <v>42285</v>
      </c>
    </row>
    <row r="193" spans="1:5" x14ac:dyDescent="0.15">
      <c r="A193" t="str">
        <f ca="1">"JD"&amp;TEXT(DATE("20"&amp;MID(A192,LEN(A192)-3,2),VLOOKUP(RIGHT(A192,2)+1,{1,1;2,2;3,3;4,4;5,5;6,6;7,9;8,9;9,9;10,10;11,11;12,12;13,13},2,FALSE),"10"),"yymm")</f>
        <v>JD1511</v>
      </c>
      <c r="B193" s="3">
        <f t="shared" ca="1" si="72"/>
        <v>41960</v>
      </c>
      <c r="C193" s="3">
        <f t="shared" ca="1" si="73"/>
        <v>42321</v>
      </c>
      <c r="D193" s="3">
        <f t="shared" ca="1" si="74"/>
        <v>42305</v>
      </c>
      <c r="E193" s="3">
        <f t="shared" ca="1" si="75"/>
        <v>42310</v>
      </c>
    </row>
    <row r="194" spans="1:5" x14ac:dyDescent="0.15">
      <c r="A194" t="str">
        <f ca="1">"JD"&amp;TEXT(DATE("20"&amp;MID(A193,LEN(A193)-3,2),VLOOKUP(RIGHT(A193,2)+1,{1,1;2,2;3,3;4,4;5,5;6,6;7,9;8,9;9,9;10,10;11,11;12,12;13,13},2,FALSE),"10"),"yymm")</f>
        <v>JD1512</v>
      </c>
      <c r="B194" s="3">
        <f t="shared" ca="1" si="72"/>
        <v>41988</v>
      </c>
      <c r="C194" s="3">
        <f t="shared" ca="1" si="73"/>
        <v>42352</v>
      </c>
      <c r="D194" s="3">
        <f t="shared" ca="1" si="74"/>
        <v>42328</v>
      </c>
      <c r="E194" s="3">
        <f t="shared" ca="1" si="75"/>
        <v>42339</v>
      </c>
    </row>
    <row r="195" spans="1:5" x14ac:dyDescent="0.15">
      <c r="A195" t="str">
        <f ca="1">"JD"&amp;TEXT(DATE("20"&amp;MID(A194,LEN(A194)-3,2),VLOOKUP(RIGHT(A194,2)+1,{1,1;2,2;3,3;4,4;5,5;6,6;7,9;8,9;9,9;10,10;11,11;12,12;13,13},2,FALSE),"10"),"yymm")</f>
        <v>JD1601</v>
      </c>
      <c r="B195" s="3">
        <f t="shared" ca="1" si="72"/>
        <v>42023</v>
      </c>
      <c r="C195" s="3">
        <f t="shared" ca="1" si="73"/>
        <v>42383</v>
      </c>
      <c r="D195" s="3">
        <f t="shared" ca="1" si="74"/>
        <v>42359</v>
      </c>
      <c r="E195" s="3">
        <f t="shared" ca="1" si="75"/>
        <v>42370</v>
      </c>
    </row>
    <row r="196" spans="1:5" x14ac:dyDescent="0.15">
      <c r="A196" t="str">
        <f ca="1">"JD"&amp;TEXT(DATE("20"&amp;MID(A195,LEN(A195)-3,2),VLOOKUP(RIGHT(A195,2)+1,{1,1;2,2;3,3;4,4;5,5;6,6;7,9;8,9;9,9;10,10;11,11;12,12;13,13},2,FALSE),"10"),"yymm")</f>
        <v>JD1602</v>
      </c>
      <c r="B196" s="3">
        <f t="shared" ca="1" si="72"/>
        <v>42051</v>
      </c>
      <c r="C196" s="3">
        <f t="shared" ca="1" si="73"/>
        <v>42412</v>
      </c>
      <c r="D196" s="3">
        <f t="shared" ca="1" si="74"/>
        <v>42390</v>
      </c>
      <c r="E196" s="3">
        <f t="shared" ca="1" si="75"/>
        <v>42401</v>
      </c>
    </row>
    <row r="197" spans="1:5" x14ac:dyDescent="0.15">
      <c r="A197" t="str">
        <f ca="1">"JD"&amp;TEXT(DATE("20"&amp;MID(A196,LEN(A196)-3,2),VLOOKUP(RIGHT(A196,2)+1,{1,1;2,2;3,3;4,4;5,5;6,6;7,9;8,9;9,9;10,10;11,11;12,12;13,13},2,FALSE),"10"),"yymm")</f>
        <v>JD1603</v>
      </c>
      <c r="B197" s="3">
        <f t="shared" ca="1" si="72"/>
        <v>42079</v>
      </c>
      <c r="C197" s="3">
        <f t="shared" ca="1" si="73"/>
        <v>42443</v>
      </c>
      <c r="D197" s="3">
        <f t="shared" ca="1" si="74"/>
        <v>42419</v>
      </c>
      <c r="E197" s="3">
        <f t="shared" ca="1" si="75"/>
        <v>42430</v>
      </c>
    </row>
    <row r="198" spans="1:5" x14ac:dyDescent="0.15">
      <c r="A198" t="str">
        <f ca="1">"JD"&amp;TEXT(DATE("20"&amp;MID(A197,LEN(A197)-3,2),VLOOKUP(RIGHT(A197,2)+1,{1,1;2,2;3,3;4,4;5,5;6,6;7,9;8,9;9,9;10,10;11,11;12,12;13,13},2,FALSE),"10"),"yymm")</f>
        <v>JD1604</v>
      </c>
      <c r="B198" s="3">
        <f t="shared" ca="1" si="72"/>
        <v>42110</v>
      </c>
      <c r="C198" s="3">
        <f t="shared" ca="1" si="73"/>
        <v>42474</v>
      </c>
      <c r="D198" s="3">
        <f t="shared" ca="1" si="74"/>
        <v>42450</v>
      </c>
      <c r="E198" s="3">
        <f t="shared" ca="1" si="75"/>
        <v>42461</v>
      </c>
    </row>
    <row r="199" spans="1:5" x14ac:dyDescent="0.15">
      <c r="A199" t="str">
        <f ca="1">"JD"&amp;TEXT(DATE("20"&amp;MID(A198,LEN(A198)-3,2),VLOOKUP(RIGHT(A198,2)+1,{1,1;2,2;3,3;4,4;5,5;6,6;7,9;8,9;9,9;10,10;11,11;12,12;13,13},2,FALSE),"10"),"yymm")</f>
        <v>JD1605</v>
      </c>
      <c r="B199" s="3">
        <f t="shared" ca="1" si="72"/>
        <v>42142</v>
      </c>
      <c r="C199" s="3">
        <f t="shared" ca="1" si="73"/>
        <v>42503</v>
      </c>
      <c r="D199" s="3">
        <f t="shared" ca="1" si="74"/>
        <v>42481</v>
      </c>
      <c r="E199" s="3">
        <f t="shared" ca="1" si="75"/>
        <v>42492</v>
      </c>
    </row>
    <row r="200" spans="1:5" x14ac:dyDescent="0.15">
      <c r="A200" t="str">
        <f ca="1">"JD"&amp;TEXT(DATE("20"&amp;MID(A199,LEN(A199)-3,2),VLOOKUP(RIGHT(A199,2)+1,{1,1;2,2;3,3;4,4;5,5;6,6;7,9;8,9;9,9;10,10;11,11;12,12;13,13},2,FALSE),"10"),"yymm")</f>
        <v>JD1606</v>
      </c>
      <c r="B200" s="3">
        <f t="shared" ca="1" si="72"/>
        <v>42170</v>
      </c>
      <c r="C200" s="3">
        <f t="shared" ca="1" si="73"/>
        <v>42535</v>
      </c>
      <c r="D200" s="3">
        <f t="shared" ca="1" si="74"/>
        <v>42510</v>
      </c>
      <c r="E200" s="3">
        <f t="shared" ca="1" si="75"/>
        <v>42522</v>
      </c>
    </row>
    <row r="201" spans="1:5" x14ac:dyDescent="0.15">
      <c r="A201" t="str">
        <f ca="1">"JD"&amp;TEXT(DATE("20"&amp;MID(A200,LEN(A200)-3,2),VLOOKUP(RIGHT(A200,2)+1,{1,1;2,2;3,3;4,4;5,5;6,6;7,9;8,9;9,9;10,10;11,11;12,12;13,13},2,FALSE),"10"),"yymm")</f>
        <v>JD1609</v>
      </c>
      <c r="B201" s="3">
        <f t="shared" ca="1" si="72"/>
        <v>42264</v>
      </c>
      <c r="C201" s="3">
        <f t="shared" ca="1" si="73"/>
        <v>42627</v>
      </c>
      <c r="D201" s="3">
        <f t="shared" ca="1" si="74"/>
        <v>42601</v>
      </c>
      <c r="E201" s="3">
        <f t="shared" ca="1" si="75"/>
        <v>42614</v>
      </c>
    </row>
    <row r="202" spans="1:5" x14ac:dyDescent="0.15">
      <c r="B202" s="3"/>
      <c r="C202" s="3"/>
      <c r="D202" s="3"/>
      <c r="E202" s="3"/>
    </row>
    <row r="203" spans="1:5" x14ac:dyDescent="0.15">
      <c r="B203" s="3"/>
      <c r="C203" s="3"/>
      <c r="D203" s="3"/>
      <c r="E203" s="3"/>
    </row>
    <row r="204" spans="1:5" x14ac:dyDescent="0.15">
      <c r="A204" t="s">
        <v>71</v>
      </c>
      <c r="D204" s="6">
        <v>0.1</v>
      </c>
      <c r="E204" s="6">
        <v>0.2</v>
      </c>
    </row>
    <row r="205" spans="1:5" x14ac:dyDescent="0.15">
      <c r="B205" t="s">
        <v>46</v>
      </c>
      <c r="C205" t="s">
        <v>1</v>
      </c>
      <c r="D205" s="32" t="s">
        <v>88</v>
      </c>
      <c r="E205" t="s">
        <v>18</v>
      </c>
    </row>
    <row r="206" spans="1:5" x14ac:dyDescent="0.15">
      <c r="A206" t="str">
        <f ca="1">"FB"&amp;IF(TEXT(IF(TODAY()&gt;WORKDAY(DATE(YEAR(TODAY()),MONTH(TODAY()),0),10,Holiday),DATE(YEAR(TODAY()),MONTH(TODAY())+1,10),DATE(YEAR(TODAY()),MONTH(TODAY()),10)),"yymm")*1&gt;1404,TEXT(IF(TODAY()&gt;WORKDAY(DATE(YEAR(TODAY()),MONTH(TODAY()),0),10,Holiday),DATE(YEAR(TODAY()),MONTH(TODAY())+1,10),DATE(YEAR(TODAY()),MONTH(TODAY()),10)),"yymm"),"1404")</f>
        <v>FB1507</v>
      </c>
      <c r="B206" s="3">
        <f t="shared" ref="B206:B219" ca="1" si="76">IF(RIGHT(A206,4)*1&lt;1412,DATE(2013,12,6),WORKDAY(WORKDAY(DATE("20"&amp;MID(A206,3,2),RIGHT(A206,2)-12,0),10,Holiday),1,Holiday))</f>
        <v>41835</v>
      </c>
      <c r="C206" s="3">
        <f t="shared" ref="C206:C219" ca="1" si="77">WORKDAY(DATE("20"&amp;MID(A206,3,2),RIGHT(A206,2),0),10,Holiday)</f>
        <v>42199</v>
      </c>
      <c r="D206" s="3">
        <f t="shared" ref="D206:D219" ca="1" si="78">WORKDAY(DATE("20"&amp;MID(A206,3,2),RIGHT(A206,2)-1,0),15,Holiday)</f>
        <v>42174</v>
      </c>
      <c r="E206" s="3">
        <f t="shared" ref="E206:E219" ca="1" si="79">WORKDAY(DATE("20"&amp;MID(A206,3,2),RIGHT(A206,2),0),1,Holiday)</f>
        <v>42186</v>
      </c>
    </row>
    <row r="207" spans="1:5" x14ac:dyDescent="0.15">
      <c r="A207" t="str">
        <f ca="1">"FB"&amp;TEXT(DATE("20"&amp;MID(A206,LEN(A206)-3,2),RIGHT(A206,2)+1,"10"),"yymm")</f>
        <v>FB1508</v>
      </c>
      <c r="B207" s="3">
        <f t="shared" ca="1" si="76"/>
        <v>41866</v>
      </c>
      <c r="C207" s="3">
        <f t="shared" ca="1" si="77"/>
        <v>42230</v>
      </c>
      <c r="D207" s="3">
        <f t="shared" ca="1" si="78"/>
        <v>42206</v>
      </c>
      <c r="E207" s="3">
        <f t="shared" ca="1" si="79"/>
        <v>42219</v>
      </c>
    </row>
    <row r="208" spans="1:5" x14ac:dyDescent="0.15">
      <c r="A208" t="str">
        <f ca="1">"FB"&amp;TEXT(DATE("20"&amp;MID(A207,LEN(A207)-3,2),RIGHT(A207,2)+1,"10"),"yymm")</f>
        <v>FB1509</v>
      </c>
      <c r="B208" s="3">
        <f t="shared" ca="1" si="76"/>
        <v>41898</v>
      </c>
      <c r="C208" s="3">
        <f t="shared" ca="1" si="77"/>
        <v>42263</v>
      </c>
      <c r="D208" s="3">
        <f t="shared" ca="1" si="78"/>
        <v>42237</v>
      </c>
      <c r="E208" s="3">
        <f t="shared" ca="1" si="79"/>
        <v>42248</v>
      </c>
    </row>
    <row r="209" spans="1:5" x14ac:dyDescent="0.15">
      <c r="A209" t="str">
        <f t="shared" ref="A209:A219" ca="1" si="80">"FB"&amp;TEXT(DATE("20"&amp;MID(A208,LEN(A208)-3,2),RIGHT(A208,2)+1,"10"),"yymm")</f>
        <v>FB1510</v>
      </c>
      <c r="B209" s="3">
        <f t="shared" ca="1" si="76"/>
        <v>41934</v>
      </c>
      <c r="C209" s="3">
        <f t="shared" ca="1" si="77"/>
        <v>42298</v>
      </c>
      <c r="D209" s="3">
        <f t="shared" ca="1" si="78"/>
        <v>42270</v>
      </c>
      <c r="E209" s="3">
        <f t="shared" ca="1" si="79"/>
        <v>42285</v>
      </c>
    </row>
    <row r="210" spans="1:5" x14ac:dyDescent="0.15">
      <c r="A210" t="str">
        <f t="shared" ca="1" si="80"/>
        <v>FB1511</v>
      </c>
      <c r="B210" s="3">
        <f t="shared" ca="1" si="76"/>
        <v>41960</v>
      </c>
      <c r="C210" s="3">
        <f t="shared" ca="1" si="77"/>
        <v>42321</v>
      </c>
      <c r="D210" s="3">
        <f t="shared" ca="1" si="78"/>
        <v>42305</v>
      </c>
      <c r="E210" s="3">
        <f t="shared" ca="1" si="79"/>
        <v>42310</v>
      </c>
    </row>
    <row r="211" spans="1:5" x14ac:dyDescent="0.15">
      <c r="A211" t="str">
        <f t="shared" ca="1" si="80"/>
        <v>FB1512</v>
      </c>
      <c r="B211" s="3">
        <f t="shared" ca="1" si="76"/>
        <v>41988</v>
      </c>
      <c r="C211" s="3">
        <f t="shared" ca="1" si="77"/>
        <v>42352</v>
      </c>
      <c r="D211" s="3">
        <f t="shared" ca="1" si="78"/>
        <v>42328</v>
      </c>
      <c r="E211" s="3">
        <f t="shared" ca="1" si="79"/>
        <v>42339</v>
      </c>
    </row>
    <row r="212" spans="1:5" x14ac:dyDescent="0.15">
      <c r="A212" t="str">
        <f t="shared" ca="1" si="80"/>
        <v>FB1601</v>
      </c>
      <c r="B212" s="3">
        <f t="shared" ca="1" si="76"/>
        <v>42023</v>
      </c>
      <c r="C212" s="3">
        <f t="shared" ca="1" si="77"/>
        <v>42383</v>
      </c>
      <c r="D212" s="3">
        <f t="shared" ca="1" si="78"/>
        <v>42359</v>
      </c>
      <c r="E212" s="3">
        <f t="shared" ca="1" si="79"/>
        <v>42370</v>
      </c>
    </row>
    <row r="213" spans="1:5" x14ac:dyDescent="0.15">
      <c r="A213" t="str">
        <f t="shared" ca="1" si="80"/>
        <v>FB1602</v>
      </c>
      <c r="B213" s="3">
        <f t="shared" ca="1" si="76"/>
        <v>42051</v>
      </c>
      <c r="C213" s="3">
        <f t="shared" ca="1" si="77"/>
        <v>42412</v>
      </c>
      <c r="D213" s="3">
        <f t="shared" ca="1" si="78"/>
        <v>42390</v>
      </c>
      <c r="E213" s="3">
        <f t="shared" ca="1" si="79"/>
        <v>42401</v>
      </c>
    </row>
    <row r="214" spans="1:5" x14ac:dyDescent="0.15">
      <c r="A214" t="str">
        <f t="shared" ca="1" si="80"/>
        <v>FB1603</v>
      </c>
      <c r="B214" s="3">
        <f t="shared" ca="1" si="76"/>
        <v>42079</v>
      </c>
      <c r="C214" s="3">
        <f t="shared" ca="1" si="77"/>
        <v>42443</v>
      </c>
      <c r="D214" s="3">
        <f t="shared" ca="1" si="78"/>
        <v>42419</v>
      </c>
      <c r="E214" s="3">
        <f t="shared" ca="1" si="79"/>
        <v>42430</v>
      </c>
    </row>
    <row r="215" spans="1:5" x14ac:dyDescent="0.15">
      <c r="A215" t="str">
        <f t="shared" ca="1" si="80"/>
        <v>FB1604</v>
      </c>
      <c r="B215" s="3">
        <f t="shared" ca="1" si="76"/>
        <v>42110</v>
      </c>
      <c r="C215" s="3">
        <f t="shared" ca="1" si="77"/>
        <v>42474</v>
      </c>
      <c r="D215" s="3">
        <f t="shared" ca="1" si="78"/>
        <v>42450</v>
      </c>
      <c r="E215" s="3">
        <f t="shared" ca="1" si="79"/>
        <v>42461</v>
      </c>
    </row>
    <row r="216" spans="1:5" x14ac:dyDescent="0.15">
      <c r="A216" t="str">
        <f t="shared" ca="1" si="80"/>
        <v>FB1605</v>
      </c>
      <c r="B216" s="3">
        <f t="shared" ca="1" si="76"/>
        <v>42142</v>
      </c>
      <c r="C216" s="3">
        <f t="shared" ca="1" si="77"/>
        <v>42503</v>
      </c>
      <c r="D216" s="3">
        <f t="shared" ca="1" si="78"/>
        <v>42481</v>
      </c>
      <c r="E216" s="3">
        <f t="shared" ca="1" si="79"/>
        <v>42492</v>
      </c>
    </row>
    <row r="217" spans="1:5" x14ac:dyDescent="0.15">
      <c r="A217" t="str">
        <f t="shared" ca="1" si="80"/>
        <v>FB1606</v>
      </c>
      <c r="B217" s="3">
        <f t="shared" ca="1" si="76"/>
        <v>42170</v>
      </c>
      <c r="C217" s="3">
        <f t="shared" ca="1" si="77"/>
        <v>42535</v>
      </c>
      <c r="D217" s="3">
        <f t="shared" ca="1" si="78"/>
        <v>42510</v>
      </c>
      <c r="E217" s="3">
        <f t="shared" ca="1" si="79"/>
        <v>42522</v>
      </c>
    </row>
    <row r="218" spans="1:5" x14ac:dyDescent="0.15">
      <c r="A218" t="str">
        <f t="shared" ca="1" si="80"/>
        <v>FB1607</v>
      </c>
      <c r="B218" s="3">
        <f t="shared" ca="1" si="76"/>
        <v>42200</v>
      </c>
      <c r="C218" s="3">
        <f t="shared" ca="1" si="77"/>
        <v>42565</v>
      </c>
      <c r="D218" s="3">
        <f t="shared" ca="1" si="78"/>
        <v>42542</v>
      </c>
      <c r="E218" s="3">
        <f t="shared" ca="1" si="79"/>
        <v>42552</v>
      </c>
    </row>
    <row r="219" spans="1:5" x14ac:dyDescent="0.15">
      <c r="A219" t="str">
        <f t="shared" ca="1" si="80"/>
        <v>FB1608</v>
      </c>
      <c r="B219" s="3">
        <f t="shared" ca="1" si="76"/>
        <v>42233</v>
      </c>
      <c r="C219" s="3">
        <f t="shared" ca="1" si="77"/>
        <v>42594</v>
      </c>
      <c r="D219" s="3">
        <f t="shared" ca="1" si="78"/>
        <v>42572</v>
      </c>
      <c r="E219" s="3">
        <f t="shared" ca="1" si="79"/>
        <v>42583</v>
      </c>
    </row>
    <row r="222" spans="1:5" x14ac:dyDescent="0.15">
      <c r="A222" t="s">
        <v>72</v>
      </c>
      <c r="D222" s="6">
        <v>0.1</v>
      </c>
      <c r="E222" s="6">
        <v>0.2</v>
      </c>
    </row>
    <row r="223" spans="1:5" x14ac:dyDescent="0.15">
      <c r="B223" t="s">
        <v>46</v>
      </c>
      <c r="C223" t="s">
        <v>1</v>
      </c>
      <c r="D223" s="32" t="s">
        <v>88</v>
      </c>
      <c r="E223" t="s">
        <v>18</v>
      </c>
    </row>
    <row r="224" spans="1:5" x14ac:dyDescent="0.15">
      <c r="A224" t="str">
        <f ca="1">"BB"&amp;IF(TEXT(IF(TODAY()&gt;WORKDAY(DATE(YEAR(TODAY()),MONTH(TODAY()),0),10,Holiday),DATE(YEAR(TODAY()),MONTH(TODAY())+1,10),DATE(YEAR(TODAY()),MONTH(TODAY()),10)),"yymm")*1&gt;1404,TEXT(IF(TODAY()&gt;WORKDAY(DATE(YEAR(TODAY()),MONTH(TODAY()),0),10,Holiday),DATE(YEAR(TODAY()),MONTH(TODAY())+1,10),DATE(YEAR(TODAY()),MONTH(TODAY()),10)),"yymm"),"1404")</f>
        <v>BB1507</v>
      </c>
      <c r="B224" s="3">
        <f t="shared" ref="B224:B237" ca="1" si="81">IF(RIGHT(A224,4)*1&lt;1412,DATE(2013,12,6),WORKDAY(WORKDAY(DATE("20"&amp;MID(A224,3,2),RIGHT(A224,2)-12,0),10,Holiday),1,Holiday))</f>
        <v>41835</v>
      </c>
      <c r="C224" s="3">
        <f t="shared" ref="C224:C237" ca="1" si="82">WORKDAY(DATE("20"&amp;MID(A224,3,2),RIGHT(A224,2),0),10,Holiday)</f>
        <v>42199</v>
      </c>
      <c r="D224" s="3">
        <f t="shared" ref="D224:D237" ca="1" si="83">WORKDAY(DATE("20"&amp;MID(A224,3,2),RIGHT(A224,2)-1,0),15,Holiday)</f>
        <v>42174</v>
      </c>
      <c r="E224" s="3">
        <f t="shared" ref="E224:E237" ca="1" si="84">WORKDAY(DATE("20"&amp;MID(A224,3,2),RIGHT(A224,2),0),1,Holiday)</f>
        <v>42186</v>
      </c>
    </row>
    <row r="225" spans="1:5" x14ac:dyDescent="0.15">
      <c r="A225" t="str">
        <f ca="1">"BB"&amp;TEXT(DATE("20"&amp;MID(A224,LEN(A224)-3,2),RIGHT(A224,2)+1,"10"),"yymm")</f>
        <v>BB1508</v>
      </c>
      <c r="B225" s="3">
        <f t="shared" ca="1" si="81"/>
        <v>41866</v>
      </c>
      <c r="C225" s="3">
        <f t="shared" ca="1" si="82"/>
        <v>42230</v>
      </c>
      <c r="D225" s="3">
        <f t="shared" ca="1" si="83"/>
        <v>42206</v>
      </c>
      <c r="E225" s="3">
        <f t="shared" ca="1" si="84"/>
        <v>42219</v>
      </c>
    </row>
    <row r="226" spans="1:5" x14ac:dyDescent="0.15">
      <c r="A226" t="str">
        <f t="shared" ref="A226:A237" ca="1" si="85">"BB"&amp;TEXT(DATE("20"&amp;MID(A225,LEN(A225)-3,2),RIGHT(A225,2)+1,"10"),"yymm")</f>
        <v>BB1509</v>
      </c>
      <c r="B226" s="3">
        <f t="shared" ca="1" si="81"/>
        <v>41898</v>
      </c>
      <c r="C226" s="3">
        <f t="shared" ca="1" si="82"/>
        <v>42263</v>
      </c>
      <c r="D226" s="3">
        <f t="shared" ca="1" si="83"/>
        <v>42237</v>
      </c>
      <c r="E226" s="3">
        <f t="shared" ca="1" si="84"/>
        <v>42248</v>
      </c>
    </row>
    <row r="227" spans="1:5" x14ac:dyDescent="0.15">
      <c r="A227" t="str">
        <f t="shared" ca="1" si="85"/>
        <v>BB1510</v>
      </c>
      <c r="B227" s="3">
        <f t="shared" ca="1" si="81"/>
        <v>41934</v>
      </c>
      <c r="C227" s="3">
        <f t="shared" ca="1" si="82"/>
        <v>42298</v>
      </c>
      <c r="D227" s="3">
        <f t="shared" ca="1" si="83"/>
        <v>42270</v>
      </c>
      <c r="E227" s="3">
        <f t="shared" ca="1" si="84"/>
        <v>42285</v>
      </c>
    </row>
    <row r="228" spans="1:5" x14ac:dyDescent="0.15">
      <c r="A228" t="str">
        <f t="shared" ca="1" si="85"/>
        <v>BB1511</v>
      </c>
      <c r="B228" s="3">
        <f t="shared" ca="1" si="81"/>
        <v>41960</v>
      </c>
      <c r="C228" s="3">
        <f t="shared" ca="1" si="82"/>
        <v>42321</v>
      </c>
      <c r="D228" s="3">
        <f t="shared" ca="1" si="83"/>
        <v>42305</v>
      </c>
      <c r="E228" s="3">
        <f t="shared" ca="1" si="84"/>
        <v>42310</v>
      </c>
    </row>
    <row r="229" spans="1:5" x14ac:dyDescent="0.15">
      <c r="A229" t="str">
        <f t="shared" ca="1" si="85"/>
        <v>BB1512</v>
      </c>
      <c r="B229" s="3">
        <f t="shared" ca="1" si="81"/>
        <v>41988</v>
      </c>
      <c r="C229" s="3">
        <f t="shared" ca="1" si="82"/>
        <v>42352</v>
      </c>
      <c r="D229" s="3">
        <f t="shared" ca="1" si="83"/>
        <v>42328</v>
      </c>
      <c r="E229" s="3">
        <f t="shared" ca="1" si="84"/>
        <v>42339</v>
      </c>
    </row>
    <row r="230" spans="1:5" x14ac:dyDescent="0.15">
      <c r="A230" t="str">
        <f t="shared" ca="1" si="85"/>
        <v>BB1601</v>
      </c>
      <c r="B230" s="3">
        <f t="shared" ca="1" si="81"/>
        <v>42023</v>
      </c>
      <c r="C230" s="3">
        <f t="shared" ca="1" si="82"/>
        <v>42383</v>
      </c>
      <c r="D230" s="3">
        <f t="shared" ca="1" si="83"/>
        <v>42359</v>
      </c>
      <c r="E230" s="3">
        <f t="shared" ca="1" si="84"/>
        <v>42370</v>
      </c>
    </row>
    <row r="231" spans="1:5" x14ac:dyDescent="0.15">
      <c r="A231" t="str">
        <f t="shared" ca="1" si="85"/>
        <v>BB1602</v>
      </c>
      <c r="B231" s="3">
        <f t="shared" ca="1" si="81"/>
        <v>42051</v>
      </c>
      <c r="C231" s="3">
        <f t="shared" ca="1" si="82"/>
        <v>42412</v>
      </c>
      <c r="D231" s="3">
        <f t="shared" ca="1" si="83"/>
        <v>42390</v>
      </c>
      <c r="E231" s="3">
        <f t="shared" ca="1" si="84"/>
        <v>42401</v>
      </c>
    </row>
    <row r="232" spans="1:5" x14ac:dyDescent="0.15">
      <c r="A232" t="str">
        <f t="shared" ca="1" si="85"/>
        <v>BB1603</v>
      </c>
      <c r="B232" s="3">
        <f t="shared" ca="1" si="81"/>
        <v>42079</v>
      </c>
      <c r="C232" s="3">
        <f t="shared" ca="1" si="82"/>
        <v>42443</v>
      </c>
      <c r="D232" s="3">
        <f t="shared" ca="1" si="83"/>
        <v>42419</v>
      </c>
      <c r="E232" s="3">
        <f t="shared" ca="1" si="84"/>
        <v>42430</v>
      </c>
    </row>
    <row r="233" spans="1:5" x14ac:dyDescent="0.15">
      <c r="A233" t="str">
        <f t="shared" ca="1" si="85"/>
        <v>BB1604</v>
      </c>
      <c r="B233" s="3">
        <f t="shared" ca="1" si="81"/>
        <v>42110</v>
      </c>
      <c r="C233" s="3">
        <f t="shared" ca="1" si="82"/>
        <v>42474</v>
      </c>
      <c r="D233" s="3">
        <f t="shared" ca="1" si="83"/>
        <v>42450</v>
      </c>
      <c r="E233" s="3">
        <f t="shared" ca="1" si="84"/>
        <v>42461</v>
      </c>
    </row>
    <row r="234" spans="1:5" x14ac:dyDescent="0.15">
      <c r="A234" t="str">
        <f t="shared" ca="1" si="85"/>
        <v>BB1605</v>
      </c>
      <c r="B234" s="3">
        <f t="shared" ca="1" si="81"/>
        <v>42142</v>
      </c>
      <c r="C234" s="3">
        <f t="shared" ca="1" si="82"/>
        <v>42503</v>
      </c>
      <c r="D234" s="3">
        <f t="shared" ca="1" si="83"/>
        <v>42481</v>
      </c>
      <c r="E234" s="3">
        <f t="shared" ca="1" si="84"/>
        <v>42492</v>
      </c>
    </row>
    <row r="235" spans="1:5" x14ac:dyDescent="0.15">
      <c r="A235" t="str">
        <f t="shared" ca="1" si="85"/>
        <v>BB1606</v>
      </c>
      <c r="B235" s="3">
        <f t="shared" ca="1" si="81"/>
        <v>42170</v>
      </c>
      <c r="C235" s="3">
        <f t="shared" ca="1" si="82"/>
        <v>42535</v>
      </c>
      <c r="D235" s="3">
        <f t="shared" ca="1" si="83"/>
        <v>42510</v>
      </c>
      <c r="E235" s="3">
        <f t="shared" ca="1" si="84"/>
        <v>42522</v>
      </c>
    </row>
    <row r="236" spans="1:5" x14ac:dyDescent="0.15">
      <c r="A236" t="str">
        <f t="shared" ca="1" si="85"/>
        <v>BB1607</v>
      </c>
      <c r="B236" s="3">
        <f t="shared" ca="1" si="81"/>
        <v>42200</v>
      </c>
      <c r="C236" s="3">
        <f t="shared" ca="1" si="82"/>
        <v>42565</v>
      </c>
      <c r="D236" s="3">
        <f t="shared" ca="1" si="83"/>
        <v>42542</v>
      </c>
      <c r="E236" s="3">
        <f t="shared" ca="1" si="84"/>
        <v>42552</v>
      </c>
    </row>
    <row r="237" spans="1:5" x14ac:dyDescent="0.15">
      <c r="A237" t="str">
        <f t="shared" ca="1" si="85"/>
        <v>BB1608</v>
      </c>
      <c r="B237" s="3">
        <f t="shared" ca="1" si="81"/>
        <v>42233</v>
      </c>
      <c r="C237" s="3">
        <f t="shared" ca="1" si="82"/>
        <v>42594</v>
      </c>
      <c r="D237" s="3">
        <f t="shared" ca="1" si="83"/>
        <v>42572</v>
      </c>
      <c r="E237" s="3">
        <f t="shared" ca="1" si="84"/>
        <v>42583</v>
      </c>
    </row>
    <row r="240" spans="1:5" x14ac:dyDescent="0.15">
      <c r="A240" t="s">
        <v>74</v>
      </c>
      <c r="D240" s="6">
        <v>0.1</v>
      </c>
      <c r="E240" s="6">
        <v>0.2</v>
      </c>
    </row>
    <row r="241" spans="1:5" x14ac:dyDescent="0.15">
      <c r="B241" t="s">
        <v>46</v>
      </c>
      <c r="C241" t="s">
        <v>1</v>
      </c>
      <c r="D241" s="32" t="s">
        <v>88</v>
      </c>
      <c r="E241" t="s">
        <v>18</v>
      </c>
    </row>
    <row r="242" spans="1:5" x14ac:dyDescent="0.15">
      <c r="A242" t="str">
        <f ca="1">"PP"&amp;IF(TEXT(IF(TODAY()&gt;WORKDAY(DATE(YEAR(TODAY()),MONTH(TODAY()),0),10,Holiday),DATE(YEAR(TODAY()),MONTH(TODAY())+1,10),DATE(YEAR(TODAY()),MONTH(TODAY()),10)),"yymm")*1&gt;1405,TEXT(IF(TODAY()&gt;WORKDAY(DATE(YEAR(TODAY()),MONTH(TODAY()),0),10,Holiday),DATE(YEAR(TODAY()),MONTH(TODAY())+1,10),DATE(YEAR(TODAY()),MONTH(TODAY()),10)),"yymm"),"1405")</f>
        <v>PP1507</v>
      </c>
      <c r="B242" s="3">
        <f t="shared" ref="B242:B255" ca="1" si="86">IF(RIGHT(A242,4)*1&lt;1503,DATE(2014,2,28),WORKDAY(WORKDAY(DATE("20"&amp;MID(A242,3,2),RIGHT(A242,2)-12,0),10,Holiday),1,Holiday))</f>
        <v>41835</v>
      </c>
      <c r="C242" s="3">
        <f ca="1">WORKDAY(DATE("20"&amp;MID(A242,3,2),RIGHT(A242,2),0),10,Holiday)</f>
        <v>42199</v>
      </c>
      <c r="D242" s="3">
        <f t="shared" ref="D242:D255" ca="1" si="87">WORKDAY(DATE("20"&amp;MID(A242,3,2),RIGHT(A242,2)-1,0),15,Holiday)</f>
        <v>42174</v>
      </c>
      <c r="E242" s="3">
        <f t="shared" ref="E242:E255" ca="1" si="88">WORKDAY(DATE("20"&amp;MID(A242,3,2),RIGHT(A242,2),0),1,Holiday)</f>
        <v>42186</v>
      </c>
    </row>
    <row r="243" spans="1:5" x14ac:dyDescent="0.15">
      <c r="A243" t="str">
        <f ca="1">"PP"&amp;TEXT(DATE("20"&amp;MID(A242,LEN(A242)-3,2),RIGHT(A242,2)+1,"10"),"yymm")</f>
        <v>PP1508</v>
      </c>
      <c r="B243" s="3">
        <f t="shared" ca="1" si="86"/>
        <v>41866</v>
      </c>
      <c r="C243" s="3">
        <f t="shared" ref="C243:C255" ca="1" si="89">WORKDAY(DATE("20"&amp;MID(A243,3,2),RIGHT(A243,2),0),10,Holiday)</f>
        <v>42230</v>
      </c>
      <c r="D243" s="3">
        <f t="shared" ca="1" si="87"/>
        <v>42206</v>
      </c>
      <c r="E243" s="3">
        <f t="shared" ca="1" si="88"/>
        <v>42219</v>
      </c>
    </row>
    <row r="244" spans="1:5" x14ac:dyDescent="0.15">
      <c r="A244" t="str">
        <f t="shared" ref="A244:A255" ca="1" si="90">"PP"&amp;TEXT(DATE("20"&amp;MID(A243,LEN(A243)-3,2),RIGHT(A243,2)+1,"10"),"yymm")</f>
        <v>PP1509</v>
      </c>
      <c r="B244" s="3">
        <f t="shared" ca="1" si="86"/>
        <v>41898</v>
      </c>
      <c r="C244" s="3">
        <f t="shared" ca="1" si="89"/>
        <v>42263</v>
      </c>
      <c r="D244" s="3">
        <f t="shared" ca="1" si="87"/>
        <v>42237</v>
      </c>
      <c r="E244" s="3">
        <f t="shared" ca="1" si="88"/>
        <v>42248</v>
      </c>
    </row>
    <row r="245" spans="1:5" x14ac:dyDescent="0.15">
      <c r="A245" t="str">
        <f t="shared" ca="1" si="90"/>
        <v>PP1510</v>
      </c>
      <c r="B245" s="3">
        <f t="shared" ca="1" si="86"/>
        <v>41934</v>
      </c>
      <c r="C245" s="3">
        <f t="shared" ca="1" si="89"/>
        <v>42298</v>
      </c>
      <c r="D245" s="3">
        <f t="shared" ca="1" si="87"/>
        <v>42270</v>
      </c>
      <c r="E245" s="3">
        <f t="shared" ca="1" si="88"/>
        <v>42285</v>
      </c>
    </row>
    <row r="246" spans="1:5" x14ac:dyDescent="0.15">
      <c r="A246" t="str">
        <f t="shared" ca="1" si="90"/>
        <v>PP1511</v>
      </c>
      <c r="B246" s="3">
        <f t="shared" ca="1" si="86"/>
        <v>41960</v>
      </c>
      <c r="C246" s="3">
        <f t="shared" ca="1" si="89"/>
        <v>42321</v>
      </c>
      <c r="D246" s="3">
        <f t="shared" ca="1" si="87"/>
        <v>42305</v>
      </c>
      <c r="E246" s="3">
        <f t="shared" ca="1" si="88"/>
        <v>42310</v>
      </c>
    </row>
    <row r="247" spans="1:5" x14ac:dyDescent="0.15">
      <c r="A247" t="str">
        <f t="shared" ca="1" si="90"/>
        <v>PP1512</v>
      </c>
      <c r="B247" s="3">
        <f t="shared" ca="1" si="86"/>
        <v>41988</v>
      </c>
      <c r="C247" s="3">
        <f t="shared" ca="1" si="89"/>
        <v>42352</v>
      </c>
      <c r="D247" s="3">
        <f t="shared" ca="1" si="87"/>
        <v>42328</v>
      </c>
      <c r="E247" s="3">
        <f t="shared" ca="1" si="88"/>
        <v>42339</v>
      </c>
    </row>
    <row r="248" spans="1:5" x14ac:dyDescent="0.15">
      <c r="A248" t="str">
        <f t="shared" ca="1" si="90"/>
        <v>PP1601</v>
      </c>
      <c r="B248" s="3">
        <f t="shared" ca="1" si="86"/>
        <v>42023</v>
      </c>
      <c r="C248" s="3">
        <f t="shared" ca="1" si="89"/>
        <v>42383</v>
      </c>
      <c r="D248" s="3">
        <f t="shared" ca="1" si="87"/>
        <v>42359</v>
      </c>
      <c r="E248" s="3">
        <f t="shared" ca="1" si="88"/>
        <v>42370</v>
      </c>
    </row>
    <row r="249" spans="1:5" x14ac:dyDescent="0.15">
      <c r="A249" t="str">
        <f t="shared" ca="1" si="90"/>
        <v>PP1602</v>
      </c>
      <c r="B249" s="3">
        <f t="shared" ca="1" si="86"/>
        <v>42051</v>
      </c>
      <c r="C249" s="3">
        <f t="shared" ca="1" si="89"/>
        <v>42412</v>
      </c>
      <c r="D249" s="3">
        <f t="shared" ca="1" si="87"/>
        <v>42390</v>
      </c>
      <c r="E249" s="3">
        <f t="shared" ca="1" si="88"/>
        <v>42401</v>
      </c>
    </row>
    <row r="250" spans="1:5" x14ac:dyDescent="0.15">
      <c r="A250" t="str">
        <f t="shared" ca="1" si="90"/>
        <v>PP1603</v>
      </c>
      <c r="B250" s="3">
        <f t="shared" ca="1" si="86"/>
        <v>42079</v>
      </c>
      <c r="C250" s="3">
        <f t="shared" ca="1" si="89"/>
        <v>42443</v>
      </c>
      <c r="D250" s="3">
        <f t="shared" ca="1" si="87"/>
        <v>42419</v>
      </c>
      <c r="E250" s="3">
        <f t="shared" ca="1" si="88"/>
        <v>42430</v>
      </c>
    </row>
    <row r="251" spans="1:5" x14ac:dyDescent="0.15">
      <c r="A251" t="str">
        <f t="shared" ca="1" si="90"/>
        <v>PP1604</v>
      </c>
      <c r="B251" s="3">
        <f t="shared" ca="1" si="86"/>
        <v>42110</v>
      </c>
      <c r="C251" s="3">
        <f t="shared" ca="1" si="89"/>
        <v>42474</v>
      </c>
      <c r="D251" s="3">
        <f t="shared" ca="1" si="87"/>
        <v>42450</v>
      </c>
      <c r="E251" s="3">
        <f t="shared" ca="1" si="88"/>
        <v>42461</v>
      </c>
    </row>
    <row r="252" spans="1:5" x14ac:dyDescent="0.15">
      <c r="A252" t="str">
        <f t="shared" ca="1" si="90"/>
        <v>PP1605</v>
      </c>
      <c r="B252" s="3">
        <f t="shared" ca="1" si="86"/>
        <v>42142</v>
      </c>
      <c r="C252" s="3">
        <f t="shared" ca="1" si="89"/>
        <v>42503</v>
      </c>
      <c r="D252" s="3">
        <f t="shared" ca="1" si="87"/>
        <v>42481</v>
      </c>
      <c r="E252" s="3">
        <f t="shared" ca="1" si="88"/>
        <v>42492</v>
      </c>
    </row>
    <row r="253" spans="1:5" x14ac:dyDescent="0.15">
      <c r="A253" t="str">
        <f t="shared" ca="1" si="90"/>
        <v>PP1606</v>
      </c>
      <c r="B253" s="3">
        <f t="shared" ca="1" si="86"/>
        <v>42170</v>
      </c>
      <c r="C253" s="3">
        <f t="shared" ca="1" si="89"/>
        <v>42535</v>
      </c>
      <c r="D253" s="3">
        <f t="shared" ca="1" si="87"/>
        <v>42510</v>
      </c>
      <c r="E253" s="3">
        <f t="shared" ca="1" si="88"/>
        <v>42522</v>
      </c>
    </row>
    <row r="254" spans="1:5" x14ac:dyDescent="0.15">
      <c r="A254" t="str">
        <f t="shared" ca="1" si="90"/>
        <v>PP1607</v>
      </c>
      <c r="B254" s="3">
        <f t="shared" ca="1" si="86"/>
        <v>42200</v>
      </c>
      <c r="C254" s="3">
        <f t="shared" ca="1" si="89"/>
        <v>42565</v>
      </c>
      <c r="D254" s="3">
        <f t="shared" ca="1" si="87"/>
        <v>42542</v>
      </c>
      <c r="E254" s="3">
        <f t="shared" ca="1" si="88"/>
        <v>42552</v>
      </c>
    </row>
    <row r="255" spans="1:5" x14ac:dyDescent="0.15">
      <c r="A255" t="str">
        <f t="shared" ca="1" si="90"/>
        <v>PP1608</v>
      </c>
      <c r="B255" s="3">
        <f t="shared" ca="1" si="86"/>
        <v>42233</v>
      </c>
      <c r="C255" s="3">
        <f t="shared" ca="1" si="89"/>
        <v>42594</v>
      </c>
      <c r="D255" s="3">
        <f t="shared" ca="1" si="87"/>
        <v>42572</v>
      </c>
      <c r="E255" s="3">
        <f t="shared" ca="1" si="88"/>
        <v>42583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228"/>
  <sheetViews>
    <sheetView topLeftCell="A19" zoomScale="90" zoomScaleNormal="90" workbookViewId="0">
      <selection activeCell="D41" sqref="D41"/>
    </sheetView>
  </sheetViews>
  <sheetFormatPr defaultRowHeight="16.5" x14ac:dyDescent="0.15"/>
  <cols>
    <col min="1" max="1" width="9.625" style="16" customWidth="1"/>
    <col min="2" max="2" width="17.875" style="16" bestFit="1" customWidth="1"/>
    <col min="3" max="5" width="25.625" style="7" customWidth="1"/>
    <col min="6" max="6" width="25.625" customWidth="1"/>
    <col min="25" max="25" width="9" hidden="1" customWidth="1"/>
  </cols>
  <sheetData>
    <row r="1" spans="1:25" x14ac:dyDescent="0.15">
      <c r="A1" s="48" t="str">
        <f>"普麦PM"&amp;TEXT(普麦PM,"#%")</f>
        <v>普麦PM5%</v>
      </c>
      <c r="B1" s="49"/>
      <c r="C1" s="49"/>
      <c r="D1" s="49"/>
      <c r="E1" s="49"/>
      <c r="Y1" t="str">
        <f ca="1">IFERROR(IF(AND(B1+0&gt;TODAY(),B1+0&lt;DATE(YEAR(TODAY()),MONTH(TODAY())+1,DAY(TODAY()))),ROW(),""),"")</f>
        <v/>
      </c>
    </row>
    <row r="2" spans="1:25" ht="17.25" thickBot="1" x14ac:dyDescent="0.2">
      <c r="A2" s="20"/>
      <c r="B2" s="31" t="s">
        <v>47</v>
      </c>
      <c r="C2" s="24" t="s">
        <v>1</v>
      </c>
      <c r="D2" s="10">
        <v>0.1</v>
      </c>
      <c r="E2" s="10">
        <v>0.2</v>
      </c>
      <c r="Y2" t="str">
        <f t="shared" ref="Y2:Y65" ca="1" si="0">IFERROR(IF(AND(B2+0&gt;TODAY(),B2+0&lt;DATE(YEAR(TODAY()),MONTH(TODAY())+1,DAY(TODAY()))),ROW(),""),"")</f>
        <v/>
      </c>
    </row>
    <row r="3" spans="1:25" x14ac:dyDescent="0.15">
      <c r="A3" s="21" t="str">
        <f ca="1">"PM"&amp;TEXT(DATE(YEAR(TODAY()),ODD(MONTH(TODAY())+IF(TODAY()&gt;WORKDAY(DATE(YEAR(TODAY()),ODD(MONTH(TODAY())),0),10,Holiday),1,0)),1),"yymm")</f>
        <v>PM1507</v>
      </c>
      <c r="B3" s="11">
        <f t="shared" ref="B3:B10" ca="1" si="1">WORKDAY(WORKDAY(DATE("20"&amp;MID(A3,3,2),RIGHT(A3,2)-12,0),10,Holiday),1,Holiday)</f>
        <v>41835</v>
      </c>
      <c r="C3" s="11">
        <f t="shared" ref="C3:C10" ca="1" si="2">WORKDAY(DATE("20"&amp;MID(A3,3,2),RIGHT(A3,2),0),10,Holiday)</f>
        <v>42199</v>
      </c>
      <c r="D3" s="11">
        <f ca="1">IF(CTP=1,郑州商品交易所!D3+1,WORKDAY(郑州商品交易所!D3,1-全局参数,Holiday))</f>
        <v>42170</v>
      </c>
      <c r="E3" s="11">
        <f ca="1">IF(CTP=1,郑州商品交易所!E3+1,WORKDAY(郑州商品交易所!E3,1-全局参数,Holiday))</f>
        <v>42185</v>
      </c>
      <c r="Y3" t="str">
        <f t="shared" ca="1" si="0"/>
        <v/>
      </c>
    </row>
    <row r="4" spans="1:25" x14ac:dyDescent="0.15">
      <c r="A4" s="22" t="str">
        <f ca="1">"PM"&amp;TEXT(DATE("20"&amp;MID(A3,3,2),RIGHT(A3,2)+2,10),"yymm")</f>
        <v>PM1509</v>
      </c>
      <c r="B4" s="12">
        <f t="shared" ca="1" si="1"/>
        <v>41898</v>
      </c>
      <c r="C4" s="12">
        <f t="shared" ca="1" si="2"/>
        <v>42263</v>
      </c>
      <c r="D4" s="12">
        <f ca="1">IF(CTP=1,郑州商品交易所!D4+1,WORKDAY(郑州商品交易所!D4,1-全局参数,Holiday))</f>
        <v>42230</v>
      </c>
      <c r="E4" s="12">
        <f ca="1">IF(CTP=1,郑州商品交易所!E4+1,WORKDAY(郑州商品交易所!E4,1-全局参数,Holiday))</f>
        <v>42247</v>
      </c>
      <c r="Y4" t="str">
        <f t="shared" ca="1" si="0"/>
        <v/>
      </c>
    </row>
    <row r="5" spans="1:25" x14ac:dyDescent="0.15">
      <c r="A5" s="21" t="str">
        <f t="shared" ref="A5:A10" ca="1" si="3">"PM"&amp;TEXT(DATE("20"&amp;MID(A4,3,2),RIGHT(A4,2)+2,10),"yymm")</f>
        <v>PM1511</v>
      </c>
      <c r="B5" s="11">
        <f t="shared" ca="1" si="1"/>
        <v>41960</v>
      </c>
      <c r="C5" s="11">
        <f t="shared" ca="1" si="2"/>
        <v>42321</v>
      </c>
      <c r="D5" s="11">
        <f ca="1">IF(CTP=1,郑州商品交易所!D5+1,WORKDAY(郑州商品交易所!D5,1-全局参数,Holiday))</f>
        <v>42292</v>
      </c>
      <c r="E5" s="11">
        <f ca="1">IF(CTP=1,郑州商品交易所!E5+1,WORKDAY(郑州商品交易所!E5,1-全局参数,Holiday))</f>
        <v>42307</v>
      </c>
      <c r="Y5" t="str">
        <f t="shared" ca="1" si="0"/>
        <v/>
      </c>
    </row>
    <row r="6" spans="1:25" x14ac:dyDescent="0.15">
      <c r="A6" s="22" t="str">
        <f t="shared" ca="1" si="3"/>
        <v>PM1601</v>
      </c>
      <c r="B6" s="12">
        <f t="shared" ca="1" si="1"/>
        <v>42023</v>
      </c>
      <c r="C6" s="12">
        <f t="shared" ca="1" si="2"/>
        <v>42383</v>
      </c>
      <c r="D6" s="12">
        <f ca="1">IF(CTP=1,郑州商品交易所!D6+1,WORKDAY(郑州商品交易所!D6,1-全局参数,Holiday))</f>
        <v>42353</v>
      </c>
      <c r="E6" s="12">
        <f ca="1">IF(CTP=1,郑州商品交易所!E6+1,WORKDAY(郑州商品交易所!E6,1-全局参数,Holiday))</f>
        <v>42369</v>
      </c>
      <c r="Y6" t="str">
        <f t="shared" ca="1" si="0"/>
        <v/>
      </c>
    </row>
    <row r="7" spans="1:25" x14ac:dyDescent="0.15">
      <c r="A7" s="21" t="str">
        <f t="shared" ca="1" si="3"/>
        <v>PM1603</v>
      </c>
      <c r="B7" s="11">
        <f t="shared" ca="1" si="1"/>
        <v>42079</v>
      </c>
      <c r="C7" s="11">
        <f t="shared" ca="1" si="2"/>
        <v>42443</v>
      </c>
      <c r="D7" s="11">
        <f ca="1">IF(CTP=1,郑州商品交易所!D7+1,WORKDAY(郑州商品交易所!D7,1-全局参数,Holiday))</f>
        <v>42415</v>
      </c>
      <c r="E7" s="11">
        <f ca="1">IF(CTP=1,郑州商品交易所!E7+1,WORKDAY(郑州商品交易所!E7,1-全局参数,Holiday))</f>
        <v>42429</v>
      </c>
      <c r="Y7" t="str">
        <f t="shared" ca="1" si="0"/>
        <v/>
      </c>
    </row>
    <row r="8" spans="1:25" x14ac:dyDescent="0.15">
      <c r="A8" s="22" t="str">
        <f t="shared" ca="1" si="3"/>
        <v>PM1605</v>
      </c>
      <c r="B8" s="12">
        <f t="shared" ca="1" si="1"/>
        <v>42142</v>
      </c>
      <c r="C8" s="12">
        <f t="shared" ca="1" si="2"/>
        <v>42503</v>
      </c>
      <c r="D8" s="12">
        <f ca="1">IF(CTP=1,郑州商品交易所!D8+1,WORKDAY(郑州商品交易所!D8,1-全局参数,Holiday))</f>
        <v>42475</v>
      </c>
      <c r="E8" s="12">
        <f ca="1">IF(CTP=1,郑州商品交易所!E8+1,WORKDAY(郑州商品交易所!E8,1-全局参数,Holiday))</f>
        <v>42489</v>
      </c>
      <c r="Y8" t="str">
        <f t="shared" ca="1" si="0"/>
        <v/>
      </c>
    </row>
    <row r="9" spans="1:25" x14ac:dyDescent="0.15">
      <c r="A9" s="21" t="str">
        <f t="shared" ca="1" si="3"/>
        <v>PM1607</v>
      </c>
      <c r="B9" s="11">
        <f t="shared" ca="1" si="1"/>
        <v>42200</v>
      </c>
      <c r="C9" s="11">
        <f t="shared" ca="1" si="2"/>
        <v>42565</v>
      </c>
      <c r="D9" s="11">
        <f ca="1">IF(CTP=1,郑州商品交易所!D9+1,WORKDAY(郑州商品交易所!D9,1-全局参数,Holiday))</f>
        <v>42536</v>
      </c>
      <c r="E9" s="11">
        <f ca="1">IF(CTP=1,郑州商品交易所!E9+1,WORKDAY(郑州商品交易所!E9,1-全局参数,Holiday))</f>
        <v>42551</v>
      </c>
      <c r="Y9">
        <f t="shared" ca="1" si="0"/>
        <v>9</v>
      </c>
    </row>
    <row r="10" spans="1:25" x14ac:dyDescent="0.15">
      <c r="A10" s="22" t="str">
        <f t="shared" ca="1" si="3"/>
        <v>PM1609</v>
      </c>
      <c r="B10" s="12">
        <f t="shared" ca="1" si="1"/>
        <v>42264</v>
      </c>
      <c r="C10" s="12">
        <f t="shared" ca="1" si="2"/>
        <v>42627</v>
      </c>
      <c r="D10" s="12">
        <f ca="1">IF(CTP=1,郑州商品交易所!D10+1,WORKDAY(郑州商品交易所!D10,1-全局参数,Holiday))</f>
        <v>42597</v>
      </c>
      <c r="E10" s="12">
        <f ca="1">IF(CTP=1,郑州商品交易所!E10+1,WORKDAY(郑州商品交易所!E10,1-全局参数,Holiday))</f>
        <v>42613</v>
      </c>
      <c r="Y10" t="str">
        <f t="shared" ca="1" si="0"/>
        <v/>
      </c>
    </row>
    <row r="11" spans="1:25" x14ac:dyDescent="0.15">
      <c r="A11" s="23"/>
      <c r="B11" s="23"/>
      <c r="C11" s="15"/>
      <c r="D11" s="15"/>
      <c r="E11" s="15"/>
      <c r="Y11" t="str">
        <f t="shared" ca="1" si="0"/>
        <v/>
      </c>
    </row>
    <row r="12" spans="1:25" x14ac:dyDescent="0.15">
      <c r="A12" s="23"/>
      <c r="B12" s="23"/>
      <c r="C12" s="15"/>
      <c r="D12" s="15"/>
      <c r="E12" s="15"/>
      <c r="Y12" t="str">
        <f t="shared" ca="1" si="0"/>
        <v/>
      </c>
    </row>
    <row r="13" spans="1:25" x14ac:dyDescent="0.15">
      <c r="A13" s="48" t="str">
        <f>"强麦WH"&amp;TEXT(强麦WH,"#%")</f>
        <v>强麦WH5%</v>
      </c>
      <c r="B13" s="49"/>
      <c r="C13" s="49"/>
      <c r="D13" s="49"/>
      <c r="E13" s="49"/>
      <c r="Y13" t="str">
        <f t="shared" ca="1" si="0"/>
        <v/>
      </c>
    </row>
    <row r="14" spans="1:25" ht="17.25" thickBot="1" x14ac:dyDescent="0.2">
      <c r="A14" s="20"/>
      <c r="B14" s="31" t="s">
        <v>47</v>
      </c>
      <c r="C14" s="13" t="s">
        <v>1</v>
      </c>
      <c r="D14" s="10">
        <v>0.1</v>
      </c>
      <c r="E14" s="10">
        <v>0.2</v>
      </c>
      <c r="Y14" t="str">
        <f t="shared" ca="1" si="0"/>
        <v/>
      </c>
    </row>
    <row r="15" spans="1:25" x14ac:dyDescent="0.15">
      <c r="A15" s="21" t="str">
        <f ca="1">IF(TODAY()&gt;DATE(2013,5,23),"WH"&amp;TEXT(DATE(YEAR(TODAY()),ODD(MONTH(TODAY())+IF(TODAY()&gt;WORKDAY(DATE(YEAR(TODAY()),ODD(MONTH(TODAY())),0),10,Holiday),1,0)),10),"yymm"),"WS"&amp;TEXT(DATE(YEAR(TODAY()),ODD(MONTH(TODAY())+IF(TODAY()&gt;WORKDAY(DATE(YEAR(TODAY()),ODD(MONTH(TODAY()))+1,1),-7,Holiday),1,0)),7),"YYMM"))</f>
        <v>WH1507</v>
      </c>
      <c r="B15" s="11">
        <f t="shared" ref="B15:B22" ca="1" si="4">WORKDAY(IF(VALUE(RIGHT(A15,4))-1405&gt;0,WORKDAY(DATE("20"&amp;MID(A15,3,2),RIGHT(A15,2)-12,0),10,Holiday),WORKDAY(DATE("20"&amp;MID(A15,3,2)-1,RIGHT(A15,2)+1,1),-7,Holiday)),1,Holiday)</f>
        <v>41835</v>
      </c>
      <c r="C15" s="11">
        <f t="shared" ref="C15:C22" ca="1" si="5">IF(VALUE(RIGHT(A15,4))-1307&gt;=0,WORKDAY(DATE("20"&amp;MID(A15,3,2),RIGHT(A15,2),0),10,Holiday),WORKDAY(DATE("20"&amp;MID(A15,3,2),RIGHT(A15,2)+1,1),-7,Holiday))</f>
        <v>42199</v>
      </c>
      <c r="D15" s="11">
        <f ca="1">IF(CTP=1,郑州商品交易所!D15+1,WORKDAY(郑州商品交易所!D15,1-全局参数,Holiday))</f>
        <v>42170</v>
      </c>
      <c r="E15" s="11">
        <f ca="1">IF(CTP=1,郑州商品交易所!E15+1,WORKDAY(郑州商品交易所!E15,1-全局参数,Holiday))</f>
        <v>42185</v>
      </c>
      <c r="Y15" t="str">
        <f t="shared" ca="1" si="0"/>
        <v/>
      </c>
    </row>
    <row r="16" spans="1:25" x14ac:dyDescent="0.15">
      <c r="A16" s="22" t="str">
        <f ca="1">IF(VALUE(TEXT(DATE("20"&amp;MID(A15,3,2),RIGHT(A15,2)+2,10),"yymm"))-1307&gt;=0,"WH","WS")&amp;TEXT(DATE("20"&amp;MID(A15,3,2),RIGHT(A15,2)+2,10),"yymm")</f>
        <v>WH1509</v>
      </c>
      <c r="B16" s="12">
        <f t="shared" ca="1" si="4"/>
        <v>41898</v>
      </c>
      <c r="C16" s="12">
        <f t="shared" ca="1" si="5"/>
        <v>42263</v>
      </c>
      <c r="D16" s="12">
        <f ca="1">IF(CTP=1,郑州商品交易所!D16+1,WORKDAY(郑州商品交易所!D16,1-全局参数,Holiday))</f>
        <v>42230</v>
      </c>
      <c r="E16" s="12">
        <f ca="1">IF(CTP=1,郑州商品交易所!E16+1,WORKDAY(郑州商品交易所!E16,1-全局参数,Holiday))</f>
        <v>42247</v>
      </c>
      <c r="Y16" t="str">
        <f t="shared" ca="1" si="0"/>
        <v/>
      </c>
    </row>
    <row r="17" spans="1:25" x14ac:dyDescent="0.15">
      <c r="A17" s="21" t="str">
        <f t="shared" ref="A17:A22" ca="1" si="6">IF(VALUE(TEXT(DATE("20"&amp;MID(A16,3,2),RIGHT(A16,2)+2,10),"yymm"))-1307&gt;=0,"WH","WS")&amp;TEXT(DATE("20"&amp;MID(A16,3,2),RIGHT(A16,2)+2,10),"yymm")</f>
        <v>WH1511</v>
      </c>
      <c r="B17" s="11">
        <f t="shared" ca="1" si="4"/>
        <v>41960</v>
      </c>
      <c r="C17" s="11">
        <f t="shared" ca="1" si="5"/>
        <v>42321</v>
      </c>
      <c r="D17" s="11">
        <f ca="1">IF(CTP=1,郑州商品交易所!D17+1,WORKDAY(郑州商品交易所!D17,1-全局参数,Holiday))</f>
        <v>42292</v>
      </c>
      <c r="E17" s="11">
        <f ca="1">IF(CTP=1,郑州商品交易所!E17+1,WORKDAY(郑州商品交易所!E17,1-全局参数,Holiday))</f>
        <v>42307</v>
      </c>
      <c r="Y17" t="str">
        <f t="shared" ca="1" si="0"/>
        <v/>
      </c>
    </row>
    <row r="18" spans="1:25" x14ac:dyDescent="0.15">
      <c r="A18" s="22" t="str">
        <f t="shared" ca="1" si="6"/>
        <v>WH1601</v>
      </c>
      <c r="B18" s="12">
        <f t="shared" ca="1" si="4"/>
        <v>42023</v>
      </c>
      <c r="C18" s="12">
        <f t="shared" ca="1" si="5"/>
        <v>42383</v>
      </c>
      <c r="D18" s="12">
        <f ca="1">IF(CTP=1,郑州商品交易所!D18+1,WORKDAY(郑州商品交易所!D18,1-全局参数,Holiday))</f>
        <v>42353</v>
      </c>
      <c r="E18" s="12">
        <f ca="1">IF(CTP=1,郑州商品交易所!E18+1,WORKDAY(郑州商品交易所!E18,1-全局参数,Holiday))</f>
        <v>42369</v>
      </c>
      <c r="Y18" t="str">
        <f t="shared" ca="1" si="0"/>
        <v/>
      </c>
    </row>
    <row r="19" spans="1:25" x14ac:dyDescent="0.15">
      <c r="A19" s="21" t="str">
        <f t="shared" ca="1" si="6"/>
        <v>WH1603</v>
      </c>
      <c r="B19" s="11">
        <f t="shared" ca="1" si="4"/>
        <v>42079</v>
      </c>
      <c r="C19" s="11">
        <f t="shared" ca="1" si="5"/>
        <v>42443</v>
      </c>
      <c r="D19" s="11">
        <f ca="1">IF(CTP=1,郑州商品交易所!D19+1,WORKDAY(郑州商品交易所!D19,1-全局参数,Holiday))</f>
        <v>42415</v>
      </c>
      <c r="E19" s="11">
        <f ca="1">IF(CTP=1,郑州商品交易所!E19+1,WORKDAY(郑州商品交易所!E19,1-全局参数,Holiday))</f>
        <v>42429</v>
      </c>
      <c r="Y19" t="str">
        <f t="shared" ca="1" si="0"/>
        <v/>
      </c>
    </row>
    <row r="20" spans="1:25" x14ac:dyDescent="0.15">
      <c r="A20" s="22" t="str">
        <f t="shared" ca="1" si="6"/>
        <v>WH1605</v>
      </c>
      <c r="B20" s="12">
        <f t="shared" ca="1" si="4"/>
        <v>42142</v>
      </c>
      <c r="C20" s="12">
        <f t="shared" ca="1" si="5"/>
        <v>42503</v>
      </c>
      <c r="D20" s="12">
        <f ca="1">IF(CTP=1,郑州商品交易所!D20+1,WORKDAY(郑州商品交易所!D20,1-全局参数,Holiday))</f>
        <v>42475</v>
      </c>
      <c r="E20" s="12">
        <f ca="1">IF(CTP=1,郑州商品交易所!E20+1,WORKDAY(郑州商品交易所!E20,1-全局参数,Holiday))</f>
        <v>42489</v>
      </c>
      <c r="Y20" t="str">
        <f t="shared" ca="1" si="0"/>
        <v/>
      </c>
    </row>
    <row r="21" spans="1:25" x14ac:dyDescent="0.15">
      <c r="A21" s="21" t="str">
        <f t="shared" ca="1" si="6"/>
        <v>WH1607</v>
      </c>
      <c r="B21" s="11">
        <f t="shared" ca="1" si="4"/>
        <v>42200</v>
      </c>
      <c r="C21" s="11">
        <f t="shared" ca="1" si="5"/>
        <v>42565</v>
      </c>
      <c r="D21" s="11">
        <f ca="1">IF(CTP=1,郑州商品交易所!D21+1,WORKDAY(郑州商品交易所!D21,1-全局参数,Holiday))</f>
        <v>42536</v>
      </c>
      <c r="E21" s="11">
        <f ca="1">IF(CTP=1,郑州商品交易所!E21+1,WORKDAY(郑州商品交易所!E21,1-全局参数,Holiday))</f>
        <v>42551</v>
      </c>
      <c r="Y21">
        <f t="shared" ca="1" si="0"/>
        <v>21</v>
      </c>
    </row>
    <row r="22" spans="1:25" x14ac:dyDescent="0.15">
      <c r="A22" s="22" t="str">
        <f t="shared" ca="1" si="6"/>
        <v>WH1609</v>
      </c>
      <c r="B22" s="12">
        <f t="shared" ca="1" si="4"/>
        <v>42264</v>
      </c>
      <c r="C22" s="12">
        <f t="shared" ca="1" si="5"/>
        <v>42627</v>
      </c>
      <c r="D22" s="12">
        <f ca="1">IF(CTP=1,郑州商品交易所!D22+1,WORKDAY(郑州商品交易所!D22,1-全局参数,Holiday))</f>
        <v>42597</v>
      </c>
      <c r="E22" s="12">
        <f ca="1">IF(CTP=1,郑州商品交易所!E22+1,WORKDAY(郑州商品交易所!E22,1-全局参数,Holiday))</f>
        <v>42613</v>
      </c>
      <c r="Y22" t="str">
        <f t="shared" ca="1" si="0"/>
        <v/>
      </c>
    </row>
    <row r="23" spans="1:25" x14ac:dyDescent="0.15">
      <c r="A23" s="23"/>
      <c r="B23" s="23"/>
      <c r="C23" s="15"/>
      <c r="D23" s="15"/>
      <c r="E23" s="15"/>
      <c r="Y23" t="str">
        <f t="shared" ca="1" si="0"/>
        <v/>
      </c>
    </row>
    <row r="24" spans="1:25" x14ac:dyDescent="0.15">
      <c r="A24" s="23"/>
      <c r="B24" s="23"/>
      <c r="C24" s="15"/>
      <c r="D24" s="15"/>
      <c r="E24" s="15"/>
      <c r="Y24" t="str">
        <f t="shared" ca="1" si="0"/>
        <v/>
      </c>
    </row>
    <row r="25" spans="1:25" x14ac:dyDescent="0.15">
      <c r="A25" s="48" t="str">
        <f>"早籼稻RI"&amp;TEXT(早籼稻RI,"#%")</f>
        <v>早籼稻RI5%</v>
      </c>
      <c r="B25" s="49"/>
      <c r="C25" s="49"/>
      <c r="D25" s="49"/>
      <c r="E25" s="49"/>
      <c r="Y25" t="str">
        <f t="shared" ca="1" si="0"/>
        <v/>
      </c>
    </row>
    <row r="26" spans="1:25" ht="17.25" thickBot="1" x14ac:dyDescent="0.2">
      <c r="A26" s="20"/>
      <c r="B26" s="31" t="s">
        <v>47</v>
      </c>
      <c r="C26" s="13" t="s">
        <v>1</v>
      </c>
      <c r="D26" s="10">
        <v>0.1</v>
      </c>
      <c r="E26" s="10">
        <v>0.2</v>
      </c>
      <c r="Y26" t="str">
        <f t="shared" ca="1" si="0"/>
        <v/>
      </c>
    </row>
    <row r="27" spans="1:25" x14ac:dyDescent="0.15">
      <c r="A27" s="21" t="str">
        <f ca="1">IF(TODAY()&gt;DATE(2013,5,23),"RI"&amp;TEXT(DATE(YEAR(TODAY()),ODD(MONTH(TODAY())+IF(TODAY()&gt;WORKDAY(DATE(YEAR(TODAY()),ODD(MONTH(TODAY())),0),10,Holiday),1,0)),10),"yymm"),"ER"&amp;TEXT(DATE(YEAR(TODAY()),ODD(MONTH(TODAY())+IF(TODAY()&gt;WORKDAY(DATE(YEAR(TODAY()),ODD(MONTH(TODAY()))+1,1),-7,Holiday),1,0)),7),"YYMM"))</f>
        <v>RI1507</v>
      </c>
      <c r="B27" s="11">
        <f t="shared" ref="B27:B34" ca="1" si="7">WORKDAY(IF(VALUE(RIGHT(A27,4))-1405&gt;0,WORKDAY(DATE("20"&amp;MID(A27,3,2),RIGHT(A27,2)-12,0),10,Holiday),WORKDAY(DATE("20"&amp;MID(A27,3,2)-1,RIGHT(A27,2)+1,1),-7,Holiday)),1,Holiday)</f>
        <v>41835</v>
      </c>
      <c r="C27" s="11">
        <f t="shared" ref="C27:C34" ca="1" si="8">IF(VALUE(RIGHT(A15,4))-1307&gt;=0,WORKDAY(DATE("20"&amp;MID(A15,3,2),RIGHT(A15,2),0),10,Holiday),WORKDAY(DATE("20"&amp;MID(A15,3,2),RIGHT(A15,2)+1,1),-7,Holiday))</f>
        <v>42199</v>
      </c>
      <c r="D27" s="11">
        <f ca="1">IF(CTP=1,郑州商品交易所!D27+1,WORKDAY(郑州商品交易所!D27,1-全局参数,Holiday))</f>
        <v>42170</v>
      </c>
      <c r="E27" s="11">
        <f ca="1">IF(CTP=1,郑州商品交易所!E27+1,WORKDAY(郑州商品交易所!E27,1-全局参数,Holiday))</f>
        <v>42185</v>
      </c>
      <c r="Y27" t="str">
        <f t="shared" ca="1" si="0"/>
        <v/>
      </c>
    </row>
    <row r="28" spans="1:25" x14ac:dyDescent="0.15">
      <c r="A28" s="22" t="str">
        <f ca="1">IF(VALUE(TEXT(DATE("20"&amp;MID(A27,3,2),RIGHT(A27,2)+2,10),"yymm"))-1307&gt;=0,"RI","ER")&amp;TEXT(DATE("20"&amp;MID(A27,3,2),RIGHT(A27,2)+2,10),"yymm")</f>
        <v>RI1509</v>
      </c>
      <c r="B28" s="12">
        <f t="shared" ca="1" si="7"/>
        <v>41898</v>
      </c>
      <c r="C28" s="12">
        <f t="shared" ca="1" si="8"/>
        <v>42263</v>
      </c>
      <c r="D28" s="12">
        <f ca="1">IF(CTP=1,郑州商品交易所!D28+1,WORKDAY(郑州商品交易所!D28,1-全局参数,Holiday))</f>
        <v>42230</v>
      </c>
      <c r="E28" s="12">
        <f ca="1">IF(CTP=1,郑州商品交易所!E28+1,WORKDAY(郑州商品交易所!E28,1-全局参数,Holiday))</f>
        <v>42247</v>
      </c>
      <c r="Y28" t="str">
        <f t="shared" ca="1" si="0"/>
        <v/>
      </c>
    </row>
    <row r="29" spans="1:25" x14ac:dyDescent="0.15">
      <c r="A29" s="21" t="str">
        <f t="shared" ref="A29:A34" ca="1" si="9">IF(VALUE(TEXT(DATE("20"&amp;MID(A28,3,2),RIGHT(A28,2)+2,10),"yymm"))-1307&gt;=0,"RI","ER")&amp;TEXT(DATE("20"&amp;MID(A28,3,2),RIGHT(A28,2)+2,10),"yymm")</f>
        <v>RI1511</v>
      </c>
      <c r="B29" s="11">
        <f t="shared" ca="1" si="7"/>
        <v>41960</v>
      </c>
      <c r="C29" s="11">
        <f t="shared" ca="1" si="8"/>
        <v>42321</v>
      </c>
      <c r="D29" s="11">
        <f ca="1">IF(CTP=1,郑州商品交易所!D29+1,WORKDAY(郑州商品交易所!D29,1-全局参数,Holiday))</f>
        <v>42292</v>
      </c>
      <c r="E29" s="11">
        <f ca="1">IF(CTP=1,郑州商品交易所!E29+1,WORKDAY(郑州商品交易所!E29,1-全局参数,Holiday))</f>
        <v>42307</v>
      </c>
      <c r="Y29" t="str">
        <f t="shared" ca="1" si="0"/>
        <v/>
      </c>
    </row>
    <row r="30" spans="1:25" x14ac:dyDescent="0.15">
      <c r="A30" s="22" t="str">
        <f t="shared" ca="1" si="9"/>
        <v>RI1601</v>
      </c>
      <c r="B30" s="12">
        <f t="shared" ca="1" si="7"/>
        <v>42023</v>
      </c>
      <c r="C30" s="12">
        <f t="shared" ca="1" si="8"/>
        <v>42383</v>
      </c>
      <c r="D30" s="12">
        <f ca="1">IF(CTP=1,郑州商品交易所!D30+1,WORKDAY(郑州商品交易所!D30,1-全局参数,Holiday))</f>
        <v>42353</v>
      </c>
      <c r="E30" s="12">
        <f ca="1">IF(CTP=1,郑州商品交易所!E30+1,WORKDAY(郑州商品交易所!E30,1-全局参数,Holiday))</f>
        <v>42369</v>
      </c>
      <c r="Y30" t="str">
        <f t="shared" ca="1" si="0"/>
        <v/>
      </c>
    </row>
    <row r="31" spans="1:25" x14ac:dyDescent="0.15">
      <c r="A31" s="21" t="str">
        <f t="shared" ca="1" si="9"/>
        <v>RI1603</v>
      </c>
      <c r="B31" s="11">
        <f t="shared" ca="1" si="7"/>
        <v>42079</v>
      </c>
      <c r="C31" s="11">
        <f t="shared" ca="1" si="8"/>
        <v>42443</v>
      </c>
      <c r="D31" s="11">
        <f ca="1">IF(CTP=1,郑州商品交易所!D31+1,WORKDAY(郑州商品交易所!D31,1-全局参数,Holiday))</f>
        <v>42415</v>
      </c>
      <c r="E31" s="11">
        <f ca="1">IF(CTP=1,郑州商品交易所!E31+1,WORKDAY(郑州商品交易所!E31,1-全局参数,Holiday))</f>
        <v>42429</v>
      </c>
      <c r="Y31" t="str">
        <f t="shared" ca="1" si="0"/>
        <v/>
      </c>
    </row>
    <row r="32" spans="1:25" x14ac:dyDescent="0.15">
      <c r="A32" s="22" t="str">
        <f t="shared" ca="1" si="9"/>
        <v>RI1605</v>
      </c>
      <c r="B32" s="12">
        <f t="shared" ca="1" si="7"/>
        <v>42142</v>
      </c>
      <c r="C32" s="12">
        <f t="shared" ca="1" si="8"/>
        <v>42503</v>
      </c>
      <c r="D32" s="12">
        <f ca="1">IF(CTP=1,郑州商品交易所!D32+1,WORKDAY(郑州商品交易所!D32,1-全局参数,Holiday))</f>
        <v>42475</v>
      </c>
      <c r="E32" s="12">
        <f ca="1">IF(CTP=1,郑州商品交易所!E32+1,WORKDAY(郑州商品交易所!E32,1-全局参数,Holiday))</f>
        <v>42489</v>
      </c>
      <c r="Y32" t="str">
        <f t="shared" ca="1" si="0"/>
        <v/>
      </c>
    </row>
    <row r="33" spans="1:25" x14ac:dyDescent="0.15">
      <c r="A33" s="21" t="str">
        <f t="shared" ca="1" si="9"/>
        <v>RI1607</v>
      </c>
      <c r="B33" s="11">
        <f t="shared" ca="1" si="7"/>
        <v>42200</v>
      </c>
      <c r="C33" s="11">
        <f t="shared" ca="1" si="8"/>
        <v>42565</v>
      </c>
      <c r="D33" s="11">
        <f ca="1">IF(CTP=1,郑州商品交易所!D33+1,WORKDAY(郑州商品交易所!D33,1-全局参数,Holiday))</f>
        <v>42536</v>
      </c>
      <c r="E33" s="11">
        <f ca="1">IF(CTP=1,郑州商品交易所!E33+1,WORKDAY(郑州商品交易所!E33,1-全局参数,Holiday))</f>
        <v>42551</v>
      </c>
      <c r="Y33">
        <f t="shared" ca="1" si="0"/>
        <v>33</v>
      </c>
    </row>
    <row r="34" spans="1:25" x14ac:dyDescent="0.15">
      <c r="A34" s="22" t="str">
        <f t="shared" ca="1" si="9"/>
        <v>RI1609</v>
      </c>
      <c r="B34" s="12">
        <f t="shared" ca="1" si="7"/>
        <v>42264</v>
      </c>
      <c r="C34" s="12">
        <f t="shared" ca="1" si="8"/>
        <v>42627</v>
      </c>
      <c r="D34" s="12">
        <f ca="1">IF(CTP=1,郑州商品交易所!D34+1,WORKDAY(郑州商品交易所!D34,1-全局参数,Holiday))</f>
        <v>42597</v>
      </c>
      <c r="E34" s="12">
        <f ca="1">IF(CTP=1,郑州商品交易所!E34+1,WORKDAY(郑州商品交易所!E34,1-全局参数,Holiday))</f>
        <v>42613</v>
      </c>
      <c r="Y34" t="str">
        <f t="shared" ca="1" si="0"/>
        <v/>
      </c>
    </row>
    <row r="35" spans="1:25" x14ac:dyDescent="0.15">
      <c r="Y35" t="str">
        <f t="shared" ca="1" si="0"/>
        <v/>
      </c>
    </row>
    <row r="36" spans="1:25" ht="16.5" customHeight="1" x14ac:dyDescent="0.15">
      <c r="C36" s="17"/>
      <c r="D36" s="17"/>
      <c r="E36" s="17"/>
      <c r="Y36" t="str">
        <f t="shared" ca="1" si="0"/>
        <v/>
      </c>
    </row>
    <row r="37" spans="1:25" ht="16.5" customHeight="1" x14ac:dyDescent="0.15">
      <c r="A37" s="48" t="str">
        <f>"菜籽油OI"&amp;TEXT(菜籽油OI,"#%")</f>
        <v>菜籽油OI5%</v>
      </c>
      <c r="B37" s="49"/>
      <c r="C37" s="49"/>
      <c r="D37" s="49"/>
      <c r="E37" s="49"/>
      <c r="Y37" t="str">
        <f t="shared" ca="1" si="0"/>
        <v/>
      </c>
    </row>
    <row r="38" spans="1:25" ht="17.25" thickBot="1" x14ac:dyDescent="0.2">
      <c r="A38" s="20"/>
      <c r="B38" s="31" t="s">
        <v>47</v>
      </c>
      <c r="C38" s="9" t="s">
        <v>22</v>
      </c>
      <c r="D38" s="10">
        <v>0.1</v>
      </c>
      <c r="E38" s="10">
        <v>0.2</v>
      </c>
      <c r="Y38" t="str">
        <f t="shared" ca="1" si="0"/>
        <v/>
      </c>
    </row>
    <row r="39" spans="1:25" x14ac:dyDescent="0.15">
      <c r="A39" s="21" t="str">
        <f ca="1">"OI"&amp;TEXT(DATE(YEAR(TODAY()),ODD(MONTH(TODAY())+IF(TODAY()&gt;WORKDAY(DATE(YEAR(TODAY()),ODD(MONTH(TODAY())),0),10,Holiday),1,0)),1),"yymm")</f>
        <v>OI1507</v>
      </c>
      <c r="B39" s="11">
        <f t="shared" ref="B39:B46" ca="1" si="10">WORKDAY(WORKDAY(DATE("20"&amp;MID(A39,3,2),RIGHT(A39,2)-12,0),10,Holiday),1,Holiday)</f>
        <v>41835</v>
      </c>
      <c r="C39" s="11">
        <f t="shared" ref="C39:C44" ca="1" si="11">WORKDAY(DATE("20"&amp;MID(A39,3,2),RIGHT(A39,2),0),10,Holiday)</f>
        <v>42199</v>
      </c>
      <c r="D39" s="11">
        <f ca="1">IF(CTP=1,郑州商品交易所!D39+1,WORKDAY(郑州商品交易所!D39,1-全局参数,Holiday))</f>
        <v>42170</v>
      </c>
      <c r="E39" s="11">
        <f ca="1">IF(CTP=1,郑州商品交易所!E39+1,WORKDAY(郑州商品交易所!E39,1-全局参数,Holiday))</f>
        <v>42185</v>
      </c>
      <c r="Y39" t="str">
        <f t="shared" ca="1" si="0"/>
        <v/>
      </c>
    </row>
    <row r="40" spans="1:25" x14ac:dyDescent="0.15">
      <c r="A40" s="22" t="str">
        <f t="shared" ref="A40:A46" ca="1" si="12">IF(VALUE(RIGHT(A39,4))&gt;=1305,"OI","RO")&amp;TEXT(DATE("20"&amp;MID(A39,3,2),RIGHT(A39,2)+2,10),"yymm")</f>
        <v>OI1509</v>
      </c>
      <c r="B40" s="12">
        <f t="shared" ca="1" si="10"/>
        <v>41898</v>
      </c>
      <c r="C40" s="12">
        <f t="shared" ca="1" si="11"/>
        <v>42263</v>
      </c>
      <c r="D40" s="12">
        <f ca="1">IF(CTP=1,郑州商品交易所!D40+1,WORKDAY(郑州商品交易所!D40,1-全局参数,Holiday))</f>
        <v>42230</v>
      </c>
      <c r="E40" s="12">
        <f ca="1">IF(CTP=1,郑州商品交易所!E40+1,WORKDAY(郑州商品交易所!E40,1-全局参数,Holiday))</f>
        <v>42247</v>
      </c>
      <c r="Y40" t="str">
        <f t="shared" ca="1" si="0"/>
        <v/>
      </c>
    </row>
    <row r="41" spans="1:25" x14ac:dyDescent="0.15">
      <c r="A41" s="21" t="str">
        <f t="shared" ca="1" si="12"/>
        <v>OI1511</v>
      </c>
      <c r="B41" s="11">
        <f t="shared" ca="1" si="10"/>
        <v>41960</v>
      </c>
      <c r="C41" s="11">
        <f t="shared" ca="1" si="11"/>
        <v>42321</v>
      </c>
      <c r="D41" s="11">
        <f ca="1">IF(CTP=1,郑州商品交易所!D41+1,WORKDAY(郑州商品交易所!D41,1-全局参数,Holiday))</f>
        <v>42292</v>
      </c>
      <c r="E41" s="11">
        <f ca="1">IF(CTP=1,郑州商品交易所!E41+1,WORKDAY(郑州商品交易所!E41,1-全局参数,Holiday))</f>
        <v>42307</v>
      </c>
      <c r="Y41" t="str">
        <f t="shared" ca="1" si="0"/>
        <v/>
      </c>
    </row>
    <row r="42" spans="1:25" x14ac:dyDescent="0.15">
      <c r="A42" s="22" t="str">
        <f t="shared" ca="1" si="12"/>
        <v>OI1601</v>
      </c>
      <c r="B42" s="12">
        <f t="shared" ca="1" si="10"/>
        <v>42023</v>
      </c>
      <c r="C42" s="12">
        <f t="shared" ca="1" si="11"/>
        <v>42383</v>
      </c>
      <c r="D42" s="12">
        <f ca="1">IF(CTP=1,郑州商品交易所!D42+1,WORKDAY(郑州商品交易所!D42,1-全局参数,Holiday))</f>
        <v>42353</v>
      </c>
      <c r="E42" s="12">
        <f ca="1">IF(CTP=1,郑州商品交易所!E42+1,WORKDAY(郑州商品交易所!E42,1-全局参数,Holiday))</f>
        <v>42369</v>
      </c>
      <c r="Y42" t="str">
        <f t="shared" ca="1" si="0"/>
        <v/>
      </c>
    </row>
    <row r="43" spans="1:25" x14ac:dyDescent="0.15">
      <c r="A43" s="21" t="str">
        <f t="shared" ca="1" si="12"/>
        <v>OI1603</v>
      </c>
      <c r="B43" s="11">
        <f t="shared" ca="1" si="10"/>
        <v>42079</v>
      </c>
      <c r="C43" s="11">
        <f t="shared" ca="1" si="11"/>
        <v>42443</v>
      </c>
      <c r="D43" s="11">
        <f ca="1">IF(CTP=1,郑州商品交易所!D43+1,WORKDAY(郑州商品交易所!D43,1-全局参数,Holiday))</f>
        <v>42415</v>
      </c>
      <c r="E43" s="11">
        <f ca="1">IF(CTP=1,郑州商品交易所!E43+1,WORKDAY(郑州商品交易所!E43,1-全局参数,Holiday))</f>
        <v>42429</v>
      </c>
      <c r="Y43" t="str">
        <f t="shared" ca="1" si="0"/>
        <v/>
      </c>
    </row>
    <row r="44" spans="1:25" x14ac:dyDescent="0.15">
      <c r="A44" s="22" t="str">
        <f t="shared" ca="1" si="12"/>
        <v>OI1605</v>
      </c>
      <c r="B44" s="12">
        <f t="shared" ca="1" si="10"/>
        <v>42142</v>
      </c>
      <c r="C44" s="12">
        <f t="shared" ca="1" si="11"/>
        <v>42503</v>
      </c>
      <c r="D44" s="12">
        <f ca="1">IF(CTP=1,郑州商品交易所!D44+1,WORKDAY(郑州商品交易所!D44,1-全局参数,Holiday))</f>
        <v>42475</v>
      </c>
      <c r="E44" s="12">
        <f ca="1">IF(CTP=1,郑州商品交易所!E44+1,WORKDAY(郑州商品交易所!E44,1-全局参数,Holiday))</f>
        <v>42489</v>
      </c>
      <c r="Y44" t="str">
        <f t="shared" ca="1" si="0"/>
        <v/>
      </c>
    </row>
    <row r="45" spans="1:25" x14ac:dyDescent="0.15">
      <c r="A45" s="21" t="str">
        <f t="shared" ca="1" si="12"/>
        <v>OI1607</v>
      </c>
      <c r="B45" s="11">
        <f t="shared" ca="1" si="10"/>
        <v>42200</v>
      </c>
      <c r="C45" s="11">
        <f t="shared" ref="C45:C46" ca="1" si="13">WORKDAY(DATE("20"&amp;MID(A45,3,2),RIGHT(A45,2),0),10,Holiday)</f>
        <v>42565</v>
      </c>
      <c r="D45" s="11">
        <f ca="1">IF(CTP=1,郑州商品交易所!D45+1,WORKDAY(郑州商品交易所!D45,1-全局参数,Holiday))</f>
        <v>42536</v>
      </c>
      <c r="E45" s="11">
        <f ca="1">IF(CTP=1,郑州商品交易所!E45+1,WORKDAY(郑州商品交易所!E45,1-全局参数,Holiday))</f>
        <v>42551</v>
      </c>
      <c r="Y45">
        <f t="shared" ca="1" si="0"/>
        <v>45</v>
      </c>
    </row>
    <row r="46" spans="1:25" x14ac:dyDescent="0.15">
      <c r="A46" s="22" t="str">
        <f t="shared" ca="1" si="12"/>
        <v>OI1609</v>
      </c>
      <c r="B46" s="12">
        <f t="shared" ca="1" si="10"/>
        <v>42264</v>
      </c>
      <c r="C46" s="12">
        <f t="shared" ca="1" si="13"/>
        <v>42627</v>
      </c>
      <c r="D46" s="12">
        <f ca="1">IF(CTP=1,郑州商品交易所!D46+1,WORKDAY(郑州商品交易所!D46,1-全局参数,Holiday))</f>
        <v>42597</v>
      </c>
      <c r="E46" s="12">
        <f ca="1">IF(CTP=1,郑州商品交易所!E46+1,WORKDAY(郑州商品交易所!E46,1-全局参数,Holiday))</f>
        <v>42613</v>
      </c>
      <c r="Y46" t="str">
        <f t="shared" ca="1" si="0"/>
        <v/>
      </c>
    </row>
    <row r="47" spans="1:25" x14ac:dyDescent="0.15">
      <c r="A47" s="23"/>
      <c r="B47" s="23"/>
      <c r="C47" s="15"/>
      <c r="D47" s="15"/>
      <c r="E47" s="15"/>
      <c r="Y47" t="str">
        <f t="shared" ca="1" si="0"/>
        <v/>
      </c>
    </row>
    <row r="48" spans="1:25" x14ac:dyDescent="0.15">
      <c r="A48" s="23"/>
      <c r="B48" s="23"/>
      <c r="C48" s="15"/>
      <c r="D48" s="15"/>
      <c r="E48" s="15"/>
      <c r="Y48" t="str">
        <f t="shared" ca="1" si="0"/>
        <v/>
      </c>
    </row>
    <row r="49" spans="1:25" x14ac:dyDescent="0.15">
      <c r="A49" s="48" t="str">
        <f>"棉花CF"&amp;TEXT(棉花CF,"#%")</f>
        <v>棉花CF5%</v>
      </c>
      <c r="B49" s="49"/>
      <c r="C49" s="49"/>
      <c r="D49" s="49"/>
      <c r="E49" s="49"/>
      <c r="Y49" t="str">
        <f t="shared" ca="1" si="0"/>
        <v/>
      </c>
    </row>
    <row r="50" spans="1:25" ht="17.25" thickBot="1" x14ac:dyDescent="0.2">
      <c r="A50" s="20"/>
      <c r="B50" s="31" t="s">
        <v>47</v>
      </c>
      <c r="C50" s="13" t="s">
        <v>1</v>
      </c>
      <c r="D50" s="10">
        <v>0.1</v>
      </c>
      <c r="E50" s="10">
        <v>0.2</v>
      </c>
      <c r="Y50" t="str">
        <f t="shared" ca="1" si="0"/>
        <v/>
      </c>
    </row>
    <row r="51" spans="1:25" x14ac:dyDescent="0.15">
      <c r="A51" s="21" t="str">
        <f ca="1">"CF"&amp;TEXT(DATE(YEAR(TODAY()),ODD(MONTH(TODAY())+IF(TODAY()&gt;WORKDAY(DATE(YEAR(TODAY()),ODD(MONTH(TODAY())),0),10,Holiday),1,0)),1),"yymm")</f>
        <v>CF1507</v>
      </c>
      <c r="B51" s="11">
        <f t="shared" ref="B51:B58" ca="1" si="14">WORKDAY(WORKDAY(DATE("20"&amp;MID(A51,3,2),RIGHT(A51,2)-12,0),10,Holiday),1,Holiday)</f>
        <v>41835</v>
      </c>
      <c r="C51" s="11">
        <f t="shared" ref="C51:C56" ca="1" si="15">WORKDAY(DATE("20"&amp;MID(A51,3,2),RIGHT(A51,2),0),10,Holiday)</f>
        <v>42199</v>
      </c>
      <c r="D51" s="11">
        <f ca="1">IF(CTP=1,郑州商品交易所!D51+1,WORKDAY(郑州商品交易所!D51,1-全局参数,Holiday))</f>
        <v>42170</v>
      </c>
      <c r="E51" s="11">
        <f ca="1">IF(CTP=1,郑州商品交易所!E51+1,WORKDAY(郑州商品交易所!E51,1-全局参数,Holiday))</f>
        <v>42185</v>
      </c>
      <c r="Y51" t="str">
        <f t="shared" ca="1" si="0"/>
        <v/>
      </c>
    </row>
    <row r="52" spans="1:25" x14ac:dyDescent="0.15">
      <c r="A52" s="22" t="str">
        <f t="shared" ref="A52:A58" ca="1" si="16">"CF"&amp;TEXT(DATE("20"&amp;MID(A51,3,2),RIGHT(A51,2)+2,10),"yymm")</f>
        <v>CF1509</v>
      </c>
      <c r="B52" s="12">
        <f t="shared" ca="1" si="14"/>
        <v>41898</v>
      </c>
      <c r="C52" s="12">
        <f t="shared" ca="1" si="15"/>
        <v>42263</v>
      </c>
      <c r="D52" s="12">
        <f ca="1">IF(CTP=1,郑州商品交易所!D52+1,WORKDAY(郑州商品交易所!D52,1-全局参数,Holiday))</f>
        <v>42230</v>
      </c>
      <c r="E52" s="12">
        <f ca="1">IF(CTP=1,郑州商品交易所!E52+1,WORKDAY(郑州商品交易所!E52,1-全局参数,Holiday))</f>
        <v>42247</v>
      </c>
      <c r="Y52" t="str">
        <f t="shared" ca="1" si="0"/>
        <v/>
      </c>
    </row>
    <row r="53" spans="1:25" x14ac:dyDescent="0.15">
      <c r="A53" s="21" t="str">
        <f t="shared" ca="1" si="16"/>
        <v>CF1511</v>
      </c>
      <c r="B53" s="11">
        <f t="shared" ca="1" si="14"/>
        <v>41960</v>
      </c>
      <c r="C53" s="11">
        <f t="shared" ca="1" si="15"/>
        <v>42321</v>
      </c>
      <c r="D53" s="11">
        <f ca="1">IF(CTP=1,郑州商品交易所!D53+1,WORKDAY(郑州商品交易所!D53,1-全局参数,Holiday))</f>
        <v>42292</v>
      </c>
      <c r="E53" s="11">
        <f ca="1">IF(CTP=1,郑州商品交易所!E53+1,WORKDAY(郑州商品交易所!E53,1-全局参数,Holiday))</f>
        <v>42307</v>
      </c>
      <c r="Y53" t="str">
        <f t="shared" ca="1" si="0"/>
        <v/>
      </c>
    </row>
    <row r="54" spans="1:25" x14ac:dyDescent="0.15">
      <c r="A54" s="22" t="str">
        <f t="shared" ca="1" si="16"/>
        <v>CF1601</v>
      </c>
      <c r="B54" s="12">
        <f t="shared" ca="1" si="14"/>
        <v>42023</v>
      </c>
      <c r="C54" s="12">
        <f t="shared" ca="1" si="15"/>
        <v>42383</v>
      </c>
      <c r="D54" s="12">
        <f ca="1">IF(CTP=1,郑州商品交易所!D54+1,WORKDAY(郑州商品交易所!D54,1-全局参数,Holiday))</f>
        <v>42353</v>
      </c>
      <c r="E54" s="12">
        <f ca="1">IF(CTP=1,郑州商品交易所!E54+1,WORKDAY(郑州商品交易所!E54,1-全局参数,Holiday))</f>
        <v>42369</v>
      </c>
      <c r="Y54" t="str">
        <f t="shared" ca="1" si="0"/>
        <v/>
      </c>
    </row>
    <row r="55" spans="1:25" x14ac:dyDescent="0.15">
      <c r="A55" s="21" t="str">
        <f t="shared" ca="1" si="16"/>
        <v>CF1603</v>
      </c>
      <c r="B55" s="11">
        <f t="shared" ca="1" si="14"/>
        <v>42079</v>
      </c>
      <c r="C55" s="11">
        <f t="shared" ca="1" si="15"/>
        <v>42443</v>
      </c>
      <c r="D55" s="11">
        <f ca="1">IF(CTP=1,郑州商品交易所!D55+1,WORKDAY(郑州商品交易所!D55,1-全局参数,Holiday))</f>
        <v>42415</v>
      </c>
      <c r="E55" s="11">
        <f ca="1">IF(CTP=1,郑州商品交易所!E55+1,WORKDAY(郑州商品交易所!E55,1-全局参数,Holiday))</f>
        <v>42429</v>
      </c>
      <c r="Y55" t="str">
        <f t="shared" ca="1" si="0"/>
        <v/>
      </c>
    </row>
    <row r="56" spans="1:25" x14ac:dyDescent="0.15">
      <c r="A56" s="22" t="str">
        <f t="shared" ca="1" si="16"/>
        <v>CF1605</v>
      </c>
      <c r="B56" s="12">
        <f t="shared" ca="1" si="14"/>
        <v>42142</v>
      </c>
      <c r="C56" s="12">
        <f t="shared" ca="1" si="15"/>
        <v>42503</v>
      </c>
      <c r="D56" s="12">
        <f ca="1">IF(CTP=1,郑州商品交易所!D56+1,WORKDAY(郑州商品交易所!D56,1-全局参数,Holiday))</f>
        <v>42475</v>
      </c>
      <c r="E56" s="12">
        <f ca="1">IF(CTP=1,郑州商品交易所!E56+1,WORKDAY(郑州商品交易所!E56,1-全局参数,Holiday))</f>
        <v>42489</v>
      </c>
      <c r="Y56" t="str">
        <f t="shared" ca="1" si="0"/>
        <v/>
      </c>
    </row>
    <row r="57" spans="1:25" x14ac:dyDescent="0.15">
      <c r="A57" s="21" t="str">
        <f t="shared" ca="1" si="16"/>
        <v>CF1607</v>
      </c>
      <c r="B57" s="11">
        <f t="shared" ca="1" si="14"/>
        <v>42200</v>
      </c>
      <c r="C57" s="11">
        <f t="shared" ref="C57:C58" ca="1" si="17">WORKDAY(DATE("20"&amp;MID(A57,3,2),RIGHT(A57,2),0),10,Holiday)</f>
        <v>42565</v>
      </c>
      <c r="D57" s="11">
        <f ca="1">IF(CTP=1,郑州商品交易所!D57+1,WORKDAY(郑州商品交易所!D57,1-全局参数,Holiday))</f>
        <v>42536</v>
      </c>
      <c r="E57" s="11">
        <f ca="1">IF(CTP=1,郑州商品交易所!E57+1,WORKDAY(郑州商品交易所!E57,1-全局参数,Holiday))</f>
        <v>42551</v>
      </c>
      <c r="Y57">
        <f t="shared" ca="1" si="0"/>
        <v>57</v>
      </c>
    </row>
    <row r="58" spans="1:25" x14ac:dyDescent="0.15">
      <c r="A58" s="22" t="str">
        <f t="shared" ca="1" si="16"/>
        <v>CF1609</v>
      </c>
      <c r="B58" s="12">
        <f t="shared" ca="1" si="14"/>
        <v>42264</v>
      </c>
      <c r="C58" s="12">
        <f t="shared" ca="1" si="17"/>
        <v>42627</v>
      </c>
      <c r="D58" s="12">
        <f ca="1">IF(CTP=1,郑州商品交易所!D58+1,WORKDAY(郑州商品交易所!D58,1-全局参数,Holiday))</f>
        <v>42597</v>
      </c>
      <c r="E58" s="12">
        <f ca="1">IF(CTP=1,郑州商品交易所!E58+1,WORKDAY(郑州商品交易所!E58,1-全局参数,Holiday))</f>
        <v>42613</v>
      </c>
      <c r="Y58" t="str">
        <f t="shared" ca="1" si="0"/>
        <v/>
      </c>
    </row>
    <row r="59" spans="1:25" x14ac:dyDescent="0.15">
      <c r="A59" s="23"/>
      <c r="B59" s="23"/>
      <c r="C59" s="15"/>
      <c r="D59" s="15"/>
      <c r="E59" s="15"/>
      <c r="Y59" t="str">
        <f t="shared" ca="1" si="0"/>
        <v/>
      </c>
    </row>
    <row r="60" spans="1:25" x14ac:dyDescent="0.15">
      <c r="A60" s="23"/>
      <c r="B60" s="23"/>
      <c r="C60" s="15"/>
      <c r="D60" s="15"/>
      <c r="E60" s="15"/>
      <c r="Y60" t="str">
        <f t="shared" ca="1" si="0"/>
        <v/>
      </c>
    </row>
    <row r="61" spans="1:25" x14ac:dyDescent="0.15">
      <c r="A61" s="48" t="str">
        <f>"白糖SR"&amp;TEXT(白糖SR,"#%")</f>
        <v>白糖SR5%</v>
      </c>
      <c r="B61" s="49"/>
      <c r="C61" s="49"/>
      <c r="D61" s="49"/>
      <c r="E61" s="49"/>
      <c r="Y61" t="str">
        <f t="shared" ca="1" si="0"/>
        <v/>
      </c>
    </row>
    <row r="62" spans="1:25" ht="17.25" thickBot="1" x14ac:dyDescent="0.2">
      <c r="A62" s="20"/>
      <c r="B62" s="31" t="s">
        <v>47</v>
      </c>
      <c r="C62" s="13" t="s">
        <v>1</v>
      </c>
      <c r="D62" s="10">
        <v>0.1</v>
      </c>
      <c r="E62" s="10">
        <v>0.2</v>
      </c>
      <c r="Y62" t="str">
        <f t="shared" ca="1" si="0"/>
        <v/>
      </c>
    </row>
    <row r="63" spans="1:25" x14ac:dyDescent="0.15">
      <c r="A63" s="21" t="str">
        <f ca="1">"SR"&amp;TEXT(DATE(YEAR(TODAY()),ODD(MONTH(TODAY())+IF(TODAY()&gt;WORKDAY(DATE(YEAR(TODAY()),ODD(MONTH(TODAY())),0),10,Holiday),1,0)),1),"yymm")</f>
        <v>SR1507</v>
      </c>
      <c r="B63" s="11">
        <f t="shared" ref="B63:B73" ca="1" si="18">WORKDAY(WORKDAY(DATE("20"&amp;MID(A63,3,2),RIGHT(A63,2)-18,0),10,Holiday),1,Holiday)</f>
        <v>41655</v>
      </c>
      <c r="C63" s="11">
        <f t="shared" ref="C63:C68" ca="1" si="19">WORKDAY(DATE("20"&amp;MID(A63,3,2),RIGHT(A63,2),0),10,Holiday)</f>
        <v>42199</v>
      </c>
      <c r="D63" s="11">
        <f ca="1">IF(CTP=1,郑州商品交易所!D63+1,WORKDAY(郑州商品交易所!D63,1-全局参数,Holiday))</f>
        <v>42170</v>
      </c>
      <c r="E63" s="11">
        <f ca="1">IF(CTP=1,郑州商品交易所!E63+1,WORKDAY(郑州商品交易所!E63,1-全局参数,Holiday))</f>
        <v>42185</v>
      </c>
      <c r="Y63" t="str">
        <f t="shared" ca="1" si="0"/>
        <v/>
      </c>
    </row>
    <row r="64" spans="1:25" x14ac:dyDescent="0.15">
      <c r="A64" s="22" t="str">
        <f t="shared" ref="A64:A73" ca="1" si="20">"SR"&amp;TEXT(DATE("20"&amp;MID(A63,3,2),RIGHT(A63,2)+2,10),"yymm")</f>
        <v>SR1509</v>
      </c>
      <c r="B64" s="12">
        <f t="shared" ca="1" si="18"/>
        <v>41715</v>
      </c>
      <c r="C64" s="12">
        <f t="shared" ca="1" si="19"/>
        <v>42263</v>
      </c>
      <c r="D64" s="12">
        <f ca="1">IF(CTP=1,郑州商品交易所!D64+1,WORKDAY(郑州商品交易所!D64,1-全局参数,Holiday))</f>
        <v>42230</v>
      </c>
      <c r="E64" s="12">
        <f ca="1">IF(CTP=1,郑州商品交易所!E64+1,WORKDAY(郑州商品交易所!E64,1-全局参数,Holiday))</f>
        <v>42247</v>
      </c>
      <c r="Y64" t="str">
        <f t="shared" ca="1" si="0"/>
        <v/>
      </c>
    </row>
    <row r="65" spans="1:25" x14ac:dyDescent="0.15">
      <c r="A65" s="21" t="str">
        <f t="shared" ca="1" si="20"/>
        <v>SR1511</v>
      </c>
      <c r="B65" s="11">
        <f t="shared" ca="1" si="18"/>
        <v>41778</v>
      </c>
      <c r="C65" s="11">
        <f t="shared" ca="1" si="19"/>
        <v>42321</v>
      </c>
      <c r="D65" s="11">
        <f ca="1">IF(CTP=1,郑州商品交易所!D65+1,WORKDAY(郑州商品交易所!D65,1-全局参数,Holiday))</f>
        <v>42292</v>
      </c>
      <c r="E65" s="11">
        <f ca="1">IF(CTP=1,郑州商品交易所!E65+1,WORKDAY(郑州商品交易所!E65,1-全局参数,Holiday))</f>
        <v>42307</v>
      </c>
      <c r="Y65" t="str">
        <f t="shared" ca="1" si="0"/>
        <v/>
      </c>
    </row>
    <row r="66" spans="1:25" x14ac:dyDescent="0.15">
      <c r="A66" s="22" t="str">
        <f t="shared" ca="1" si="20"/>
        <v>SR1601</v>
      </c>
      <c r="B66" s="12">
        <f t="shared" ca="1" si="18"/>
        <v>41835</v>
      </c>
      <c r="C66" s="12">
        <f t="shared" ca="1" si="19"/>
        <v>42383</v>
      </c>
      <c r="D66" s="12">
        <f ca="1">IF(CTP=1,郑州商品交易所!D66+1,WORKDAY(郑州商品交易所!D66,1-全局参数,Holiday))</f>
        <v>42353</v>
      </c>
      <c r="E66" s="12">
        <f ca="1">IF(CTP=1,郑州商品交易所!E66+1,WORKDAY(郑州商品交易所!E66,1-全局参数,Holiday))</f>
        <v>42369</v>
      </c>
      <c r="Y66" t="str">
        <f t="shared" ref="Y66:Y129" ca="1" si="21">IFERROR(IF(AND(B66+0&gt;TODAY(),B66+0&lt;DATE(YEAR(TODAY()),MONTH(TODAY())+1,DAY(TODAY()))),ROW(),""),"")</f>
        <v/>
      </c>
    </row>
    <row r="67" spans="1:25" x14ac:dyDescent="0.15">
      <c r="A67" s="21" t="str">
        <f t="shared" ca="1" si="20"/>
        <v>SR1603</v>
      </c>
      <c r="B67" s="11">
        <f t="shared" ca="1" si="18"/>
        <v>41898</v>
      </c>
      <c r="C67" s="11">
        <f t="shared" ca="1" si="19"/>
        <v>42443</v>
      </c>
      <c r="D67" s="11">
        <f ca="1">IF(CTP=1,郑州商品交易所!D67+1,WORKDAY(郑州商品交易所!D67,1-全局参数,Holiday))</f>
        <v>42415</v>
      </c>
      <c r="E67" s="11">
        <f ca="1">IF(CTP=1,郑州商品交易所!E67+1,WORKDAY(郑州商品交易所!E67,1-全局参数,Holiday))</f>
        <v>42429</v>
      </c>
      <c r="Y67" t="str">
        <f t="shared" ca="1" si="21"/>
        <v/>
      </c>
    </row>
    <row r="68" spans="1:25" x14ac:dyDescent="0.15">
      <c r="A68" s="22" t="str">
        <f t="shared" ca="1" si="20"/>
        <v>SR1605</v>
      </c>
      <c r="B68" s="12">
        <f t="shared" ca="1" si="18"/>
        <v>41960</v>
      </c>
      <c r="C68" s="12">
        <f t="shared" ca="1" si="19"/>
        <v>42503</v>
      </c>
      <c r="D68" s="12">
        <f ca="1">IF(CTP=1,郑州商品交易所!D68+1,WORKDAY(郑州商品交易所!D68,1-全局参数,Holiday))</f>
        <v>42475</v>
      </c>
      <c r="E68" s="12">
        <f ca="1">IF(CTP=1,郑州商品交易所!E68+1,WORKDAY(郑州商品交易所!E68,1-全局参数,Holiday))</f>
        <v>42489</v>
      </c>
      <c r="Y68" t="str">
        <f t="shared" ca="1" si="21"/>
        <v/>
      </c>
    </row>
    <row r="69" spans="1:25" x14ac:dyDescent="0.15">
      <c r="A69" s="21" t="str">
        <f t="shared" ca="1" si="20"/>
        <v>SR1607</v>
      </c>
      <c r="B69" s="11">
        <f t="shared" ca="1" si="18"/>
        <v>42023</v>
      </c>
      <c r="C69" s="11">
        <f t="shared" ref="C69:C70" ca="1" si="22">WORKDAY(DATE("20"&amp;MID(A69,3,2),RIGHT(A69,2),0),10,Holiday)</f>
        <v>42565</v>
      </c>
      <c r="D69" s="11">
        <f ca="1">IF(CTP=1,郑州商品交易所!D69+1,WORKDAY(郑州商品交易所!D69,1-全局参数,Holiday))</f>
        <v>42536</v>
      </c>
      <c r="E69" s="11">
        <f ca="1">IF(CTP=1,郑州商品交易所!E69+1,WORKDAY(郑州商品交易所!E69,1-全局参数,Holiday))</f>
        <v>42551</v>
      </c>
      <c r="Y69" t="str">
        <f t="shared" ca="1" si="21"/>
        <v/>
      </c>
    </row>
    <row r="70" spans="1:25" x14ac:dyDescent="0.15">
      <c r="A70" s="22" t="str">
        <f t="shared" ca="1" si="20"/>
        <v>SR1609</v>
      </c>
      <c r="B70" s="12">
        <f t="shared" ca="1" si="18"/>
        <v>42079</v>
      </c>
      <c r="C70" s="12">
        <f t="shared" ca="1" si="22"/>
        <v>42627</v>
      </c>
      <c r="D70" s="12">
        <f ca="1">IF(CTP=1,郑州商品交易所!D70+1,WORKDAY(郑州商品交易所!D70,1-全局参数,Holiday))</f>
        <v>42597</v>
      </c>
      <c r="E70" s="12">
        <f ca="1">IF(CTP=1,郑州商品交易所!E70+1,WORKDAY(郑州商品交易所!E70,1-全局参数,Holiday))</f>
        <v>42613</v>
      </c>
      <c r="Y70" t="str">
        <f t="shared" ca="1" si="21"/>
        <v/>
      </c>
    </row>
    <row r="71" spans="1:25" x14ac:dyDescent="0.15">
      <c r="A71" s="21" t="str">
        <f t="shared" ca="1" si="20"/>
        <v>SR1611</v>
      </c>
      <c r="B71" s="11">
        <f t="shared" ca="1" si="18"/>
        <v>42142</v>
      </c>
      <c r="C71" s="11">
        <f t="shared" ref="C71:C73" ca="1" si="23">WORKDAY(DATE("20"&amp;MID(A71,3,2),RIGHT(A71,2),0),10,Holiday)</f>
        <v>42688</v>
      </c>
      <c r="D71" s="11">
        <f ca="1">IF(CTP=1,郑州商品交易所!D71+1,WORKDAY(郑州商品交易所!D71,1-全局参数,Holiday))</f>
        <v>42657</v>
      </c>
      <c r="E71" s="11">
        <f ca="1">IF(CTP=1,郑州商品交易所!E71+1,WORKDAY(郑州商品交易所!E71,1-全局参数,Holiday))</f>
        <v>42674</v>
      </c>
      <c r="Y71" t="str">
        <f t="shared" ca="1" si="21"/>
        <v/>
      </c>
    </row>
    <row r="72" spans="1:25" x14ac:dyDescent="0.15">
      <c r="A72" s="22" t="str">
        <f t="shared" ca="1" si="20"/>
        <v>SR1701</v>
      </c>
      <c r="B72" s="12">
        <f t="shared" ca="1" si="18"/>
        <v>42200</v>
      </c>
      <c r="C72" s="12">
        <f t="shared" ca="1" si="23"/>
        <v>42748</v>
      </c>
      <c r="D72" s="12">
        <f ca="1">IF(CTP=1,郑州商品交易所!D72+1,WORKDAY(郑州商品交易所!D72,1-全局参数,Holiday))</f>
        <v>42719</v>
      </c>
      <c r="E72" s="12">
        <f ca="1">IF(CTP=1,郑州商品交易所!E72+1,WORKDAY(郑州商品交易所!E72,1-全局参数,Holiday))</f>
        <v>42734</v>
      </c>
      <c r="Y72">
        <f t="shared" ca="1" si="21"/>
        <v>72</v>
      </c>
    </row>
    <row r="73" spans="1:25" x14ac:dyDescent="0.15">
      <c r="A73" s="21" t="str">
        <f t="shared" ca="1" si="20"/>
        <v>SR1703</v>
      </c>
      <c r="B73" s="11">
        <f t="shared" ca="1" si="18"/>
        <v>42264</v>
      </c>
      <c r="C73" s="11">
        <f t="shared" ca="1" si="23"/>
        <v>42808</v>
      </c>
      <c r="D73" s="11">
        <f ca="1">IF(CTP=1,郑州商品交易所!D73+1,WORKDAY(郑州商品交易所!D73,1-全局参数,Holiday))</f>
        <v>42781</v>
      </c>
      <c r="E73" s="11">
        <f ca="1">IF(CTP=1,郑州商品交易所!E73+1,WORKDAY(郑州商品交易所!E73,1-全局参数,Holiday))</f>
        <v>42794</v>
      </c>
      <c r="Y73" t="str">
        <f t="shared" ca="1" si="21"/>
        <v/>
      </c>
    </row>
    <row r="74" spans="1:25" x14ac:dyDescent="0.15">
      <c r="A74" s="23"/>
      <c r="B74" s="23"/>
      <c r="C74" s="15"/>
      <c r="D74" s="15"/>
      <c r="E74" s="15"/>
      <c r="Y74" t="str">
        <f t="shared" ca="1" si="21"/>
        <v/>
      </c>
    </row>
    <row r="75" spans="1:25" x14ac:dyDescent="0.15">
      <c r="A75" s="23"/>
      <c r="B75" s="23"/>
      <c r="C75" s="15"/>
      <c r="D75" s="15"/>
      <c r="E75" s="15"/>
      <c r="Y75" t="str">
        <f t="shared" ca="1" si="21"/>
        <v/>
      </c>
    </row>
    <row r="76" spans="1:25" ht="16.5" customHeight="1" x14ac:dyDescent="0.15">
      <c r="A76" s="48" t="str">
        <f>"精对苯二甲酸PTA"&amp;TEXT(精对苯二甲酸PTA,"#%")</f>
        <v>精对苯二甲酸PTA5%</v>
      </c>
      <c r="B76" s="49"/>
      <c r="C76" s="49"/>
      <c r="D76" s="49"/>
      <c r="E76" s="49"/>
      <c r="Y76" t="str">
        <f t="shared" ca="1" si="21"/>
        <v/>
      </c>
    </row>
    <row r="77" spans="1:25" ht="17.25" thickBot="1" x14ac:dyDescent="0.2">
      <c r="A77" s="20"/>
      <c r="B77" s="31" t="s">
        <v>47</v>
      </c>
      <c r="C77" s="9" t="s">
        <v>22</v>
      </c>
      <c r="D77" s="10">
        <v>0.1</v>
      </c>
      <c r="E77" s="10">
        <v>0.2</v>
      </c>
      <c r="Y77" t="str">
        <f t="shared" ca="1" si="21"/>
        <v/>
      </c>
    </row>
    <row r="78" spans="1:25" x14ac:dyDescent="0.15">
      <c r="A78" s="21" t="str">
        <f ca="1">"TA"&amp;TEXT(DATE(YEAR(TODAY()),MONTH(TODAY())+IF(TODAY()&gt;WORKDAY(DATE(YEAR(TODAY()),MONTH(TODAY()),0),10,Holiday),1,0),1),"yymm")</f>
        <v>TA1507</v>
      </c>
      <c r="B78" s="11">
        <f t="shared" ref="B78:B91" ca="1" si="24">WORKDAY(WORKDAY(DATE("20"&amp;MID(A78,3,2),RIGHT(A78,2)-12,0),10,Holiday),1,Holiday)</f>
        <v>41835</v>
      </c>
      <c r="C78" s="11">
        <f t="shared" ref="C78:C89" ca="1" si="25">WORKDAY(DATE("20"&amp;MID(A78,3,2),RIGHT(A78,2),0),10,Holiday)</f>
        <v>42199</v>
      </c>
      <c r="D78" s="11">
        <f ca="1">IF(CTP=1,郑州商品交易所!D78+1,WORKDAY(郑州商品交易所!D78,1-全局参数,Holiday))</f>
        <v>42170</v>
      </c>
      <c r="E78" s="11">
        <f ca="1">IF(CTP=1,郑州商品交易所!E78+1,WORKDAY(郑州商品交易所!E78,1-全局参数,Holiday))</f>
        <v>42185</v>
      </c>
      <c r="Y78" t="str">
        <f t="shared" ca="1" si="21"/>
        <v/>
      </c>
    </row>
    <row r="79" spans="1:25" x14ac:dyDescent="0.15">
      <c r="A79" s="22" t="str">
        <f ca="1">"TA"&amp;TEXT(DATE("20"&amp;MID(A78,LEN(A78)-3,2),RIGHT(A78,2)+1,"10"),"yymm")</f>
        <v>TA1508</v>
      </c>
      <c r="B79" s="12">
        <f t="shared" ca="1" si="24"/>
        <v>41866</v>
      </c>
      <c r="C79" s="12">
        <f t="shared" ca="1" si="25"/>
        <v>42230</v>
      </c>
      <c r="D79" s="12">
        <f ca="1">IF(CTP=1,郑州商品交易所!D79+1,WORKDAY(郑州商品交易所!D79,1-全局参数,Holiday))</f>
        <v>42200</v>
      </c>
      <c r="E79" s="12">
        <f ca="1">IF(CTP=1,郑州商品交易所!E79+1,WORKDAY(郑州商品交易所!E79,1-全局参数,Holiday))</f>
        <v>42216</v>
      </c>
      <c r="Y79" t="str">
        <f t="shared" ca="1" si="21"/>
        <v/>
      </c>
    </row>
    <row r="80" spans="1:25" x14ac:dyDescent="0.15">
      <c r="A80" s="21" t="str">
        <f t="shared" ref="A80:A91" ca="1" si="26">"TA"&amp;TEXT(DATE("20"&amp;MID(A79,LEN(A79)-3,2),RIGHT(A79,2)+1,"10"),"yymm")</f>
        <v>TA1509</v>
      </c>
      <c r="B80" s="11">
        <f t="shared" ca="1" si="24"/>
        <v>41898</v>
      </c>
      <c r="C80" s="11">
        <f t="shared" ca="1" si="25"/>
        <v>42263</v>
      </c>
      <c r="D80" s="11">
        <f ca="1">IF(CTP=1,郑州商品交易所!D80+1,WORKDAY(郑州商品交易所!D80,1-全局参数,Holiday))</f>
        <v>42230</v>
      </c>
      <c r="E80" s="11">
        <f ca="1">IF(CTP=1,郑州商品交易所!E80+1,WORKDAY(郑州商品交易所!E80,1-全局参数,Holiday))</f>
        <v>42247</v>
      </c>
      <c r="Y80" t="str">
        <f t="shared" ca="1" si="21"/>
        <v/>
      </c>
    </row>
    <row r="81" spans="1:25" x14ac:dyDescent="0.15">
      <c r="A81" s="22" t="str">
        <f t="shared" ca="1" si="26"/>
        <v>TA1510</v>
      </c>
      <c r="B81" s="12">
        <f t="shared" ca="1" si="24"/>
        <v>41934</v>
      </c>
      <c r="C81" s="12">
        <f t="shared" ca="1" si="25"/>
        <v>42298</v>
      </c>
      <c r="D81" s="12">
        <f ca="1">IF(CTP=1,郑州商品交易所!D81+1,WORKDAY(郑州商品交易所!D81,1-全局参数,Holiday))</f>
        <v>42262</v>
      </c>
      <c r="E81" s="12">
        <f ca="1">IF(CTP=1,郑州商品交易所!E81+1,WORKDAY(郑州商品交易所!E81,1-全局参数,Holiday))</f>
        <v>42277</v>
      </c>
      <c r="Y81" t="str">
        <f t="shared" ca="1" si="21"/>
        <v/>
      </c>
    </row>
    <row r="82" spans="1:25" x14ac:dyDescent="0.15">
      <c r="A82" s="21" t="str">
        <f t="shared" ca="1" si="26"/>
        <v>TA1511</v>
      </c>
      <c r="B82" s="11">
        <f t="shared" ca="1" si="24"/>
        <v>41960</v>
      </c>
      <c r="C82" s="11">
        <f t="shared" ca="1" si="25"/>
        <v>42321</v>
      </c>
      <c r="D82" s="11">
        <f ca="1">IF(CTP=1,郑州商品交易所!D82+1,WORKDAY(郑州商品交易所!D82,1-全局参数,Holiday))</f>
        <v>42292</v>
      </c>
      <c r="E82" s="11">
        <f ca="1">IF(CTP=1,郑州商品交易所!E82+1,WORKDAY(郑州商品交易所!E82,1-全局参数,Holiday))</f>
        <v>42307</v>
      </c>
      <c r="Y82" t="str">
        <f t="shared" ca="1" si="21"/>
        <v/>
      </c>
    </row>
    <row r="83" spans="1:25" x14ac:dyDescent="0.15">
      <c r="A83" s="22" t="str">
        <f t="shared" ca="1" si="26"/>
        <v>TA1512</v>
      </c>
      <c r="B83" s="12">
        <f t="shared" ca="1" si="24"/>
        <v>41988</v>
      </c>
      <c r="C83" s="12">
        <f t="shared" ca="1" si="25"/>
        <v>42352</v>
      </c>
      <c r="D83" s="12">
        <f ca="1">IF(CTP=1,郑州商品交易所!D83+1,WORKDAY(郑州商品交易所!D83,1-全局参数,Holiday))</f>
        <v>42321</v>
      </c>
      <c r="E83" s="12">
        <f ca="1">IF(CTP=1,郑州商品交易所!E83+1,WORKDAY(郑州商品交易所!E83,1-全局参数,Holiday))</f>
        <v>42338</v>
      </c>
      <c r="Y83" t="str">
        <f t="shared" ca="1" si="21"/>
        <v/>
      </c>
    </row>
    <row r="84" spans="1:25" x14ac:dyDescent="0.15">
      <c r="A84" s="21" t="str">
        <f t="shared" ca="1" si="26"/>
        <v>TA1601</v>
      </c>
      <c r="B84" s="11">
        <f t="shared" ca="1" si="24"/>
        <v>42023</v>
      </c>
      <c r="C84" s="11">
        <f t="shared" ca="1" si="25"/>
        <v>42383</v>
      </c>
      <c r="D84" s="11">
        <f ca="1">IF(CTP=1,郑州商品交易所!D84+1,WORKDAY(郑州商品交易所!D84,1-全局参数,Holiday))</f>
        <v>42353</v>
      </c>
      <c r="E84" s="11">
        <f ca="1">IF(CTP=1,郑州商品交易所!E84+1,WORKDAY(郑州商品交易所!E84,1-全局参数,Holiday))</f>
        <v>42369</v>
      </c>
      <c r="Y84" t="str">
        <f t="shared" ca="1" si="21"/>
        <v/>
      </c>
    </row>
    <row r="85" spans="1:25" x14ac:dyDescent="0.15">
      <c r="A85" s="22" t="str">
        <f t="shared" ca="1" si="26"/>
        <v>TA1602</v>
      </c>
      <c r="B85" s="12">
        <f t="shared" ca="1" si="24"/>
        <v>42051</v>
      </c>
      <c r="C85" s="12">
        <f t="shared" ca="1" si="25"/>
        <v>42412</v>
      </c>
      <c r="D85" s="12">
        <f ca="1">IF(CTP=1,郑州商品交易所!D85+1,WORKDAY(郑州商品交易所!D85,1-全局参数,Holiday))</f>
        <v>42384</v>
      </c>
      <c r="E85" s="12">
        <f ca="1">IF(CTP=1,郑州商品交易所!E85+1,WORKDAY(郑州商品交易所!E85,1-全局参数,Holiday))</f>
        <v>42398</v>
      </c>
      <c r="Y85" t="str">
        <f t="shared" ca="1" si="21"/>
        <v/>
      </c>
    </row>
    <row r="86" spans="1:25" x14ac:dyDescent="0.15">
      <c r="A86" s="21" t="str">
        <f t="shared" ca="1" si="26"/>
        <v>TA1603</v>
      </c>
      <c r="B86" s="11">
        <f t="shared" ca="1" si="24"/>
        <v>42079</v>
      </c>
      <c r="C86" s="11">
        <f t="shared" ca="1" si="25"/>
        <v>42443</v>
      </c>
      <c r="D86" s="11">
        <f ca="1">IF(CTP=1,郑州商品交易所!D86+1,WORKDAY(郑州商品交易所!D86,1-全局参数,Holiday))</f>
        <v>42415</v>
      </c>
      <c r="E86" s="11">
        <f ca="1">IF(CTP=1,郑州商品交易所!E86+1,WORKDAY(郑州商品交易所!E86,1-全局参数,Holiday))</f>
        <v>42429</v>
      </c>
      <c r="Y86" t="str">
        <f t="shared" ca="1" si="21"/>
        <v/>
      </c>
    </row>
    <row r="87" spans="1:25" x14ac:dyDescent="0.15">
      <c r="A87" s="22" t="str">
        <f t="shared" ca="1" si="26"/>
        <v>TA1604</v>
      </c>
      <c r="B87" s="12">
        <f t="shared" ca="1" si="24"/>
        <v>42110</v>
      </c>
      <c r="C87" s="12">
        <f t="shared" ca="1" si="25"/>
        <v>42474</v>
      </c>
      <c r="D87" s="12">
        <f ca="1">IF(CTP=1,郑州商品交易所!D87+1,WORKDAY(郑州商品交易所!D87,1-全局参数,Holiday))</f>
        <v>42444</v>
      </c>
      <c r="E87" s="12">
        <f ca="1">IF(CTP=1,郑州商品交易所!E87+1,WORKDAY(郑州商品交易所!E87,1-全局参数,Holiday))</f>
        <v>42460</v>
      </c>
      <c r="Y87" t="str">
        <f t="shared" ca="1" si="21"/>
        <v/>
      </c>
    </row>
    <row r="88" spans="1:25" x14ac:dyDescent="0.15">
      <c r="A88" s="21" t="str">
        <f t="shared" ca="1" si="26"/>
        <v>TA1605</v>
      </c>
      <c r="B88" s="11">
        <f t="shared" ca="1" si="24"/>
        <v>42142</v>
      </c>
      <c r="C88" s="11">
        <f t="shared" ca="1" si="25"/>
        <v>42503</v>
      </c>
      <c r="D88" s="11">
        <f ca="1">IF(CTP=1,郑州商品交易所!D88+1,WORKDAY(郑州商品交易所!D88,1-全局参数,Holiday))</f>
        <v>42475</v>
      </c>
      <c r="E88" s="11">
        <f ca="1">IF(CTP=1,郑州商品交易所!E88+1,WORKDAY(郑州商品交易所!E88,1-全局参数,Holiday))</f>
        <v>42489</v>
      </c>
      <c r="Y88" t="str">
        <f t="shared" ca="1" si="21"/>
        <v/>
      </c>
    </row>
    <row r="89" spans="1:25" x14ac:dyDescent="0.15">
      <c r="A89" s="22" t="str">
        <f t="shared" ca="1" si="26"/>
        <v>TA1606</v>
      </c>
      <c r="B89" s="12">
        <f t="shared" ca="1" si="24"/>
        <v>42170</v>
      </c>
      <c r="C89" s="12">
        <f t="shared" ca="1" si="25"/>
        <v>42535</v>
      </c>
      <c r="D89" s="12">
        <f ca="1">IF(CTP=1,郑州商品交易所!D89+1,WORKDAY(郑州商品交易所!D89,1-全局参数,Holiday))</f>
        <v>42503</v>
      </c>
      <c r="E89" s="12">
        <f ca="1">IF(CTP=1,郑州商品交易所!E89+1,WORKDAY(郑州商品交易所!E89,1-全局参数,Holiday))</f>
        <v>42521</v>
      </c>
      <c r="Y89" t="str">
        <f t="shared" ca="1" si="21"/>
        <v/>
      </c>
    </row>
    <row r="90" spans="1:25" x14ac:dyDescent="0.15">
      <c r="A90" s="21" t="str">
        <f t="shared" ca="1" si="26"/>
        <v>TA1607</v>
      </c>
      <c r="B90" s="11">
        <f t="shared" ca="1" si="24"/>
        <v>42200</v>
      </c>
      <c r="C90" s="11">
        <f t="shared" ref="C90:C91" ca="1" si="27">WORKDAY(DATE("20"&amp;MID(A90,3,2),RIGHT(A90,2),0),10,Holiday)</f>
        <v>42565</v>
      </c>
      <c r="D90" s="11">
        <f ca="1">IF(CTP=1,郑州商品交易所!D90+1,WORKDAY(郑州商品交易所!D90,1-全局参数,Holiday))</f>
        <v>42536</v>
      </c>
      <c r="E90" s="11">
        <f ca="1">IF(CTP=1,郑州商品交易所!E90+1,WORKDAY(郑州商品交易所!E90,1-全局参数,Holiday))</f>
        <v>42551</v>
      </c>
      <c r="Y90">
        <f t="shared" ca="1" si="21"/>
        <v>90</v>
      </c>
    </row>
    <row r="91" spans="1:25" x14ac:dyDescent="0.15">
      <c r="A91" s="22" t="str">
        <f t="shared" ca="1" si="26"/>
        <v>TA1608</v>
      </c>
      <c r="B91" s="12">
        <f t="shared" ca="1" si="24"/>
        <v>42233</v>
      </c>
      <c r="C91" s="12">
        <f t="shared" ca="1" si="27"/>
        <v>42594</v>
      </c>
      <c r="D91" s="12">
        <f ca="1">IF(CTP=1,郑州商品交易所!D91+1,WORKDAY(郑州商品交易所!D91,1-全局参数,Holiday))</f>
        <v>42566</v>
      </c>
      <c r="E91" s="12">
        <f ca="1">IF(CTP=1,郑州商品交易所!E91+1,WORKDAY(郑州商品交易所!E91,1-全局参数,Holiday))</f>
        <v>42580</v>
      </c>
      <c r="Y91" t="str">
        <f t="shared" ca="1" si="21"/>
        <v/>
      </c>
    </row>
    <row r="92" spans="1:25" x14ac:dyDescent="0.15">
      <c r="Y92" t="str">
        <f t="shared" ca="1" si="21"/>
        <v/>
      </c>
    </row>
    <row r="93" spans="1:25" x14ac:dyDescent="0.15">
      <c r="Y93" t="str">
        <f t="shared" ca="1" si="21"/>
        <v/>
      </c>
    </row>
    <row r="94" spans="1:25" ht="16.5" customHeight="1" x14ac:dyDescent="0.15">
      <c r="A94" s="48" t="str">
        <f>"甲醇MA"&amp;TEXT(甲醇MA,"#%")</f>
        <v>甲醇MA5%</v>
      </c>
      <c r="B94" s="49"/>
      <c r="C94" s="49"/>
      <c r="D94" s="49"/>
      <c r="E94" s="49"/>
      <c r="Y94" t="str">
        <f t="shared" ca="1" si="21"/>
        <v/>
      </c>
    </row>
    <row r="95" spans="1:25" ht="17.25" thickBot="1" x14ac:dyDescent="0.2">
      <c r="A95" s="20"/>
      <c r="B95" s="31" t="s">
        <v>47</v>
      </c>
      <c r="C95" s="9" t="s">
        <v>22</v>
      </c>
      <c r="D95" s="10">
        <v>0.1</v>
      </c>
      <c r="E95" s="10">
        <v>0.2</v>
      </c>
      <c r="Y95" t="str">
        <f t="shared" ca="1" si="21"/>
        <v/>
      </c>
    </row>
    <row r="96" spans="1:25" x14ac:dyDescent="0.15">
      <c r="A96" s="21" t="str">
        <f ca="1">IF(TEXT(DATE(YEAR(TODAY()),MONTH(TODAY())+IF(TODAY()&gt;WORKDAY(DATE(YEAR(TODAY()),MONTH(TODAY()),0),10,Holiday),1,0),1),"yymm")*1&gt;=1506,"MA","ME")&amp;TEXT(DATE(YEAR(TODAY()),MONTH(TODAY())+IF(TODAY()&gt;WORKDAY(DATE(YEAR(TODAY()),MONTH(TODAY()),0),10,Holiday),1,0),1),"yymm")</f>
        <v>MA1507</v>
      </c>
      <c r="B96" s="11">
        <f t="shared" ref="B96:B109" ca="1" si="28">WORKDAY(WORKDAY(DATE("20"&amp;MID(A96,3,2),RIGHT(A96,2)-12,0),10,Holiday),1,Holiday)</f>
        <v>41835</v>
      </c>
      <c r="C96" s="11">
        <f t="shared" ref="C96:C107" ca="1" si="29">WORKDAY(DATE("20"&amp;MID(A96,3,2),RIGHT(A96,2),0),10,Holiday)</f>
        <v>42199</v>
      </c>
      <c r="D96" s="11">
        <f ca="1">IF(CTP=1,郑州商品交易所!D96+1,WORKDAY(郑州商品交易所!D96,1-全局参数,Holiday))</f>
        <v>42170</v>
      </c>
      <c r="E96" s="11">
        <f ca="1">IF(CTP=1,郑州商品交易所!E96+1,WORKDAY(郑州商品交易所!E96,1-全局参数,Holiday))</f>
        <v>42185</v>
      </c>
      <c r="Y96" t="str">
        <f t="shared" ca="1" si="21"/>
        <v/>
      </c>
    </row>
    <row r="97" spans="1:25" x14ac:dyDescent="0.15">
      <c r="A97" s="22" t="str">
        <f ca="1">IF(TEXT(DATE("20"&amp;MID(A96,LEN(A96)-3,2),RIGHT(A96,2)+1,"10"),"yymm")*1&gt;=1506,"MA","ME")&amp;TEXT(DATE("20"&amp;MID(A96,LEN(A96)-3,2),RIGHT(A96,2)+1,"10"),"yymm")</f>
        <v>MA1508</v>
      </c>
      <c r="B97" s="12">
        <f t="shared" ca="1" si="28"/>
        <v>41866</v>
      </c>
      <c r="C97" s="12">
        <f t="shared" ca="1" si="29"/>
        <v>42230</v>
      </c>
      <c r="D97" s="12">
        <f ca="1">IF(CTP=1,郑州商品交易所!D97+1,WORKDAY(郑州商品交易所!D97,1-全局参数,Holiday))</f>
        <v>42200</v>
      </c>
      <c r="E97" s="12">
        <f ca="1">IF(CTP=1,郑州商品交易所!E97+1,WORKDAY(郑州商品交易所!E97,1-全局参数,Holiday))</f>
        <v>42216</v>
      </c>
      <c r="Y97" t="str">
        <f t="shared" ca="1" si="21"/>
        <v/>
      </c>
    </row>
    <row r="98" spans="1:25" x14ac:dyDescent="0.15">
      <c r="A98" s="21" t="str">
        <f t="shared" ref="A98:A109" ca="1" si="30">IF(TEXT(DATE("20"&amp;MID(A97,LEN(A97)-3,2),RIGHT(A97,2)+1,"10"),"yymm")*1&gt;=1506,"MA","ME")&amp;TEXT(DATE("20"&amp;MID(A97,LEN(A97)-3,2),RIGHT(A97,2)+1,"10"),"yymm")</f>
        <v>MA1509</v>
      </c>
      <c r="B98" s="11">
        <f t="shared" ca="1" si="28"/>
        <v>41898</v>
      </c>
      <c r="C98" s="11">
        <f t="shared" ca="1" si="29"/>
        <v>42263</v>
      </c>
      <c r="D98" s="11">
        <f ca="1">IF(CTP=1,郑州商品交易所!D98+1,WORKDAY(郑州商品交易所!D98,1-全局参数,Holiday))</f>
        <v>42230</v>
      </c>
      <c r="E98" s="11">
        <f ca="1">IF(CTP=1,郑州商品交易所!E98+1,WORKDAY(郑州商品交易所!E98,1-全局参数,Holiday))</f>
        <v>42247</v>
      </c>
      <c r="Y98" t="str">
        <f t="shared" ca="1" si="21"/>
        <v/>
      </c>
    </row>
    <row r="99" spans="1:25" x14ac:dyDescent="0.15">
      <c r="A99" s="22" t="str">
        <f t="shared" ca="1" si="30"/>
        <v>MA1510</v>
      </c>
      <c r="B99" s="12">
        <f t="shared" ca="1" si="28"/>
        <v>41934</v>
      </c>
      <c r="C99" s="12">
        <f t="shared" ca="1" si="29"/>
        <v>42298</v>
      </c>
      <c r="D99" s="12">
        <f ca="1">IF(CTP=1,郑州商品交易所!D99+1,WORKDAY(郑州商品交易所!D99,1-全局参数,Holiday))</f>
        <v>42262</v>
      </c>
      <c r="E99" s="12">
        <f ca="1">IF(CTP=1,郑州商品交易所!E99+1,WORKDAY(郑州商品交易所!E99,1-全局参数,Holiday))</f>
        <v>42277</v>
      </c>
      <c r="Y99" t="str">
        <f t="shared" ca="1" si="21"/>
        <v/>
      </c>
    </row>
    <row r="100" spans="1:25" x14ac:dyDescent="0.15">
      <c r="A100" s="21" t="str">
        <f t="shared" ca="1" si="30"/>
        <v>MA1511</v>
      </c>
      <c r="B100" s="11">
        <f t="shared" ca="1" si="28"/>
        <v>41960</v>
      </c>
      <c r="C100" s="11">
        <f t="shared" ca="1" si="29"/>
        <v>42321</v>
      </c>
      <c r="D100" s="11">
        <f ca="1">IF(CTP=1,郑州商品交易所!D100+1,WORKDAY(郑州商品交易所!D100,1-全局参数,Holiday))</f>
        <v>42292</v>
      </c>
      <c r="E100" s="11">
        <f ca="1">IF(CTP=1,郑州商品交易所!E100+1,WORKDAY(郑州商品交易所!E100,1-全局参数,Holiday))</f>
        <v>42307</v>
      </c>
      <c r="Y100" t="str">
        <f t="shared" ca="1" si="21"/>
        <v/>
      </c>
    </row>
    <row r="101" spans="1:25" x14ac:dyDescent="0.15">
      <c r="A101" s="22" t="str">
        <f t="shared" ca="1" si="30"/>
        <v>MA1512</v>
      </c>
      <c r="B101" s="12">
        <f t="shared" ca="1" si="28"/>
        <v>41988</v>
      </c>
      <c r="C101" s="12">
        <f t="shared" ca="1" si="29"/>
        <v>42352</v>
      </c>
      <c r="D101" s="12">
        <f ca="1">IF(CTP=1,郑州商品交易所!D101+1,WORKDAY(郑州商品交易所!D101,1-全局参数,Holiday))</f>
        <v>42321</v>
      </c>
      <c r="E101" s="12">
        <f ca="1">IF(CTP=1,郑州商品交易所!E101+1,WORKDAY(郑州商品交易所!E101,1-全局参数,Holiday))</f>
        <v>42338</v>
      </c>
      <c r="Y101" t="str">
        <f t="shared" ca="1" si="21"/>
        <v/>
      </c>
    </row>
    <row r="102" spans="1:25" x14ac:dyDescent="0.15">
      <c r="A102" s="21" t="str">
        <f t="shared" ca="1" si="30"/>
        <v>MA1601</v>
      </c>
      <c r="B102" s="11">
        <f t="shared" ca="1" si="28"/>
        <v>42023</v>
      </c>
      <c r="C102" s="11">
        <f t="shared" ca="1" si="29"/>
        <v>42383</v>
      </c>
      <c r="D102" s="11">
        <f ca="1">IF(CTP=1,郑州商品交易所!D102+1,WORKDAY(郑州商品交易所!D102,1-全局参数,Holiday))</f>
        <v>42353</v>
      </c>
      <c r="E102" s="11">
        <f ca="1">IF(CTP=1,郑州商品交易所!E102+1,WORKDAY(郑州商品交易所!E102,1-全局参数,Holiday))</f>
        <v>42369</v>
      </c>
      <c r="Y102" t="str">
        <f t="shared" ca="1" si="21"/>
        <v/>
      </c>
    </row>
    <row r="103" spans="1:25" x14ac:dyDescent="0.15">
      <c r="A103" s="22" t="str">
        <f t="shared" ca="1" si="30"/>
        <v>MA1602</v>
      </c>
      <c r="B103" s="12">
        <f t="shared" ca="1" si="28"/>
        <v>42051</v>
      </c>
      <c r="C103" s="12">
        <f t="shared" ca="1" si="29"/>
        <v>42412</v>
      </c>
      <c r="D103" s="12">
        <f ca="1">IF(CTP=1,郑州商品交易所!D103+1,WORKDAY(郑州商品交易所!D103,1-全局参数,Holiday))</f>
        <v>42384</v>
      </c>
      <c r="E103" s="12">
        <f ca="1">IF(CTP=1,郑州商品交易所!E103+1,WORKDAY(郑州商品交易所!E103,1-全局参数,Holiday))</f>
        <v>42398</v>
      </c>
      <c r="Y103" t="str">
        <f t="shared" ca="1" si="21"/>
        <v/>
      </c>
    </row>
    <row r="104" spans="1:25" x14ac:dyDescent="0.15">
      <c r="A104" s="21" t="str">
        <f t="shared" ca="1" si="30"/>
        <v>MA1603</v>
      </c>
      <c r="B104" s="11">
        <f t="shared" ca="1" si="28"/>
        <v>42079</v>
      </c>
      <c r="C104" s="11">
        <f t="shared" ca="1" si="29"/>
        <v>42443</v>
      </c>
      <c r="D104" s="11">
        <f ca="1">IF(CTP=1,郑州商品交易所!D104+1,WORKDAY(郑州商品交易所!D104,1-全局参数,Holiday))</f>
        <v>42415</v>
      </c>
      <c r="E104" s="11">
        <f ca="1">IF(CTP=1,郑州商品交易所!E104+1,WORKDAY(郑州商品交易所!E104,1-全局参数,Holiday))</f>
        <v>42429</v>
      </c>
      <c r="Y104" t="str">
        <f t="shared" ca="1" si="21"/>
        <v/>
      </c>
    </row>
    <row r="105" spans="1:25" x14ac:dyDescent="0.15">
      <c r="A105" s="22" t="str">
        <f t="shared" ca="1" si="30"/>
        <v>MA1604</v>
      </c>
      <c r="B105" s="12">
        <f t="shared" ca="1" si="28"/>
        <v>42110</v>
      </c>
      <c r="C105" s="12">
        <f t="shared" ca="1" si="29"/>
        <v>42474</v>
      </c>
      <c r="D105" s="12">
        <f ca="1">IF(CTP=1,郑州商品交易所!D105+1,WORKDAY(郑州商品交易所!D105,1-全局参数,Holiday))</f>
        <v>42444</v>
      </c>
      <c r="E105" s="12">
        <f ca="1">IF(CTP=1,郑州商品交易所!E105+1,WORKDAY(郑州商品交易所!E105,1-全局参数,Holiday))</f>
        <v>42460</v>
      </c>
      <c r="Y105" t="str">
        <f t="shared" ca="1" si="21"/>
        <v/>
      </c>
    </row>
    <row r="106" spans="1:25" x14ac:dyDescent="0.15">
      <c r="A106" s="21" t="str">
        <f t="shared" ca="1" si="30"/>
        <v>MA1605</v>
      </c>
      <c r="B106" s="11">
        <f t="shared" ca="1" si="28"/>
        <v>42142</v>
      </c>
      <c r="C106" s="11">
        <f t="shared" ca="1" si="29"/>
        <v>42503</v>
      </c>
      <c r="D106" s="11">
        <f ca="1">IF(CTP=1,郑州商品交易所!D106+1,WORKDAY(郑州商品交易所!D106,1-全局参数,Holiday))</f>
        <v>42475</v>
      </c>
      <c r="E106" s="11">
        <f ca="1">IF(CTP=1,郑州商品交易所!E106+1,WORKDAY(郑州商品交易所!E106,1-全局参数,Holiday))</f>
        <v>42489</v>
      </c>
      <c r="Y106" t="str">
        <f t="shared" ca="1" si="21"/>
        <v/>
      </c>
    </row>
    <row r="107" spans="1:25" x14ac:dyDescent="0.15">
      <c r="A107" s="22" t="str">
        <f t="shared" ca="1" si="30"/>
        <v>MA1606</v>
      </c>
      <c r="B107" s="12">
        <f t="shared" ca="1" si="28"/>
        <v>42170</v>
      </c>
      <c r="C107" s="12">
        <f t="shared" ca="1" si="29"/>
        <v>42535</v>
      </c>
      <c r="D107" s="12">
        <f ca="1">IF(CTP=1,郑州商品交易所!D107+1,WORKDAY(郑州商品交易所!D107,1-全局参数,Holiday))</f>
        <v>42503</v>
      </c>
      <c r="E107" s="12">
        <f ca="1">IF(CTP=1,郑州商品交易所!E107+1,WORKDAY(郑州商品交易所!E107,1-全局参数,Holiday))</f>
        <v>42521</v>
      </c>
      <c r="Y107" t="str">
        <f t="shared" ca="1" si="21"/>
        <v/>
      </c>
    </row>
    <row r="108" spans="1:25" x14ac:dyDescent="0.15">
      <c r="A108" s="21" t="str">
        <f t="shared" ca="1" si="30"/>
        <v>MA1607</v>
      </c>
      <c r="B108" s="11">
        <f t="shared" ca="1" si="28"/>
        <v>42200</v>
      </c>
      <c r="C108" s="11">
        <f t="shared" ref="C108:C109" ca="1" si="31">WORKDAY(DATE("20"&amp;MID(A108,3,2),RIGHT(A108,2),0),10,Holiday)</f>
        <v>42565</v>
      </c>
      <c r="D108" s="11">
        <f ca="1">IF(CTP=1,郑州商品交易所!D108+1,WORKDAY(郑州商品交易所!D108,1-全局参数,Holiday))</f>
        <v>42536</v>
      </c>
      <c r="E108" s="11">
        <f ca="1">IF(CTP=1,郑州商品交易所!E108+1,WORKDAY(郑州商品交易所!E108,1-全局参数,Holiday))</f>
        <v>42551</v>
      </c>
      <c r="Y108">
        <f t="shared" ca="1" si="21"/>
        <v>108</v>
      </c>
    </row>
    <row r="109" spans="1:25" x14ac:dyDescent="0.15">
      <c r="A109" s="22" t="str">
        <f t="shared" ca="1" si="30"/>
        <v>MA1608</v>
      </c>
      <c r="B109" s="12">
        <f t="shared" ca="1" si="28"/>
        <v>42233</v>
      </c>
      <c r="C109" s="12">
        <f t="shared" ca="1" si="31"/>
        <v>42594</v>
      </c>
      <c r="D109" s="12">
        <f ca="1">IF(CTP=1,郑州商品交易所!D109+1,WORKDAY(郑州商品交易所!D109,1-全局参数,Holiday))</f>
        <v>42566</v>
      </c>
      <c r="E109" s="12">
        <f ca="1">IF(CTP=1,郑州商品交易所!E109+1,WORKDAY(郑州商品交易所!E109,1-全局参数,Holiday))</f>
        <v>42580</v>
      </c>
      <c r="Y109" t="str">
        <f t="shared" ca="1" si="21"/>
        <v/>
      </c>
    </row>
    <row r="110" spans="1:25" x14ac:dyDescent="0.15">
      <c r="Y110" t="str">
        <f t="shared" ca="1" si="21"/>
        <v/>
      </c>
    </row>
    <row r="111" spans="1:25" x14ac:dyDescent="0.15">
      <c r="Y111" t="str">
        <f t="shared" ca="1" si="21"/>
        <v/>
      </c>
    </row>
    <row r="112" spans="1:25" x14ac:dyDescent="0.15">
      <c r="A112" s="48" t="str">
        <f>"玻璃FG"&amp;TEXT(玻璃FG,"#%")</f>
        <v>玻璃FG5%</v>
      </c>
      <c r="B112" s="49"/>
      <c r="C112" s="49"/>
      <c r="D112" s="49"/>
      <c r="E112" s="49"/>
      <c r="Y112" t="str">
        <f t="shared" ca="1" si="21"/>
        <v/>
      </c>
    </row>
    <row r="113" spans="1:25" ht="17.25" thickBot="1" x14ac:dyDescent="0.2">
      <c r="A113" s="20"/>
      <c r="B113" s="31" t="s">
        <v>47</v>
      </c>
      <c r="C113" s="27" t="s">
        <v>1</v>
      </c>
      <c r="D113" s="10">
        <v>0.1</v>
      </c>
      <c r="E113" s="10">
        <v>0.2</v>
      </c>
      <c r="Y113" t="str">
        <f t="shared" ca="1" si="21"/>
        <v/>
      </c>
    </row>
    <row r="114" spans="1:25" x14ac:dyDescent="0.15">
      <c r="A114" s="21" t="str">
        <f ca="1">"FG"&amp;IF(TODAY()&gt;WORKDAY(DATE("2013","03",0),10,Holiday),TEXT(DATE(YEAR(TODAY()),MONTH(TODAY())+IF(TODAY()&gt;WORKDAY(DATE(YEAR(TODAY()),MONTH(TODAY()),0),10,Holiday),1,0),1),"yymm"),TEXT(DATE("2013","03","10"),"YYMM"))</f>
        <v>FG1507</v>
      </c>
      <c r="B114" s="11">
        <f t="shared" ref="B114:B127" ca="1" si="32">WORKDAY(WORKDAY(DATE("20"&amp;MID(A114,3,2),RIGHT(A114,2)-12,0),10,Holiday),1,Holiday)</f>
        <v>41835</v>
      </c>
      <c r="C114" s="11">
        <f t="shared" ref="C114:C125" ca="1" si="33">WORKDAY(DATE("20"&amp;MID(A114,3,2),RIGHT(A114,2),0),10,Holiday)</f>
        <v>42199</v>
      </c>
      <c r="D114" s="11">
        <f ca="1">IF(CTP=1,郑州商品交易所!D114+1,WORKDAY(郑州商品交易所!D114,1-全局参数,Holiday))</f>
        <v>42170</v>
      </c>
      <c r="E114" s="11">
        <f ca="1">IF(CTP=1,郑州商品交易所!E114+1,WORKDAY(郑州商品交易所!E114,1-全局参数,Holiday))</f>
        <v>42185</v>
      </c>
      <c r="Y114" t="str">
        <f t="shared" ca="1" si="21"/>
        <v/>
      </c>
    </row>
    <row r="115" spans="1:25" x14ac:dyDescent="0.15">
      <c r="A115" s="22" t="str">
        <f ca="1">"FG"&amp;TEXT(DATE("20"&amp;MID(A114,LEN(A114)-3,2),RIGHT(A114,2)+1,"10"),"yymm")</f>
        <v>FG1508</v>
      </c>
      <c r="B115" s="12">
        <f t="shared" ca="1" si="32"/>
        <v>41866</v>
      </c>
      <c r="C115" s="12">
        <f t="shared" ca="1" si="33"/>
        <v>42230</v>
      </c>
      <c r="D115" s="12">
        <f ca="1">IF(CTP=1,郑州商品交易所!D115+1,WORKDAY(郑州商品交易所!D115,1-全局参数,Holiday))</f>
        <v>42200</v>
      </c>
      <c r="E115" s="12">
        <f ca="1">IF(CTP=1,郑州商品交易所!E115+1,WORKDAY(郑州商品交易所!E115,1-全局参数,Holiday))</f>
        <v>42216</v>
      </c>
      <c r="Y115" t="str">
        <f t="shared" ca="1" si="21"/>
        <v/>
      </c>
    </row>
    <row r="116" spans="1:25" x14ac:dyDescent="0.15">
      <c r="A116" s="21" t="str">
        <f t="shared" ref="A116:A127" ca="1" si="34">"FG"&amp;TEXT(DATE("20"&amp;MID(A115,LEN(A115)-3,2),RIGHT(A115,2)+1,"10"),"yymm")</f>
        <v>FG1509</v>
      </c>
      <c r="B116" s="11">
        <f t="shared" ca="1" si="32"/>
        <v>41898</v>
      </c>
      <c r="C116" s="11">
        <f t="shared" ca="1" si="33"/>
        <v>42263</v>
      </c>
      <c r="D116" s="11">
        <f ca="1">IF(CTP=1,郑州商品交易所!D116+1,WORKDAY(郑州商品交易所!D116,1-全局参数,Holiday))</f>
        <v>42230</v>
      </c>
      <c r="E116" s="11">
        <f ca="1">IF(CTP=1,郑州商品交易所!E116+1,WORKDAY(郑州商品交易所!E116,1-全局参数,Holiday))</f>
        <v>42247</v>
      </c>
      <c r="Y116" t="str">
        <f t="shared" ca="1" si="21"/>
        <v/>
      </c>
    </row>
    <row r="117" spans="1:25" x14ac:dyDescent="0.15">
      <c r="A117" s="22" t="str">
        <f t="shared" ca="1" si="34"/>
        <v>FG1510</v>
      </c>
      <c r="B117" s="12">
        <f t="shared" ca="1" si="32"/>
        <v>41934</v>
      </c>
      <c r="C117" s="12">
        <f t="shared" ca="1" si="33"/>
        <v>42298</v>
      </c>
      <c r="D117" s="12">
        <f ca="1">IF(CTP=1,郑州商品交易所!D117+1,WORKDAY(郑州商品交易所!D117,1-全局参数,Holiday))</f>
        <v>42262</v>
      </c>
      <c r="E117" s="12">
        <f ca="1">IF(CTP=1,郑州商品交易所!E117+1,WORKDAY(郑州商品交易所!E117,1-全局参数,Holiday))</f>
        <v>42277</v>
      </c>
      <c r="Y117" t="str">
        <f t="shared" ca="1" si="21"/>
        <v/>
      </c>
    </row>
    <row r="118" spans="1:25" x14ac:dyDescent="0.15">
      <c r="A118" s="21" t="str">
        <f t="shared" ca="1" si="34"/>
        <v>FG1511</v>
      </c>
      <c r="B118" s="11">
        <f t="shared" ca="1" si="32"/>
        <v>41960</v>
      </c>
      <c r="C118" s="11">
        <f t="shared" ca="1" si="33"/>
        <v>42321</v>
      </c>
      <c r="D118" s="11">
        <f ca="1">IF(CTP=1,郑州商品交易所!D118+1,WORKDAY(郑州商品交易所!D118,1-全局参数,Holiday))</f>
        <v>42292</v>
      </c>
      <c r="E118" s="11">
        <f ca="1">IF(CTP=1,郑州商品交易所!E118+1,WORKDAY(郑州商品交易所!E118,1-全局参数,Holiday))</f>
        <v>42307</v>
      </c>
      <c r="Y118" t="str">
        <f t="shared" ca="1" si="21"/>
        <v/>
      </c>
    </row>
    <row r="119" spans="1:25" x14ac:dyDescent="0.15">
      <c r="A119" s="22" t="str">
        <f t="shared" ca="1" si="34"/>
        <v>FG1512</v>
      </c>
      <c r="B119" s="12">
        <f t="shared" ca="1" si="32"/>
        <v>41988</v>
      </c>
      <c r="C119" s="12">
        <f t="shared" ca="1" si="33"/>
        <v>42352</v>
      </c>
      <c r="D119" s="12">
        <f ca="1">IF(CTP=1,郑州商品交易所!D119+1,WORKDAY(郑州商品交易所!D119,1-全局参数,Holiday))</f>
        <v>42321</v>
      </c>
      <c r="E119" s="12">
        <f ca="1">IF(CTP=1,郑州商品交易所!E119+1,WORKDAY(郑州商品交易所!E119,1-全局参数,Holiday))</f>
        <v>42338</v>
      </c>
      <c r="Y119" t="str">
        <f t="shared" ca="1" si="21"/>
        <v/>
      </c>
    </row>
    <row r="120" spans="1:25" x14ac:dyDescent="0.15">
      <c r="A120" s="21" t="str">
        <f t="shared" ca="1" si="34"/>
        <v>FG1601</v>
      </c>
      <c r="B120" s="11">
        <f t="shared" ca="1" si="32"/>
        <v>42023</v>
      </c>
      <c r="C120" s="11">
        <f t="shared" ca="1" si="33"/>
        <v>42383</v>
      </c>
      <c r="D120" s="11">
        <f ca="1">IF(CTP=1,郑州商品交易所!D120+1,WORKDAY(郑州商品交易所!D120,1-全局参数,Holiday))</f>
        <v>42353</v>
      </c>
      <c r="E120" s="11">
        <f ca="1">IF(CTP=1,郑州商品交易所!E120+1,WORKDAY(郑州商品交易所!E120,1-全局参数,Holiday))</f>
        <v>42369</v>
      </c>
      <c r="Y120" t="str">
        <f t="shared" ca="1" si="21"/>
        <v/>
      </c>
    </row>
    <row r="121" spans="1:25" x14ac:dyDescent="0.15">
      <c r="A121" s="22" t="str">
        <f t="shared" ca="1" si="34"/>
        <v>FG1602</v>
      </c>
      <c r="B121" s="12">
        <f t="shared" ca="1" si="32"/>
        <v>42051</v>
      </c>
      <c r="C121" s="12">
        <f t="shared" ca="1" si="33"/>
        <v>42412</v>
      </c>
      <c r="D121" s="12">
        <f ca="1">IF(CTP=1,郑州商品交易所!D121+1,WORKDAY(郑州商品交易所!D121,1-全局参数,Holiday))</f>
        <v>42384</v>
      </c>
      <c r="E121" s="12">
        <f ca="1">IF(CTP=1,郑州商品交易所!E121+1,WORKDAY(郑州商品交易所!E121,1-全局参数,Holiday))</f>
        <v>42398</v>
      </c>
      <c r="Y121" t="str">
        <f t="shared" ca="1" si="21"/>
        <v/>
      </c>
    </row>
    <row r="122" spans="1:25" x14ac:dyDescent="0.15">
      <c r="A122" s="21" t="str">
        <f t="shared" ca="1" si="34"/>
        <v>FG1603</v>
      </c>
      <c r="B122" s="11">
        <f t="shared" ca="1" si="32"/>
        <v>42079</v>
      </c>
      <c r="C122" s="11">
        <f t="shared" ca="1" si="33"/>
        <v>42443</v>
      </c>
      <c r="D122" s="11">
        <f ca="1">IF(CTP=1,郑州商品交易所!D122+1,WORKDAY(郑州商品交易所!D122,1-全局参数,Holiday))</f>
        <v>42415</v>
      </c>
      <c r="E122" s="11">
        <f ca="1">IF(CTP=1,郑州商品交易所!E122+1,WORKDAY(郑州商品交易所!E122,1-全局参数,Holiday))</f>
        <v>42429</v>
      </c>
      <c r="Y122" t="str">
        <f t="shared" ca="1" si="21"/>
        <v/>
      </c>
    </row>
    <row r="123" spans="1:25" x14ac:dyDescent="0.15">
      <c r="A123" s="22" t="str">
        <f t="shared" ca="1" si="34"/>
        <v>FG1604</v>
      </c>
      <c r="B123" s="12">
        <f t="shared" ca="1" si="32"/>
        <v>42110</v>
      </c>
      <c r="C123" s="12">
        <f t="shared" ca="1" si="33"/>
        <v>42474</v>
      </c>
      <c r="D123" s="12">
        <f ca="1">IF(CTP=1,郑州商品交易所!D123+1,WORKDAY(郑州商品交易所!D123,1-全局参数,Holiday))</f>
        <v>42444</v>
      </c>
      <c r="E123" s="12">
        <f ca="1">IF(CTP=1,郑州商品交易所!E123+1,WORKDAY(郑州商品交易所!E123,1-全局参数,Holiday))</f>
        <v>42460</v>
      </c>
      <c r="Y123" t="str">
        <f t="shared" ca="1" si="21"/>
        <v/>
      </c>
    </row>
    <row r="124" spans="1:25" x14ac:dyDescent="0.15">
      <c r="A124" s="21" t="str">
        <f t="shared" ca="1" si="34"/>
        <v>FG1605</v>
      </c>
      <c r="B124" s="11">
        <f t="shared" ca="1" si="32"/>
        <v>42142</v>
      </c>
      <c r="C124" s="11">
        <f t="shared" ca="1" si="33"/>
        <v>42503</v>
      </c>
      <c r="D124" s="11">
        <f ca="1">IF(CTP=1,郑州商品交易所!D124+1,WORKDAY(郑州商品交易所!D124,1-全局参数,Holiday))</f>
        <v>42475</v>
      </c>
      <c r="E124" s="11">
        <f ca="1">IF(CTP=1,郑州商品交易所!E124+1,WORKDAY(郑州商品交易所!E124,1-全局参数,Holiday))</f>
        <v>42489</v>
      </c>
      <c r="Y124" t="str">
        <f t="shared" ca="1" si="21"/>
        <v/>
      </c>
    </row>
    <row r="125" spans="1:25" x14ac:dyDescent="0.15">
      <c r="A125" s="22" t="str">
        <f t="shared" ca="1" si="34"/>
        <v>FG1606</v>
      </c>
      <c r="B125" s="12">
        <f t="shared" ca="1" si="32"/>
        <v>42170</v>
      </c>
      <c r="C125" s="12">
        <f t="shared" ca="1" si="33"/>
        <v>42535</v>
      </c>
      <c r="D125" s="12">
        <f ca="1">IF(CTP=1,郑州商品交易所!D125+1,WORKDAY(郑州商品交易所!D125,1-全局参数,Holiday))</f>
        <v>42503</v>
      </c>
      <c r="E125" s="12">
        <f ca="1">IF(CTP=1,郑州商品交易所!E125+1,WORKDAY(郑州商品交易所!E125,1-全局参数,Holiday))</f>
        <v>42521</v>
      </c>
      <c r="Y125" t="str">
        <f t="shared" ca="1" si="21"/>
        <v/>
      </c>
    </row>
    <row r="126" spans="1:25" x14ac:dyDescent="0.15">
      <c r="A126" s="21" t="str">
        <f t="shared" ca="1" si="34"/>
        <v>FG1607</v>
      </c>
      <c r="B126" s="11">
        <f t="shared" ca="1" si="32"/>
        <v>42200</v>
      </c>
      <c r="C126" s="11">
        <f t="shared" ref="C126:C127" ca="1" si="35">WORKDAY(DATE("20"&amp;MID(A126,3,2),RIGHT(A126,2),0),10,Holiday)</f>
        <v>42565</v>
      </c>
      <c r="D126" s="11">
        <f ca="1">IF(CTP=1,郑州商品交易所!D126+1,WORKDAY(郑州商品交易所!D126,1-全局参数,Holiday))</f>
        <v>42536</v>
      </c>
      <c r="E126" s="11">
        <f ca="1">IF(CTP=1,郑州商品交易所!E126+1,WORKDAY(郑州商品交易所!E126,1-全局参数,Holiday))</f>
        <v>42551</v>
      </c>
      <c r="Y126">
        <f t="shared" ca="1" si="21"/>
        <v>126</v>
      </c>
    </row>
    <row r="127" spans="1:25" x14ac:dyDescent="0.15">
      <c r="A127" s="22" t="str">
        <f t="shared" ca="1" si="34"/>
        <v>FG1608</v>
      </c>
      <c r="B127" s="12">
        <f t="shared" ca="1" si="32"/>
        <v>42233</v>
      </c>
      <c r="C127" s="12">
        <f t="shared" ca="1" si="35"/>
        <v>42594</v>
      </c>
      <c r="D127" s="12">
        <f ca="1">IF(CTP=1,郑州商品交易所!D127+1,WORKDAY(郑州商品交易所!D127,1-全局参数,Holiday))</f>
        <v>42566</v>
      </c>
      <c r="E127" s="12">
        <f ca="1">IF(CTP=1,郑州商品交易所!E127+1,WORKDAY(郑州商品交易所!E127,1-全局参数,Holiday))</f>
        <v>42580</v>
      </c>
      <c r="Y127" t="str">
        <f t="shared" ca="1" si="21"/>
        <v/>
      </c>
    </row>
    <row r="128" spans="1:25" x14ac:dyDescent="0.15">
      <c r="Y128" t="str">
        <f t="shared" ca="1" si="21"/>
        <v/>
      </c>
    </row>
    <row r="129" spans="1:25" x14ac:dyDescent="0.15">
      <c r="Y129" t="str">
        <f t="shared" ca="1" si="21"/>
        <v/>
      </c>
    </row>
    <row r="130" spans="1:25" x14ac:dyDescent="0.15">
      <c r="A130" s="48" t="str">
        <f>"油菜籽RS"&amp;TEXT(油菜籽RS,"#%")</f>
        <v>油菜籽RS5%</v>
      </c>
      <c r="B130" s="49"/>
      <c r="C130" s="49"/>
      <c r="D130" s="49"/>
      <c r="E130" s="49"/>
      <c r="Y130" t="str">
        <f t="shared" ref="Y130:Y193" ca="1" si="36">IFERROR(IF(AND(B130+0&gt;TODAY(),B130+0&lt;DATE(YEAR(TODAY()),MONTH(TODAY())+1,DAY(TODAY()))),ROW(),""),"")</f>
        <v/>
      </c>
    </row>
    <row r="131" spans="1:25" ht="17.25" thickBot="1" x14ac:dyDescent="0.2">
      <c r="A131" s="20"/>
      <c r="B131" s="31" t="s">
        <v>47</v>
      </c>
      <c r="C131" s="31" t="s">
        <v>1</v>
      </c>
      <c r="D131" s="10">
        <v>0.1</v>
      </c>
      <c r="E131" s="10">
        <v>0.2</v>
      </c>
      <c r="Y131" t="str">
        <f t="shared" ca="1" si="36"/>
        <v/>
      </c>
    </row>
    <row r="132" spans="1:25" x14ac:dyDescent="0.15">
      <c r="A132" s="21" t="str">
        <f ca="1">"RS"&amp;TEXT(IF(TODAY()&gt;WORKDAY(DATE(YEAR(TODAY()),VLOOKUP(MONTH(TODAY()),{1,7;2,7;3,7;4,7;5,7;6,7;7,7;8,8;9,9;10,11;11,11;12,19},2,FALSE),0),10,Holiday),WORKDAY(DATE(YEAR(TODAY()),VLOOKUP(MONTH(TODAY())+1,{1,7;2,7;3,7;4,7;5,7;6,7;7,7;8,8;9,9;10,11;11,11;12,19},2,FALSE),0),10,Holiday),WORKDAY(DATE(YEAR(TODAY()),VLOOKUP(MONTH(TODAY()),{1,7;2,7;3,7;4,7;5,7;6,7;7,7;8,8;9,9;10,11;11,11;12,19},2,FALSE),0),10,Holiday)),"yymm")</f>
        <v>RS1507</v>
      </c>
      <c r="B132" s="11">
        <f t="shared" ref="B132:B137" ca="1" si="37">WORKDAY(WORKDAY(DATE("20"&amp;MID(A132,3,2),RIGHT(A132,2)-12,0),10,Holiday),1,Holiday)</f>
        <v>41835</v>
      </c>
      <c r="C132" s="11">
        <f t="shared" ref="C132:C137" ca="1" si="38">WORKDAY(DATE("20"&amp;MID(A132,3,2),RIGHT(A132,2),0),10,Holiday)</f>
        <v>42199</v>
      </c>
      <c r="D132" s="11">
        <f ca="1">IF(CTP=1,郑州商品交易所!D132+1,WORKDAY(郑州商品交易所!D132,1-全局参数,Holiday))</f>
        <v>42170</v>
      </c>
      <c r="E132" s="11">
        <f ca="1">IF(CTP=1,郑州商品交易所!E132+1,WORKDAY(郑州商品交易所!E132,1-全局参数,Holiday))</f>
        <v>42185</v>
      </c>
      <c r="Y132" t="str">
        <f t="shared" ca="1" si="36"/>
        <v/>
      </c>
    </row>
    <row r="133" spans="1:25" x14ac:dyDescent="0.15">
      <c r="A133" s="22" t="str">
        <f ca="1">"RS"&amp;TEXT(DATE(LEFT(TEXT(YEAR(TODAY()),"yyyy"),2)&amp;MID(A132,3,2),VLOOKUP(RIGHT(A132,2)*1,{7,8;8,9;9,11;11,19},2,FALSE),10),"yymm")</f>
        <v>RS1508</v>
      </c>
      <c r="B133" s="12">
        <f t="shared" ca="1" si="37"/>
        <v>41866</v>
      </c>
      <c r="C133" s="12">
        <f t="shared" ca="1" si="38"/>
        <v>42230</v>
      </c>
      <c r="D133" s="12">
        <f ca="1">IF(CTP=1,郑州商品交易所!D133+1,WORKDAY(郑州商品交易所!D133,1-全局参数,Holiday))</f>
        <v>42200</v>
      </c>
      <c r="E133" s="12">
        <f ca="1">IF(CTP=1,郑州商品交易所!E133+1,WORKDAY(郑州商品交易所!E133,1-全局参数,Holiday))</f>
        <v>42216</v>
      </c>
      <c r="Y133" t="str">
        <f t="shared" ca="1" si="36"/>
        <v/>
      </c>
    </row>
    <row r="134" spans="1:25" x14ac:dyDescent="0.15">
      <c r="A134" s="21" t="str">
        <f ca="1">"RS"&amp;TEXT(DATE(LEFT(TEXT(YEAR(TODAY()),"yyyy"),2)&amp;MID(A133,3,2),VLOOKUP(RIGHT(A133,2)*1,{7,8;8,9;9,11;11,19},2,FALSE),10),"yymm")</f>
        <v>RS1509</v>
      </c>
      <c r="B134" s="11">
        <f t="shared" ca="1" si="37"/>
        <v>41898</v>
      </c>
      <c r="C134" s="11">
        <f t="shared" ca="1" si="38"/>
        <v>42263</v>
      </c>
      <c r="D134" s="11">
        <f ca="1">IF(CTP=1,郑州商品交易所!D134+1,WORKDAY(郑州商品交易所!D134,1-全局参数,Holiday))</f>
        <v>42230</v>
      </c>
      <c r="E134" s="11">
        <f ca="1">IF(CTP=1,郑州商品交易所!E134+1,WORKDAY(郑州商品交易所!E134,1-全局参数,Holiday))</f>
        <v>42247</v>
      </c>
      <c r="Y134" t="str">
        <f t="shared" ca="1" si="36"/>
        <v/>
      </c>
    </row>
    <row r="135" spans="1:25" x14ac:dyDescent="0.15">
      <c r="A135" s="22" t="str">
        <f ca="1">"RS"&amp;TEXT(DATE(LEFT(TEXT(YEAR(TODAY()),"yyyy"),2)&amp;MID(A134,3,2),VLOOKUP(RIGHT(A134,2)*1,{7,8;8,9;9,11;11,19},2,FALSE),10),"yymm")</f>
        <v>RS1511</v>
      </c>
      <c r="B135" s="12">
        <f t="shared" ca="1" si="37"/>
        <v>41960</v>
      </c>
      <c r="C135" s="12">
        <f t="shared" ca="1" si="38"/>
        <v>42321</v>
      </c>
      <c r="D135" s="12">
        <f ca="1">IF(CTP=1,郑州商品交易所!D135+1,WORKDAY(郑州商品交易所!D135,1-全局参数,Holiday))</f>
        <v>42292</v>
      </c>
      <c r="E135" s="12">
        <f ca="1">IF(CTP=1,郑州商品交易所!E135+1,WORKDAY(郑州商品交易所!E135,1-全局参数,Holiday))</f>
        <v>42307</v>
      </c>
      <c r="Y135" t="str">
        <f t="shared" ca="1" si="36"/>
        <v/>
      </c>
    </row>
    <row r="136" spans="1:25" x14ac:dyDescent="0.15">
      <c r="A136" s="21" t="str">
        <f ca="1">"RS"&amp;TEXT(DATE(LEFT(TEXT(YEAR(TODAY()),"yyyy"),2)&amp;MID(A135,3,2),VLOOKUP(RIGHT(A135,2)*1,{7,8;8,9;9,11;11,19},2,FALSE),10),"yymm")</f>
        <v>RS1607</v>
      </c>
      <c r="B136" s="11">
        <f t="shared" ca="1" si="37"/>
        <v>42200</v>
      </c>
      <c r="C136" s="11">
        <f t="shared" ca="1" si="38"/>
        <v>42565</v>
      </c>
      <c r="D136" s="11">
        <f ca="1">IF(CTP=1,郑州商品交易所!D136+1,WORKDAY(郑州商品交易所!D136,1-全局参数,Holiday))</f>
        <v>42536</v>
      </c>
      <c r="E136" s="11">
        <f ca="1">IF(CTP=1,郑州商品交易所!E136+1,WORKDAY(郑州商品交易所!E136,1-全局参数,Holiday))</f>
        <v>42551</v>
      </c>
      <c r="Y136">
        <f t="shared" ca="1" si="36"/>
        <v>136</v>
      </c>
    </row>
    <row r="137" spans="1:25" x14ac:dyDescent="0.15">
      <c r="A137" s="22" t="str">
        <f ca="1">"RS"&amp;TEXT(DATE(LEFT(TEXT(YEAR(TODAY()),"yyyy"),2)&amp;MID(A136,3,2),VLOOKUP(RIGHT(A136,2)*1,{7,8;8,9;9,11;11,19},2,FALSE),10),"yymm")</f>
        <v>RS1608</v>
      </c>
      <c r="B137" s="12">
        <f t="shared" ca="1" si="37"/>
        <v>42233</v>
      </c>
      <c r="C137" s="12">
        <f t="shared" ca="1" si="38"/>
        <v>42594</v>
      </c>
      <c r="D137" s="12">
        <f ca="1">IF(CTP=1,郑州商品交易所!D137+1,WORKDAY(郑州商品交易所!D137,1-全局参数,Holiday))</f>
        <v>42566</v>
      </c>
      <c r="E137" s="12">
        <f ca="1">IF(CTP=1,郑州商品交易所!E137+1,WORKDAY(郑州商品交易所!E137,1-全局参数,Holiday))</f>
        <v>42580</v>
      </c>
      <c r="Y137" t="str">
        <f t="shared" ca="1" si="36"/>
        <v/>
      </c>
    </row>
    <row r="138" spans="1:25" x14ac:dyDescent="0.15">
      <c r="Y138" t="str">
        <f t="shared" ca="1" si="36"/>
        <v/>
      </c>
    </row>
    <row r="139" spans="1:25" x14ac:dyDescent="0.15">
      <c r="Y139" t="str">
        <f t="shared" ca="1" si="36"/>
        <v/>
      </c>
    </row>
    <row r="140" spans="1:25" x14ac:dyDescent="0.15">
      <c r="A140" s="48" t="str">
        <f>"油菜粕RM"&amp;TEXT(油菜粕RM,"#%")</f>
        <v>油菜粕RM5%</v>
      </c>
      <c r="B140" s="49"/>
      <c r="C140" s="49"/>
      <c r="D140" s="49"/>
      <c r="E140" s="49"/>
      <c r="Y140" t="str">
        <f t="shared" ca="1" si="36"/>
        <v/>
      </c>
    </row>
    <row r="141" spans="1:25" ht="17.25" thickBot="1" x14ac:dyDescent="0.2">
      <c r="A141" s="20"/>
      <c r="B141" s="31" t="s">
        <v>47</v>
      </c>
      <c r="C141" s="31" t="s">
        <v>1</v>
      </c>
      <c r="D141" s="10">
        <v>0.1</v>
      </c>
      <c r="E141" s="10">
        <v>0.2</v>
      </c>
      <c r="Y141" t="str">
        <f t="shared" ca="1" si="36"/>
        <v/>
      </c>
    </row>
    <row r="142" spans="1:25" x14ac:dyDescent="0.15">
      <c r="A142" s="21" t="str">
        <f ca="1">"RM"&amp;TEXT(IF(TODAY()&gt;DATE(2013,5,15),IF(TODAY()&gt;WORKDAY(DATE(YEAR(TODAY()),VLOOKUP(MONTH(TODAY())*1,{1,1;2,3;3,3;4,5;5,5;6,7;7,7;8,8;9,9;10,11;11,11;12,13},2,FALSE),0),10,Holiday),WORKDAY(DATE(YEAR(TODAY()),VLOOKUP(MONTH(TODAY())+1,{1,1;2,3;3,3;4,5;5,5;6,7;7,7;8,8;9,9;10,11;11,11;12,13},2,FALSE),0),10,Holiday),WORKDAY(DATE(YEAR(TODAY()),VLOOKUP(MONTH(TODAY())*1,{1,1;2,3;3,3;4,5;5,5;6,7;7,7;8,8;9,9;10,11;11,11;12,13},2,FALSE),0),10,Holiday)),DATE(2013,5,15)),"yymm")</f>
        <v>RM1507</v>
      </c>
      <c r="B142" s="11">
        <f t="shared" ref="B142:B150" ca="1" si="39">WORKDAY(WORKDAY(DATE("20"&amp;MID(A142,3,2),RIGHT(A142,2)-12,0),10,Holiday),1,Holiday)</f>
        <v>41835</v>
      </c>
      <c r="C142" s="11">
        <f t="shared" ref="C142:C147" ca="1" si="40">WORKDAY(DATE("20"&amp;MID(A142,3,2),RIGHT(A142,2),0),10,Holiday)</f>
        <v>42199</v>
      </c>
      <c r="D142" s="11">
        <f ca="1">IF(CTP=1,郑州商品交易所!D142+1,WORKDAY(郑州商品交易所!D142,1-全局参数,Holiday))</f>
        <v>42170</v>
      </c>
      <c r="E142" s="11">
        <f ca="1">IF(CTP=1,郑州商品交易所!E142+1,WORKDAY(郑州商品交易所!E142,1-全局参数,Holiday))</f>
        <v>42185</v>
      </c>
      <c r="Y142" t="str">
        <f t="shared" ca="1" si="36"/>
        <v/>
      </c>
    </row>
    <row r="143" spans="1:25" x14ac:dyDescent="0.15">
      <c r="A143" s="22" t="str">
        <f ca="1">"RM"&amp;TEXT(DATE(LEFT(TEXT(YEAR(TODAY()),"yyyy"),2)&amp;MID(A142,3,2),VLOOKUP(RIGHT(A142,2)*1,{1,3;3,5;5,7;7,8;8,9;9,11;11,13},2,FALSE),10),"yymm")</f>
        <v>RM1508</v>
      </c>
      <c r="B143" s="12">
        <f t="shared" ca="1" si="39"/>
        <v>41866</v>
      </c>
      <c r="C143" s="12">
        <f t="shared" ca="1" si="40"/>
        <v>42230</v>
      </c>
      <c r="D143" s="12">
        <f ca="1">IF(CTP=1,郑州商品交易所!D143+1,WORKDAY(郑州商品交易所!D143,1-全局参数,Holiday))</f>
        <v>42200</v>
      </c>
      <c r="E143" s="12">
        <f ca="1">IF(CTP=1,郑州商品交易所!E143+1,WORKDAY(郑州商品交易所!E143,1-全局参数,Holiday))</f>
        <v>42216</v>
      </c>
      <c r="Y143" t="str">
        <f t="shared" ca="1" si="36"/>
        <v/>
      </c>
    </row>
    <row r="144" spans="1:25" x14ac:dyDescent="0.15">
      <c r="A144" s="21" t="str">
        <f ca="1">"RM"&amp;TEXT(DATE(LEFT(TEXT(YEAR(TODAY()),"yyyy"),2)&amp;MID(A143,3,2),VLOOKUP(RIGHT(A143,2)*1,{1,3;3,5;5,7;7,8;8,9;9,11;11,13},2,FALSE),10),"yymm")</f>
        <v>RM1509</v>
      </c>
      <c r="B144" s="11">
        <f t="shared" ca="1" si="39"/>
        <v>41898</v>
      </c>
      <c r="C144" s="11">
        <f t="shared" ca="1" si="40"/>
        <v>42263</v>
      </c>
      <c r="D144" s="11">
        <f ca="1">IF(CTP=1,郑州商品交易所!D144+1,WORKDAY(郑州商品交易所!D144,1-全局参数,Holiday))</f>
        <v>42230</v>
      </c>
      <c r="E144" s="11">
        <f ca="1">IF(CTP=1,郑州商品交易所!E144+1,WORKDAY(郑州商品交易所!E144,1-全局参数,Holiday))</f>
        <v>42247</v>
      </c>
      <c r="Y144" t="str">
        <f t="shared" ca="1" si="36"/>
        <v/>
      </c>
    </row>
    <row r="145" spans="1:25" x14ac:dyDescent="0.15">
      <c r="A145" s="22" t="str">
        <f ca="1">"RM"&amp;TEXT(DATE(LEFT(TEXT(YEAR(TODAY()),"yyyy"),2)&amp;MID(A144,3,2),VLOOKUP(RIGHT(A144,2)*1,{1,3;3,5;5,7;7,8;8,9;9,11;11,13},2,FALSE),10),"yymm")</f>
        <v>RM1511</v>
      </c>
      <c r="B145" s="12">
        <f t="shared" ca="1" si="39"/>
        <v>41960</v>
      </c>
      <c r="C145" s="12">
        <f t="shared" ca="1" si="40"/>
        <v>42321</v>
      </c>
      <c r="D145" s="12">
        <f ca="1">IF(CTP=1,郑州商品交易所!D145+1,WORKDAY(郑州商品交易所!D145,1-全局参数,Holiday))</f>
        <v>42292</v>
      </c>
      <c r="E145" s="12">
        <f ca="1">IF(CTP=1,郑州商品交易所!E145+1,WORKDAY(郑州商品交易所!E145,1-全局参数,Holiday))</f>
        <v>42307</v>
      </c>
      <c r="Y145" t="str">
        <f t="shared" ca="1" si="36"/>
        <v/>
      </c>
    </row>
    <row r="146" spans="1:25" x14ac:dyDescent="0.15">
      <c r="A146" s="21" t="str">
        <f ca="1">"RM"&amp;TEXT(DATE(LEFT(TEXT(YEAR(TODAY()),"yyyy"),2)&amp;MID(A145,3,2),VLOOKUP(RIGHT(A145,2)*1,{1,3;3,5;5,7;7,8;8,9;9,11;11,13},2,FALSE),10),"yymm")</f>
        <v>RM1601</v>
      </c>
      <c r="B146" s="11">
        <f t="shared" ca="1" si="39"/>
        <v>42023</v>
      </c>
      <c r="C146" s="11">
        <f t="shared" ca="1" si="40"/>
        <v>42383</v>
      </c>
      <c r="D146" s="11">
        <f ca="1">IF(CTP=1,郑州商品交易所!D146+1,WORKDAY(郑州商品交易所!D146,1-全局参数,Holiday))</f>
        <v>42353</v>
      </c>
      <c r="E146" s="11">
        <f ca="1">IF(CTP=1,郑州商品交易所!E146+1,WORKDAY(郑州商品交易所!E146,1-全局参数,Holiday))</f>
        <v>42369</v>
      </c>
      <c r="Y146" t="str">
        <f t="shared" ca="1" si="36"/>
        <v/>
      </c>
    </row>
    <row r="147" spans="1:25" x14ac:dyDescent="0.15">
      <c r="A147" s="22" t="str">
        <f ca="1">"RM"&amp;TEXT(DATE(LEFT(TEXT(YEAR(TODAY()),"yyyy"),2)&amp;MID(A146,3,2),VLOOKUP(RIGHT(A146,2)*1,{1,3;3,5;5,7;7,8;8,9;9,11;11,13},2,FALSE),10),"yymm")</f>
        <v>RM1603</v>
      </c>
      <c r="B147" s="12">
        <f t="shared" ca="1" si="39"/>
        <v>42079</v>
      </c>
      <c r="C147" s="12">
        <f t="shared" ca="1" si="40"/>
        <v>42443</v>
      </c>
      <c r="D147" s="12">
        <f ca="1">IF(CTP=1,郑州商品交易所!D147+1,WORKDAY(郑州商品交易所!D147,1-全局参数,Holiday))</f>
        <v>42415</v>
      </c>
      <c r="E147" s="12">
        <f ca="1">IF(CTP=1,郑州商品交易所!E147+1,WORKDAY(郑州商品交易所!E147,1-全局参数,Holiday))</f>
        <v>42429</v>
      </c>
      <c r="Y147" t="str">
        <f t="shared" ca="1" si="36"/>
        <v/>
      </c>
    </row>
    <row r="148" spans="1:25" x14ac:dyDescent="0.15">
      <c r="A148" s="21" t="str">
        <f ca="1">"RM"&amp;TEXT(DATE(LEFT(TEXT(YEAR(TODAY()),"yyyy"),2)&amp;MID(A147,3,2),VLOOKUP(RIGHT(A147,2)*1,{1,3;3,5;5,7;7,8;8,9;9,11;11,13},2,FALSE),10),"yymm")</f>
        <v>RM1605</v>
      </c>
      <c r="B148" s="11">
        <f t="shared" ca="1" si="39"/>
        <v>42142</v>
      </c>
      <c r="C148" s="11">
        <f t="shared" ref="C148:C149" ca="1" si="41">WORKDAY(DATE("20"&amp;MID(A148,3,2),RIGHT(A148,2),0),10,Holiday)</f>
        <v>42503</v>
      </c>
      <c r="D148" s="11">
        <f ca="1">IF(CTP=1,郑州商品交易所!D148+1,WORKDAY(郑州商品交易所!D148,1-全局参数,Holiday))</f>
        <v>42475</v>
      </c>
      <c r="E148" s="11">
        <f ca="1">IF(CTP=1,郑州商品交易所!E148+1,WORKDAY(郑州商品交易所!E148,1-全局参数,Holiday))</f>
        <v>42489</v>
      </c>
      <c r="Y148" t="str">
        <f t="shared" ca="1" si="36"/>
        <v/>
      </c>
    </row>
    <row r="149" spans="1:25" x14ac:dyDescent="0.15">
      <c r="A149" s="22" t="str">
        <f ca="1">"RM"&amp;TEXT(DATE(LEFT(TEXT(YEAR(TODAY()),"yyyy"),2)&amp;MID(A148,3,2),VLOOKUP(RIGHT(A148,2)*1,{1,3;3,5;5,7;7,8;8,9;9,11;11,13},2,FALSE),10),"yymm")</f>
        <v>RM1607</v>
      </c>
      <c r="B149" s="12">
        <f t="shared" ca="1" si="39"/>
        <v>42200</v>
      </c>
      <c r="C149" s="12">
        <f t="shared" ca="1" si="41"/>
        <v>42565</v>
      </c>
      <c r="D149" s="12">
        <f ca="1">IF(CTP=1,郑州商品交易所!D149+1,WORKDAY(郑州商品交易所!D149,1-全局参数,Holiday))</f>
        <v>42536</v>
      </c>
      <c r="E149" s="12">
        <f ca="1">IF(CTP=1,郑州商品交易所!E149+1,WORKDAY(郑州商品交易所!E149,1-全局参数,Holiday))</f>
        <v>42551</v>
      </c>
      <c r="Y149">
        <f t="shared" ca="1" si="36"/>
        <v>149</v>
      </c>
    </row>
    <row r="150" spans="1:25" x14ac:dyDescent="0.15">
      <c r="A150" s="21" t="str">
        <f ca="1">"RM"&amp;TEXT(DATE(LEFT(TEXT(YEAR(TODAY()),"yyyy"),2)&amp;MID(A149,3,2),VLOOKUP(RIGHT(A149,2)*1,{1,3;3,5;5,7;7,8;8,9;9,11;11,13},2,FALSE),10),"yymm")</f>
        <v>RM1608</v>
      </c>
      <c r="B150" s="11">
        <f t="shared" ca="1" si="39"/>
        <v>42233</v>
      </c>
      <c r="C150" s="11">
        <f t="shared" ref="C150" ca="1" si="42">WORKDAY(DATE("20"&amp;MID(A150,3,2),RIGHT(A150,2),0),10,Holiday)</f>
        <v>42594</v>
      </c>
      <c r="D150" s="11">
        <f ca="1">IF(CTP=1,郑州商品交易所!D150+1,WORKDAY(郑州商品交易所!D150,1-全局参数,Holiday))</f>
        <v>42566</v>
      </c>
      <c r="E150" s="11">
        <f ca="1">IF(CTP=1,郑州商品交易所!E150+1,WORKDAY(郑州商品交易所!E150,1-全局参数,Holiday))</f>
        <v>42580</v>
      </c>
      <c r="Y150" t="str">
        <f t="shared" ca="1" si="36"/>
        <v/>
      </c>
    </row>
    <row r="151" spans="1:25" x14ac:dyDescent="0.15">
      <c r="Y151" t="str">
        <f t="shared" ca="1" si="36"/>
        <v/>
      </c>
    </row>
    <row r="152" spans="1:25" x14ac:dyDescent="0.15">
      <c r="Y152" t="str">
        <f t="shared" ca="1" si="36"/>
        <v/>
      </c>
    </row>
    <row r="153" spans="1:25" x14ac:dyDescent="0.15">
      <c r="A153" s="48" t="str">
        <f>"动力煤TC/ZC"&amp;TEXT(动力煤TC,"#%")</f>
        <v>动力煤TC/ZC5%</v>
      </c>
      <c r="B153" s="49"/>
      <c r="C153" s="49"/>
      <c r="D153" s="49"/>
      <c r="E153" s="49"/>
      <c r="Y153" t="str">
        <f t="shared" ca="1" si="36"/>
        <v/>
      </c>
    </row>
    <row r="154" spans="1:25" ht="17.25" thickBot="1" x14ac:dyDescent="0.2">
      <c r="A154" s="20"/>
      <c r="B154" s="33" t="s">
        <v>46</v>
      </c>
      <c r="C154" s="33" t="s">
        <v>1</v>
      </c>
      <c r="D154" s="10">
        <v>0.1</v>
      </c>
      <c r="E154" s="10">
        <v>0.2</v>
      </c>
      <c r="Y154" t="str">
        <f t="shared" ca="1" si="36"/>
        <v/>
      </c>
    </row>
    <row r="155" spans="1:25" x14ac:dyDescent="0.15">
      <c r="A155" s="21" t="str">
        <f ca="1">IF(TEXT(DATE(YEAR(TODAY()),MONTH(TODAY())+IF(TODAY()&gt;WORKDAY(DATE(YEAR(TODAY()),MONTH(TODAY()),0),5,Holiday),1,0),1),"yymm")+0&gt;=1605,"ZC","TC")&amp;IF(TODAY()&lt;=DATE(2013,12,6),"1312",TEXT(DATE(YEAR(TODAY()),MONTH(TODAY())+IF(TODAY()&gt;WORKDAY(DATE(YEAR(TODAY()),MONTH(TODAY()),0),5,Holiday),1,0),1),"yymm"))</f>
        <v>TC1507</v>
      </c>
      <c r="B155" s="11">
        <f t="shared" ref="B155:B168" ca="1" si="43">IF(RIGHT(A155,4)="1605",DATE(2015,5,18),IF(RIGHT(A155,4)*1&lt;=1409,DATE(2013,9,26),WORKDAY(WORKDAY(DATE("20"&amp;MID(A155,3,2),RIGHT(A155,2)-12,0),5,Holiday),1,Holiday)))</f>
        <v>41828</v>
      </c>
      <c r="C155" s="11">
        <f t="shared" ref="C155:C168" ca="1" si="44">WORKDAY(DATE("20"&amp;MID(A155,3,2),RIGHT(A155,2),0),5,Holiday)</f>
        <v>42192</v>
      </c>
      <c r="D155" s="11">
        <f ca="1">IF(CTP=1,郑州商品交易所!D155+1,WORKDAY(郑州商品交易所!D155,1-全局参数,Holiday))</f>
        <v>42170</v>
      </c>
      <c r="E155" s="11">
        <f ca="1">IF(CTP=1,郑州商品交易所!E155+1,WORKDAY(郑州商品交易所!E155,1-全局参数,Holiday))</f>
        <v>42185</v>
      </c>
      <c r="Y155" t="str">
        <f t="shared" ca="1" si="36"/>
        <v/>
      </c>
    </row>
    <row r="156" spans="1:25" x14ac:dyDescent="0.15">
      <c r="A156" s="22" t="str">
        <f ca="1">IF(TEXT(DATE("20"&amp;MID(A155,LEN(A155)-3,2),RIGHT(A155,2)+1,"10"),"yymm")+0&gt;=1605,"ZC","TC")&amp;TEXT(DATE("20"&amp;MID(A155,LEN(A155)-3,2),RIGHT(A155,2)+1,"10"),"yymm")</f>
        <v>TC1508</v>
      </c>
      <c r="B156" s="12">
        <f t="shared" ca="1" si="43"/>
        <v>41859</v>
      </c>
      <c r="C156" s="12">
        <f t="shared" ca="1" si="44"/>
        <v>42223</v>
      </c>
      <c r="D156" s="12">
        <f ca="1">IF(CTP=1,郑州商品交易所!D156+1,WORKDAY(郑州商品交易所!D156,1-全局参数,Holiday))</f>
        <v>42200</v>
      </c>
      <c r="E156" s="12">
        <f ca="1">IF(CTP=1,郑州商品交易所!E156+1,WORKDAY(郑州商品交易所!E156,1-全局参数,Holiday))</f>
        <v>42216</v>
      </c>
      <c r="Y156" t="str">
        <f t="shared" ca="1" si="36"/>
        <v/>
      </c>
    </row>
    <row r="157" spans="1:25" x14ac:dyDescent="0.15">
      <c r="A157" s="21" t="str">
        <f t="shared" ref="A157:A168" ca="1" si="45">IF(TEXT(DATE("20"&amp;MID(A156,LEN(A156)-3,2),RIGHT(A156,2)+1,"10"),"yymm")+0&gt;=1605,"ZC","TC")&amp;TEXT(DATE("20"&amp;MID(A156,LEN(A156)-3,2),RIGHT(A156,2)+1,"10"),"yymm")</f>
        <v>TC1509</v>
      </c>
      <c r="B157" s="11">
        <f t="shared" ca="1" si="43"/>
        <v>41891</v>
      </c>
      <c r="C157" s="11">
        <f t="shared" ca="1" si="44"/>
        <v>42256</v>
      </c>
      <c r="D157" s="11">
        <f ca="1">IF(CTP=1,郑州商品交易所!D157+1,WORKDAY(郑州商品交易所!D157,1-全局参数,Holiday))</f>
        <v>42230</v>
      </c>
      <c r="E157" s="11">
        <f ca="1">IF(CTP=1,郑州商品交易所!E157+1,WORKDAY(郑州商品交易所!E157,1-全局参数,Holiday))</f>
        <v>42247</v>
      </c>
      <c r="Y157" t="str">
        <f t="shared" ca="1" si="36"/>
        <v/>
      </c>
    </row>
    <row r="158" spans="1:25" x14ac:dyDescent="0.15">
      <c r="A158" s="22" t="str">
        <f t="shared" ca="1" si="45"/>
        <v>TC1510</v>
      </c>
      <c r="B158" s="12">
        <f t="shared" ca="1" si="43"/>
        <v>41927</v>
      </c>
      <c r="C158" s="12">
        <f t="shared" ca="1" si="44"/>
        <v>42291</v>
      </c>
      <c r="D158" s="12">
        <f ca="1">IF(CTP=1,郑州商品交易所!D158+1,WORKDAY(郑州商品交易所!D158,1-全局参数,Holiday))</f>
        <v>42262</v>
      </c>
      <c r="E158" s="12">
        <f ca="1">IF(CTP=1,郑州商品交易所!E158+1,WORKDAY(郑州商品交易所!E158,1-全局参数,Holiday))</f>
        <v>42277</v>
      </c>
      <c r="Y158" t="str">
        <f t="shared" ca="1" si="36"/>
        <v/>
      </c>
    </row>
    <row r="159" spans="1:25" x14ac:dyDescent="0.15">
      <c r="A159" s="21" t="str">
        <f t="shared" ca="1" si="45"/>
        <v>TC1511</v>
      </c>
      <c r="B159" s="11">
        <f t="shared" ca="1" si="43"/>
        <v>41953</v>
      </c>
      <c r="C159" s="11">
        <f t="shared" ca="1" si="44"/>
        <v>42314</v>
      </c>
      <c r="D159" s="11">
        <f ca="1">IF(CTP=1,郑州商品交易所!D159+1,WORKDAY(郑州商品交易所!D159,1-全局参数,Holiday))</f>
        <v>42292</v>
      </c>
      <c r="E159" s="11">
        <f ca="1">IF(CTP=1,郑州商品交易所!E159+1,WORKDAY(郑州商品交易所!E159,1-全局参数,Holiday))</f>
        <v>42307</v>
      </c>
      <c r="Y159" t="str">
        <f t="shared" ca="1" si="36"/>
        <v/>
      </c>
    </row>
    <row r="160" spans="1:25" x14ac:dyDescent="0.15">
      <c r="A160" s="22" t="str">
        <f t="shared" ca="1" si="45"/>
        <v>TC1512</v>
      </c>
      <c r="B160" s="12">
        <f t="shared" ca="1" si="43"/>
        <v>41981</v>
      </c>
      <c r="C160" s="12">
        <f t="shared" ca="1" si="44"/>
        <v>42345</v>
      </c>
      <c r="D160" s="12">
        <f ca="1">IF(CTP=1,郑州商品交易所!D160+1,WORKDAY(郑州商品交易所!D160,1-全局参数,Holiday))</f>
        <v>42321</v>
      </c>
      <c r="E160" s="12">
        <f ca="1">IF(CTP=1,郑州商品交易所!E160+1,WORKDAY(郑州商品交易所!E160,1-全局参数,Holiday))</f>
        <v>42338</v>
      </c>
      <c r="Y160" t="str">
        <f t="shared" ca="1" si="36"/>
        <v/>
      </c>
    </row>
    <row r="161" spans="1:25" x14ac:dyDescent="0.15">
      <c r="A161" s="21" t="str">
        <f t="shared" ca="1" si="45"/>
        <v>TC1601</v>
      </c>
      <c r="B161" s="11">
        <f t="shared" ca="1" si="43"/>
        <v>42016</v>
      </c>
      <c r="C161" s="11">
        <f t="shared" ca="1" si="44"/>
        <v>42376</v>
      </c>
      <c r="D161" s="11">
        <f ca="1">IF(CTP=1,郑州商品交易所!D161+1,WORKDAY(郑州商品交易所!D161,1-全局参数,Holiday))</f>
        <v>42353</v>
      </c>
      <c r="E161" s="11">
        <f ca="1">IF(CTP=1,郑州商品交易所!E161+1,WORKDAY(郑州商品交易所!E161,1-全局参数,Holiday))</f>
        <v>42369</v>
      </c>
      <c r="Y161" t="str">
        <f t="shared" ca="1" si="36"/>
        <v/>
      </c>
    </row>
    <row r="162" spans="1:25" x14ac:dyDescent="0.15">
      <c r="A162" s="22" t="str">
        <f t="shared" ca="1" si="45"/>
        <v>TC1602</v>
      </c>
      <c r="B162" s="12">
        <f t="shared" ca="1" si="43"/>
        <v>42044</v>
      </c>
      <c r="C162" s="12">
        <f t="shared" ca="1" si="44"/>
        <v>42405</v>
      </c>
      <c r="D162" s="12">
        <f ca="1">IF(CTP=1,郑州商品交易所!D162+1,WORKDAY(郑州商品交易所!D162,1-全局参数,Holiday))</f>
        <v>42384</v>
      </c>
      <c r="E162" s="12">
        <f ca="1">IF(CTP=1,郑州商品交易所!E162+1,WORKDAY(郑州商品交易所!E162,1-全局参数,Holiday))</f>
        <v>42398</v>
      </c>
      <c r="Y162" t="str">
        <f t="shared" ca="1" si="36"/>
        <v/>
      </c>
    </row>
    <row r="163" spans="1:25" x14ac:dyDescent="0.15">
      <c r="A163" s="21" t="str">
        <f t="shared" ca="1" si="45"/>
        <v>TC1603</v>
      </c>
      <c r="B163" s="11">
        <f t="shared" ca="1" si="43"/>
        <v>42072</v>
      </c>
      <c r="C163" s="11">
        <f t="shared" ca="1" si="44"/>
        <v>42436</v>
      </c>
      <c r="D163" s="11">
        <f ca="1">IF(CTP=1,郑州商品交易所!D163+1,WORKDAY(郑州商品交易所!D163,1-全局参数,Holiday))</f>
        <v>42415</v>
      </c>
      <c r="E163" s="11">
        <f ca="1">IF(CTP=1,郑州商品交易所!E163+1,WORKDAY(郑州商品交易所!E163,1-全局参数,Holiday))</f>
        <v>42429</v>
      </c>
      <c r="Y163" t="str">
        <f t="shared" ca="1" si="36"/>
        <v/>
      </c>
    </row>
    <row r="164" spans="1:25" x14ac:dyDescent="0.15">
      <c r="A164" s="22" t="str">
        <f t="shared" ca="1" si="45"/>
        <v>TC1604</v>
      </c>
      <c r="B164" s="12">
        <f t="shared" ca="1" si="43"/>
        <v>42103</v>
      </c>
      <c r="C164" s="12">
        <f t="shared" ca="1" si="44"/>
        <v>42467</v>
      </c>
      <c r="D164" s="12">
        <f ca="1">IF(CTP=1,郑州商品交易所!D164+1,WORKDAY(郑州商品交易所!D164,1-全局参数,Holiday))</f>
        <v>42444</v>
      </c>
      <c r="E164" s="12">
        <f ca="1">IF(CTP=1,郑州商品交易所!E164+1,WORKDAY(郑州商品交易所!E164,1-全局参数,Holiday))</f>
        <v>42460</v>
      </c>
      <c r="Y164" t="str">
        <f t="shared" ca="1" si="36"/>
        <v/>
      </c>
    </row>
    <row r="165" spans="1:25" x14ac:dyDescent="0.15">
      <c r="A165" s="21" t="str">
        <f t="shared" ca="1" si="45"/>
        <v>ZC1605</v>
      </c>
      <c r="B165" s="11">
        <f t="shared" ca="1" si="43"/>
        <v>42142</v>
      </c>
      <c r="C165" s="11">
        <f t="shared" ca="1" si="44"/>
        <v>42496</v>
      </c>
      <c r="D165" s="11">
        <f ca="1">IF(CTP=1,郑州商品交易所!D165+1,WORKDAY(郑州商品交易所!D165,1-全局参数,Holiday))</f>
        <v>42475</v>
      </c>
      <c r="E165" s="11">
        <f ca="1">IF(CTP=1,郑州商品交易所!E165+1,WORKDAY(郑州商品交易所!E165,1-全局参数,Holiday))</f>
        <v>42489</v>
      </c>
      <c r="Y165" t="str">
        <f t="shared" ca="1" si="36"/>
        <v/>
      </c>
    </row>
    <row r="166" spans="1:25" x14ac:dyDescent="0.15">
      <c r="A166" s="22" t="str">
        <f t="shared" ca="1" si="45"/>
        <v>ZC1606</v>
      </c>
      <c r="B166" s="12">
        <f t="shared" ca="1" si="43"/>
        <v>42163</v>
      </c>
      <c r="C166" s="12">
        <f t="shared" ca="1" si="44"/>
        <v>42528</v>
      </c>
      <c r="D166" s="12">
        <f ca="1">IF(CTP=1,郑州商品交易所!D166+1,WORKDAY(郑州商品交易所!D166,1-全局参数,Holiday))</f>
        <v>42503</v>
      </c>
      <c r="E166" s="12">
        <f ca="1">IF(CTP=1,郑州商品交易所!E166+1,WORKDAY(郑州商品交易所!E166,1-全局参数,Holiday))</f>
        <v>42521</v>
      </c>
      <c r="Y166" t="str">
        <f t="shared" ca="1" si="36"/>
        <v/>
      </c>
    </row>
    <row r="167" spans="1:25" x14ac:dyDescent="0.15">
      <c r="A167" s="21" t="str">
        <f t="shared" ca="1" si="45"/>
        <v>ZC1607</v>
      </c>
      <c r="B167" s="11">
        <f t="shared" ca="1" si="43"/>
        <v>42193</v>
      </c>
      <c r="C167" s="11">
        <f t="shared" ca="1" si="44"/>
        <v>42558</v>
      </c>
      <c r="D167" s="11">
        <f ca="1">IF(CTP=1,郑州商品交易所!D167+1,WORKDAY(郑州商品交易所!D167,1-全局参数,Holiday))</f>
        <v>42536</v>
      </c>
      <c r="E167" s="11">
        <f ca="1">IF(CTP=1,郑州商品交易所!E167+1,WORKDAY(郑州商品交易所!E167,1-全局参数,Holiday))</f>
        <v>42551</v>
      </c>
      <c r="Y167">
        <f t="shared" ca="1" si="36"/>
        <v>167</v>
      </c>
    </row>
    <row r="168" spans="1:25" x14ac:dyDescent="0.15">
      <c r="A168" s="22" t="str">
        <f t="shared" ca="1" si="45"/>
        <v>ZC1608</v>
      </c>
      <c r="B168" s="12">
        <f t="shared" ca="1" si="43"/>
        <v>42226</v>
      </c>
      <c r="C168" s="12">
        <f t="shared" ca="1" si="44"/>
        <v>42587</v>
      </c>
      <c r="D168" s="12">
        <f ca="1">IF(CTP=1,郑州商品交易所!D168+1,WORKDAY(郑州商品交易所!D168,1-全局参数,Holiday))</f>
        <v>42566</v>
      </c>
      <c r="E168" s="12">
        <f ca="1">IF(CTP=1,郑州商品交易所!E168+1,WORKDAY(郑州商品交易所!E168,1-全局参数,Holiday))</f>
        <v>42580</v>
      </c>
      <c r="Y168" t="str">
        <f t="shared" ca="1" si="36"/>
        <v/>
      </c>
    </row>
    <row r="169" spans="1:25" x14ac:dyDescent="0.15">
      <c r="Y169" t="str">
        <f t="shared" ca="1" si="36"/>
        <v/>
      </c>
    </row>
    <row r="170" spans="1:25" x14ac:dyDescent="0.15">
      <c r="Y170" t="str">
        <f t="shared" ca="1" si="36"/>
        <v/>
      </c>
    </row>
    <row r="171" spans="1:25" x14ac:dyDescent="0.15">
      <c r="A171" s="48" t="str">
        <f>"粳稻JR"&amp;TEXT(粳稻JR,"#%")</f>
        <v>粳稻JR5%</v>
      </c>
      <c r="B171" s="49"/>
      <c r="C171" s="49"/>
      <c r="D171" s="49"/>
      <c r="E171" s="49"/>
      <c r="Y171" t="str">
        <f t="shared" ca="1" si="36"/>
        <v/>
      </c>
    </row>
    <row r="172" spans="1:25" ht="17.25" thickBot="1" x14ac:dyDescent="0.2">
      <c r="A172" s="20"/>
      <c r="B172" s="33" t="s">
        <v>46</v>
      </c>
      <c r="C172" s="33" t="s">
        <v>1</v>
      </c>
      <c r="D172" s="10">
        <f>MAX(10%,粳稻JR)</f>
        <v>0.1</v>
      </c>
      <c r="E172" s="10">
        <v>0.2</v>
      </c>
      <c r="Y172" t="str">
        <f t="shared" ca="1" si="36"/>
        <v/>
      </c>
    </row>
    <row r="173" spans="1:25" x14ac:dyDescent="0.15">
      <c r="A173" s="21" t="str">
        <f ca="1">"JR"&amp;IF(TEXT(DATE(YEAR(TODAY()),ODD(MONTH(TODAY())+IF(TODAY()&gt;WORKDAY(DATE(YEAR(TODAY()),ODD(MONTH(TODAY())),0),10,Holiday),1,0)),5),"yymm")*1&lt;=1403,"1403",TEXT(DATE(YEAR(TODAY()),ODD(MONTH(TODAY())+IF(TODAY()&gt;WORKDAY(DATE(YEAR(TODAY()),ODD(MONTH(TODAY())),0),10,Holiday),1,0)),5),"yymm"))</f>
        <v>JR1507</v>
      </c>
      <c r="B173" s="11">
        <f t="shared" ref="B173:B180" ca="1" si="46">IF(RIGHT(A173,4)*1&lt;=1411,DATE(2013,11,18),WORKDAY(WORKDAY(DATE("20"&amp;MID(A173,3,2),RIGHT(A173,2)-12,0),10,Holiday),1,Holiday))</f>
        <v>41835</v>
      </c>
      <c r="C173" s="11">
        <f t="shared" ref="C173:C180" ca="1" si="47">WORKDAY(DATE("20"&amp;MID(A173,3,2),RIGHT(A173,2),0),10,Holiday)</f>
        <v>42199</v>
      </c>
      <c r="D173" s="11">
        <f ca="1">IF(CTP=1,郑州商品交易所!D173+1,WORKDAY(郑州商品交易所!D173,1-全局参数,Holiday))</f>
        <v>42170</v>
      </c>
      <c r="E173" s="11">
        <f ca="1">IF(CTP=1,郑州商品交易所!E173+1,WORKDAY(郑州商品交易所!E173,1-全局参数,Holiday))</f>
        <v>42185</v>
      </c>
      <c r="Y173" t="str">
        <f t="shared" ca="1" si="36"/>
        <v/>
      </c>
    </row>
    <row r="174" spans="1:25" x14ac:dyDescent="0.15">
      <c r="A174" s="22" t="str">
        <f ca="1">"JR"&amp;TEXT(DATE("20"&amp;MID(A173,3,2),RIGHT(A173,2)+2,10),"yymm")</f>
        <v>JR1509</v>
      </c>
      <c r="B174" s="12">
        <f t="shared" ca="1" si="46"/>
        <v>41898</v>
      </c>
      <c r="C174" s="12">
        <f t="shared" ca="1" si="47"/>
        <v>42263</v>
      </c>
      <c r="D174" s="12">
        <f ca="1">IF(CTP=1,郑州商品交易所!D174+1,WORKDAY(郑州商品交易所!D174,1-全局参数,Holiday))</f>
        <v>42230</v>
      </c>
      <c r="E174" s="12">
        <f ca="1">IF(CTP=1,郑州商品交易所!E174+1,WORKDAY(郑州商品交易所!E174,1-全局参数,Holiday))</f>
        <v>42247</v>
      </c>
      <c r="Y174" t="str">
        <f t="shared" ca="1" si="36"/>
        <v/>
      </c>
    </row>
    <row r="175" spans="1:25" x14ac:dyDescent="0.15">
      <c r="A175" s="21" t="str">
        <f t="shared" ref="A175:A180" ca="1" si="48">"JR"&amp;TEXT(DATE("20"&amp;MID(A174,3,2),RIGHT(A174,2)+2,10),"yymm")</f>
        <v>JR1511</v>
      </c>
      <c r="B175" s="11">
        <f t="shared" ca="1" si="46"/>
        <v>41960</v>
      </c>
      <c r="C175" s="11">
        <f t="shared" ca="1" si="47"/>
        <v>42321</v>
      </c>
      <c r="D175" s="11">
        <f ca="1">IF(CTP=1,郑州商品交易所!D175+1,WORKDAY(郑州商品交易所!D175,1-全局参数,Holiday))</f>
        <v>42292</v>
      </c>
      <c r="E175" s="11">
        <f ca="1">IF(CTP=1,郑州商品交易所!E175+1,WORKDAY(郑州商品交易所!E175,1-全局参数,Holiday))</f>
        <v>42307</v>
      </c>
      <c r="Y175" t="str">
        <f t="shared" ca="1" si="36"/>
        <v/>
      </c>
    </row>
    <row r="176" spans="1:25" x14ac:dyDescent="0.15">
      <c r="A176" s="22" t="str">
        <f t="shared" ca="1" si="48"/>
        <v>JR1601</v>
      </c>
      <c r="B176" s="12">
        <f t="shared" ca="1" si="46"/>
        <v>42023</v>
      </c>
      <c r="C176" s="12">
        <f t="shared" ca="1" si="47"/>
        <v>42383</v>
      </c>
      <c r="D176" s="12">
        <f ca="1">IF(CTP=1,郑州商品交易所!D176+1,WORKDAY(郑州商品交易所!D176,1-全局参数,Holiday))</f>
        <v>42353</v>
      </c>
      <c r="E176" s="12">
        <f ca="1">IF(CTP=1,郑州商品交易所!E176+1,WORKDAY(郑州商品交易所!E176,1-全局参数,Holiday))</f>
        <v>42369</v>
      </c>
      <c r="Y176" t="str">
        <f t="shared" ca="1" si="36"/>
        <v/>
      </c>
    </row>
    <row r="177" spans="1:25" x14ac:dyDescent="0.15">
      <c r="A177" s="21" t="str">
        <f t="shared" ca="1" si="48"/>
        <v>JR1603</v>
      </c>
      <c r="B177" s="11">
        <f t="shared" ca="1" si="46"/>
        <v>42079</v>
      </c>
      <c r="C177" s="11">
        <f t="shared" ca="1" si="47"/>
        <v>42443</v>
      </c>
      <c r="D177" s="11">
        <f ca="1">IF(CTP=1,郑州商品交易所!D177+1,WORKDAY(郑州商品交易所!D177,1-全局参数,Holiday))</f>
        <v>42415</v>
      </c>
      <c r="E177" s="11">
        <f ca="1">IF(CTP=1,郑州商品交易所!E177+1,WORKDAY(郑州商品交易所!E177,1-全局参数,Holiday))</f>
        <v>42429</v>
      </c>
      <c r="Y177" t="str">
        <f t="shared" ca="1" si="36"/>
        <v/>
      </c>
    </row>
    <row r="178" spans="1:25" x14ac:dyDescent="0.15">
      <c r="A178" s="22" t="str">
        <f t="shared" ca="1" si="48"/>
        <v>JR1605</v>
      </c>
      <c r="B178" s="12">
        <f t="shared" ca="1" si="46"/>
        <v>42142</v>
      </c>
      <c r="C178" s="12">
        <f t="shared" ca="1" si="47"/>
        <v>42503</v>
      </c>
      <c r="D178" s="12">
        <f ca="1">IF(CTP=1,郑州商品交易所!D178+1,WORKDAY(郑州商品交易所!D178,1-全局参数,Holiday))</f>
        <v>42475</v>
      </c>
      <c r="E178" s="12">
        <f ca="1">IF(CTP=1,郑州商品交易所!E178+1,WORKDAY(郑州商品交易所!E178,1-全局参数,Holiday))</f>
        <v>42489</v>
      </c>
      <c r="Y178" t="str">
        <f t="shared" ca="1" si="36"/>
        <v/>
      </c>
    </row>
    <row r="179" spans="1:25" x14ac:dyDescent="0.15">
      <c r="A179" s="21" t="str">
        <f t="shared" ca="1" si="48"/>
        <v>JR1607</v>
      </c>
      <c r="B179" s="11">
        <f t="shared" ca="1" si="46"/>
        <v>42200</v>
      </c>
      <c r="C179" s="11">
        <f t="shared" ca="1" si="47"/>
        <v>42565</v>
      </c>
      <c r="D179" s="11">
        <f ca="1">IF(CTP=1,郑州商品交易所!D179+1,WORKDAY(郑州商品交易所!D179,1-全局参数,Holiday))</f>
        <v>42536</v>
      </c>
      <c r="E179" s="11">
        <f ca="1">IF(CTP=1,郑州商品交易所!E179+1,WORKDAY(郑州商品交易所!E179,1-全局参数,Holiday))</f>
        <v>42551</v>
      </c>
      <c r="Y179">
        <f t="shared" ca="1" si="36"/>
        <v>179</v>
      </c>
    </row>
    <row r="180" spans="1:25" x14ac:dyDescent="0.15">
      <c r="A180" s="22" t="str">
        <f t="shared" ca="1" si="48"/>
        <v>JR1609</v>
      </c>
      <c r="B180" s="12">
        <f t="shared" ca="1" si="46"/>
        <v>42264</v>
      </c>
      <c r="C180" s="12">
        <f t="shared" ca="1" si="47"/>
        <v>42627</v>
      </c>
      <c r="D180" s="12">
        <f ca="1">IF(CTP=1,郑州商品交易所!D180+1,WORKDAY(郑州商品交易所!D180,1-全局参数,Holiday))</f>
        <v>42597</v>
      </c>
      <c r="E180" s="12">
        <f ca="1">IF(CTP=1,郑州商品交易所!E180+1,WORKDAY(郑州商品交易所!E180,1-全局参数,Holiday))</f>
        <v>42613</v>
      </c>
      <c r="Y180" t="str">
        <f t="shared" ca="1" si="36"/>
        <v/>
      </c>
    </row>
    <row r="181" spans="1:25" x14ac:dyDescent="0.15">
      <c r="Y181" t="str">
        <f t="shared" ca="1" si="36"/>
        <v/>
      </c>
    </row>
    <row r="182" spans="1:25" x14ac:dyDescent="0.15">
      <c r="Y182" t="str">
        <f t="shared" ca="1" si="36"/>
        <v/>
      </c>
    </row>
    <row r="183" spans="1:25" x14ac:dyDescent="0.15">
      <c r="A183" s="48" t="str">
        <f>"晚籼稻LR"&amp;TEXT(晚籼稻LR,"#%")</f>
        <v>晚籼稻LR5%</v>
      </c>
      <c r="B183" s="49"/>
      <c r="C183" s="49"/>
      <c r="D183" s="49"/>
      <c r="E183" s="49"/>
      <c r="Y183" t="str">
        <f t="shared" ca="1" si="36"/>
        <v/>
      </c>
    </row>
    <row r="184" spans="1:25" ht="17.25" thickBot="1" x14ac:dyDescent="0.2">
      <c r="A184" s="20"/>
      <c r="B184" s="33" t="s">
        <v>46</v>
      </c>
      <c r="C184" s="33" t="s">
        <v>1</v>
      </c>
      <c r="D184" s="10">
        <f>MAX(10%,晚籼稻LR)</f>
        <v>0.1</v>
      </c>
      <c r="E184" s="10">
        <v>0.2</v>
      </c>
      <c r="Y184" t="str">
        <f t="shared" ca="1" si="36"/>
        <v/>
      </c>
    </row>
    <row r="185" spans="1:25" x14ac:dyDescent="0.15">
      <c r="A185" s="21" t="str">
        <f ca="1">"LR"&amp;IF(TEXT(DATE(YEAR(TODAY()),ODD(MONTH(TODAY())+IF(TODAY()&gt;WORKDAY(DATE(YEAR(TODAY()),ODD(MONTH(TODAY())),0),10,Holiday),1,0)),DAY(TODAY())),"yymm")*1&lt;=1411,"1411",TEXT(DATE(YEAR(TODAY()),ODD(MONTH(TODAY())+IF(TODAY()&gt;WORKDAY(DATE(YEAR(TODAY()),ODD(MONTH(TODAY())),0),10,Holiday),1,0)),1),"yymm"))</f>
        <v>LR1507</v>
      </c>
      <c r="B185" s="11">
        <f t="shared" ref="B185:B192" ca="1" si="49">IF(RIGHT(A185,4)*1&lt;=1505,DATE(2014,7,8),WORKDAY(WORKDAY(DATE("20"&amp;MID(A185,3,2),RIGHT(A185,2)-12,0),10,Holiday),1,Holiday))</f>
        <v>41835</v>
      </c>
      <c r="C185" s="11">
        <f t="shared" ref="C185:C192" ca="1" si="50">WORKDAY(DATE("20"&amp;MID(A185,3,2),RIGHT(A185,2),0),10,Holiday)</f>
        <v>42199</v>
      </c>
      <c r="D185" s="11">
        <f ca="1">IF(CTP=1,郑州商品交易所!D185+1,WORKDAY(郑州商品交易所!D185,1-全局参数,Holiday))</f>
        <v>42170</v>
      </c>
      <c r="E185" s="11">
        <f ca="1">IF(CTP=1,郑州商品交易所!E185+1,WORKDAY(郑州商品交易所!E185,1-全局参数,Holiday))</f>
        <v>42185</v>
      </c>
      <c r="Y185" t="str">
        <f t="shared" ca="1" si="36"/>
        <v/>
      </c>
    </row>
    <row r="186" spans="1:25" x14ac:dyDescent="0.15">
      <c r="A186" s="22" t="str">
        <f ca="1">"LR"&amp;TEXT(DATE("20"&amp;MID(A185,3,2),RIGHT(A185,2)+2,10),"yymm")</f>
        <v>LR1509</v>
      </c>
      <c r="B186" s="12">
        <f t="shared" ca="1" si="49"/>
        <v>41898</v>
      </c>
      <c r="C186" s="12">
        <f t="shared" ca="1" si="50"/>
        <v>42263</v>
      </c>
      <c r="D186" s="12">
        <f ca="1">IF(CTP=1,郑州商品交易所!D186+1,WORKDAY(郑州商品交易所!D186,1-全局参数,Holiday))</f>
        <v>42230</v>
      </c>
      <c r="E186" s="12">
        <f ca="1">IF(CTP=1,郑州商品交易所!E186+1,WORKDAY(郑州商品交易所!E186,1-全局参数,Holiday))</f>
        <v>42247</v>
      </c>
      <c r="Y186" t="str">
        <f t="shared" ca="1" si="36"/>
        <v/>
      </c>
    </row>
    <row r="187" spans="1:25" x14ac:dyDescent="0.15">
      <c r="A187" s="21" t="str">
        <f t="shared" ref="A187:A192" ca="1" si="51">"LR"&amp;TEXT(DATE("20"&amp;MID(A186,3,2),RIGHT(A186,2)+2,10),"yymm")</f>
        <v>LR1511</v>
      </c>
      <c r="B187" s="11">
        <f t="shared" ca="1" si="49"/>
        <v>41960</v>
      </c>
      <c r="C187" s="11">
        <f t="shared" ca="1" si="50"/>
        <v>42321</v>
      </c>
      <c r="D187" s="11">
        <f ca="1">IF(CTP=1,郑州商品交易所!D187+1,WORKDAY(郑州商品交易所!D187,1-全局参数,Holiday))</f>
        <v>42292</v>
      </c>
      <c r="E187" s="11">
        <f ca="1">IF(CTP=1,郑州商品交易所!E187+1,WORKDAY(郑州商品交易所!E187,1-全局参数,Holiday))</f>
        <v>42307</v>
      </c>
      <c r="Y187" t="str">
        <f t="shared" ca="1" si="36"/>
        <v/>
      </c>
    </row>
    <row r="188" spans="1:25" x14ac:dyDescent="0.15">
      <c r="A188" s="22" t="str">
        <f t="shared" ca="1" si="51"/>
        <v>LR1601</v>
      </c>
      <c r="B188" s="12">
        <f t="shared" ca="1" si="49"/>
        <v>42023</v>
      </c>
      <c r="C188" s="12">
        <f t="shared" ca="1" si="50"/>
        <v>42383</v>
      </c>
      <c r="D188" s="12">
        <f ca="1">IF(CTP=1,郑州商品交易所!D188+1,WORKDAY(郑州商品交易所!D188,1-全局参数,Holiday))</f>
        <v>42353</v>
      </c>
      <c r="E188" s="12">
        <f ca="1">IF(CTP=1,郑州商品交易所!E188+1,WORKDAY(郑州商品交易所!E188,1-全局参数,Holiday))</f>
        <v>42369</v>
      </c>
      <c r="Y188" t="str">
        <f t="shared" ca="1" si="36"/>
        <v/>
      </c>
    </row>
    <row r="189" spans="1:25" x14ac:dyDescent="0.15">
      <c r="A189" s="21" t="str">
        <f t="shared" ca="1" si="51"/>
        <v>LR1603</v>
      </c>
      <c r="B189" s="11">
        <f t="shared" ca="1" si="49"/>
        <v>42079</v>
      </c>
      <c r="C189" s="11">
        <f t="shared" ca="1" si="50"/>
        <v>42443</v>
      </c>
      <c r="D189" s="11">
        <f ca="1">IF(CTP=1,郑州商品交易所!D189+1,WORKDAY(郑州商品交易所!D189,1-全局参数,Holiday))</f>
        <v>42415</v>
      </c>
      <c r="E189" s="11">
        <f ca="1">IF(CTP=1,郑州商品交易所!E189+1,WORKDAY(郑州商品交易所!E189,1-全局参数,Holiday))</f>
        <v>42429</v>
      </c>
      <c r="Y189" t="str">
        <f t="shared" ca="1" si="36"/>
        <v/>
      </c>
    </row>
    <row r="190" spans="1:25" x14ac:dyDescent="0.15">
      <c r="A190" s="22" t="str">
        <f t="shared" ca="1" si="51"/>
        <v>LR1605</v>
      </c>
      <c r="B190" s="12">
        <f t="shared" ca="1" si="49"/>
        <v>42142</v>
      </c>
      <c r="C190" s="12">
        <f t="shared" ca="1" si="50"/>
        <v>42503</v>
      </c>
      <c r="D190" s="12">
        <f ca="1">IF(CTP=1,郑州商品交易所!D190+1,WORKDAY(郑州商品交易所!D190,1-全局参数,Holiday))</f>
        <v>42475</v>
      </c>
      <c r="E190" s="12">
        <f ca="1">IF(CTP=1,郑州商品交易所!E190+1,WORKDAY(郑州商品交易所!E190,1-全局参数,Holiday))</f>
        <v>42489</v>
      </c>
      <c r="Y190" t="str">
        <f t="shared" ca="1" si="36"/>
        <v/>
      </c>
    </row>
    <row r="191" spans="1:25" x14ac:dyDescent="0.15">
      <c r="A191" s="21" t="str">
        <f t="shared" ca="1" si="51"/>
        <v>LR1607</v>
      </c>
      <c r="B191" s="11">
        <f t="shared" ca="1" si="49"/>
        <v>42200</v>
      </c>
      <c r="C191" s="11">
        <f t="shared" ca="1" si="50"/>
        <v>42565</v>
      </c>
      <c r="D191" s="11">
        <f ca="1">IF(CTP=1,郑州商品交易所!D191+1,WORKDAY(郑州商品交易所!D191,1-全局参数,Holiday))</f>
        <v>42536</v>
      </c>
      <c r="E191" s="11">
        <f ca="1">IF(CTP=1,郑州商品交易所!E191+1,WORKDAY(郑州商品交易所!E191,1-全局参数,Holiday))</f>
        <v>42551</v>
      </c>
      <c r="Y191">
        <f t="shared" ca="1" si="36"/>
        <v>191</v>
      </c>
    </row>
    <row r="192" spans="1:25" x14ac:dyDescent="0.15">
      <c r="A192" s="22" t="str">
        <f t="shared" ca="1" si="51"/>
        <v>LR1609</v>
      </c>
      <c r="B192" s="12">
        <f t="shared" ca="1" si="49"/>
        <v>42264</v>
      </c>
      <c r="C192" s="12">
        <f t="shared" ca="1" si="50"/>
        <v>42627</v>
      </c>
      <c r="D192" s="12">
        <f ca="1">IF(CTP=1,郑州商品交易所!D192+1,WORKDAY(郑州商品交易所!D192,1-全局参数,Holiday))</f>
        <v>42597</v>
      </c>
      <c r="E192" s="12">
        <f ca="1">IF(CTP=1,郑州商品交易所!E192+1,WORKDAY(郑州商品交易所!E192,1-全局参数,Holiday))</f>
        <v>42613</v>
      </c>
      <c r="Y192" t="str">
        <f t="shared" ca="1" si="36"/>
        <v/>
      </c>
    </row>
    <row r="193" spans="1:25" x14ac:dyDescent="0.15">
      <c r="Y193" t="str">
        <f t="shared" ca="1" si="36"/>
        <v/>
      </c>
    </row>
    <row r="194" spans="1:25" x14ac:dyDescent="0.15">
      <c r="Y194" t="str">
        <f t="shared" ref="Y194:Y228" ca="1" si="52">IFERROR(IF(AND(B194+0&gt;TODAY(),B194+0&lt;DATE(YEAR(TODAY()),MONTH(TODAY())+1,DAY(TODAY()))),ROW(),""),"")</f>
        <v/>
      </c>
    </row>
    <row r="195" spans="1:25" x14ac:dyDescent="0.15">
      <c r="A195" s="48" t="str">
        <f>"硅铁SF"&amp;TEXT(硅铁SF,"#%")</f>
        <v>硅铁SF5%</v>
      </c>
      <c r="B195" s="49"/>
      <c r="C195" s="49"/>
      <c r="D195" s="49"/>
      <c r="E195" s="49"/>
      <c r="Y195" t="str">
        <f t="shared" ca="1" si="52"/>
        <v/>
      </c>
    </row>
    <row r="196" spans="1:25" ht="17.25" thickBot="1" x14ac:dyDescent="0.2">
      <c r="A196" s="20"/>
      <c r="B196" s="33" t="s">
        <v>46</v>
      </c>
      <c r="C196" s="33" t="s">
        <v>1</v>
      </c>
      <c r="D196" s="10">
        <v>0.1</v>
      </c>
      <c r="E196" s="10">
        <v>0.2</v>
      </c>
      <c r="Y196" t="str">
        <f t="shared" ca="1" si="52"/>
        <v/>
      </c>
    </row>
    <row r="197" spans="1:25" x14ac:dyDescent="0.15">
      <c r="A197" s="21" t="str">
        <f ca="1">"SF"&amp;IF(TODAY()&lt;=WORKDAY(DATE(2014,11,0),10,Holiday),"1411",TEXT(DATE(YEAR(TODAY()),MONTH(TODAY())+IF(TODAY()&gt;WORKDAY(DATE(YEAR(TODAY()),MONTH(TODAY()),0),10,Holiday),1,0),1),"yymm"))</f>
        <v>SF1507</v>
      </c>
      <c r="B197" s="11">
        <f t="shared" ref="B197:B210" ca="1" si="53">IF(RIGHT(A197,4)*1&lt;=1507,DATE(2014,8,8),WORKDAY(WORKDAY(DATE("20"&amp;MID(A197,3,2),RIGHT(A197,2)-12,0),10,Holiday),1,Holiday))</f>
        <v>41859</v>
      </c>
      <c r="C197" s="11">
        <f t="shared" ref="C197:C210" ca="1" si="54">WORKDAY(DATE("20"&amp;MID(A197,3,2),RIGHT(A197,2),0),10,Holiday)</f>
        <v>42199</v>
      </c>
      <c r="D197" s="11">
        <f ca="1">IF(CTP=1,郑州商品交易所!D197+1,WORKDAY(郑州商品交易所!D197,1-全局参数,Holiday))</f>
        <v>42170</v>
      </c>
      <c r="E197" s="11">
        <f ca="1">IF(CTP=1,郑州商品交易所!E197+1,WORKDAY(郑州商品交易所!E197,1-全局参数,Holiday))</f>
        <v>42185</v>
      </c>
      <c r="Y197" t="str">
        <f t="shared" ca="1" si="52"/>
        <v/>
      </c>
    </row>
    <row r="198" spans="1:25" x14ac:dyDescent="0.15">
      <c r="A198" s="22" t="str">
        <f ca="1">"SF"&amp;TEXT(DATE("20"&amp;MID(A197,LEN(A197)-3,2),RIGHT(A197,2)+1,"10"),"yymm")</f>
        <v>SF1508</v>
      </c>
      <c r="B198" s="12">
        <f t="shared" ca="1" si="53"/>
        <v>41866</v>
      </c>
      <c r="C198" s="12">
        <f t="shared" ca="1" si="54"/>
        <v>42230</v>
      </c>
      <c r="D198" s="12">
        <f ca="1">IF(CTP=1,郑州商品交易所!D198+1,WORKDAY(郑州商品交易所!D198,1-全局参数,Holiday))</f>
        <v>42200</v>
      </c>
      <c r="E198" s="12">
        <f ca="1">IF(CTP=1,郑州商品交易所!E198+1,WORKDAY(郑州商品交易所!E198,1-全局参数,Holiday))</f>
        <v>42216</v>
      </c>
      <c r="Y198" t="str">
        <f t="shared" ca="1" si="52"/>
        <v/>
      </c>
    </row>
    <row r="199" spans="1:25" x14ac:dyDescent="0.15">
      <c r="A199" s="21" t="str">
        <f t="shared" ref="A199:A210" ca="1" si="55">"SF"&amp;TEXT(DATE("20"&amp;MID(A198,LEN(A198)-3,2),RIGHT(A198,2)+1,"10"),"yymm")</f>
        <v>SF1509</v>
      </c>
      <c r="B199" s="11">
        <f t="shared" ca="1" si="53"/>
        <v>41898</v>
      </c>
      <c r="C199" s="11">
        <f t="shared" ca="1" si="54"/>
        <v>42263</v>
      </c>
      <c r="D199" s="11">
        <f ca="1">IF(CTP=1,郑州商品交易所!D199+1,WORKDAY(郑州商品交易所!D199,1-全局参数,Holiday))</f>
        <v>42230</v>
      </c>
      <c r="E199" s="11">
        <f ca="1">IF(CTP=1,郑州商品交易所!E199+1,WORKDAY(郑州商品交易所!E199,1-全局参数,Holiday))</f>
        <v>42247</v>
      </c>
      <c r="Y199" t="str">
        <f t="shared" ca="1" si="52"/>
        <v/>
      </c>
    </row>
    <row r="200" spans="1:25" x14ac:dyDescent="0.15">
      <c r="A200" s="22" t="str">
        <f t="shared" ca="1" si="55"/>
        <v>SF1510</v>
      </c>
      <c r="B200" s="12">
        <f t="shared" ca="1" si="53"/>
        <v>41934</v>
      </c>
      <c r="C200" s="12">
        <f t="shared" ca="1" si="54"/>
        <v>42298</v>
      </c>
      <c r="D200" s="12">
        <f ca="1">IF(CTP=1,郑州商品交易所!D200+1,WORKDAY(郑州商品交易所!D200,1-全局参数,Holiday))</f>
        <v>42262</v>
      </c>
      <c r="E200" s="12">
        <f ca="1">IF(CTP=1,郑州商品交易所!E200+1,WORKDAY(郑州商品交易所!E200,1-全局参数,Holiday))</f>
        <v>42277</v>
      </c>
      <c r="Y200" t="str">
        <f t="shared" ca="1" si="52"/>
        <v/>
      </c>
    </row>
    <row r="201" spans="1:25" x14ac:dyDescent="0.15">
      <c r="A201" s="21" t="str">
        <f t="shared" ca="1" si="55"/>
        <v>SF1511</v>
      </c>
      <c r="B201" s="11">
        <f t="shared" ca="1" si="53"/>
        <v>41960</v>
      </c>
      <c r="C201" s="11">
        <f t="shared" ca="1" si="54"/>
        <v>42321</v>
      </c>
      <c r="D201" s="11">
        <f ca="1">IF(CTP=1,郑州商品交易所!D201+1,WORKDAY(郑州商品交易所!D201,1-全局参数,Holiday))</f>
        <v>42292</v>
      </c>
      <c r="E201" s="11">
        <f ca="1">IF(CTP=1,郑州商品交易所!E201+1,WORKDAY(郑州商品交易所!E201,1-全局参数,Holiday))</f>
        <v>42307</v>
      </c>
      <c r="Y201" t="str">
        <f t="shared" ca="1" si="52"/>
        <v/>
      </c>
    </row>
    <row r="202" spans="1:25" x14ac:dyDescent="0.15">
      <c r="A202" s="22" t="str">
        <f t="shared" ca="1" si="55"/>
        <v>SF1512</v>
      </c>
      <c r="B202" s="12">
        <f t="shared" ca="1" si="53"/>
        <v>41988</v>
      </c>
      <c r="C202" s="12">
        <f t="shared" ca="1" si="54"/>
        <v>42352</v>
      </c>
      <c r="D202" s="12">
        <f ca="1">IF(CTP=1,郑州商品交易所!D202+1,WORKDAY(郑州商品交易所!D202,1-全局参数,Holiday))</f>
        <v>42321</v>
      </c>
      <c r="E202" s="12">
        <f ca="1">IF(CTP=1,郑州商品交易所!E202+1,WORKDAY(郑州商品交易所!E202,1-全局参数,Holiday))</f>
        <v>42338</v>
      </c>
      <c r="Y202" t="str">
        <f t="shared" ca="1" si="52"/>
        <v/>
      </c>
    </row>
    <row r="203" spans="1:25" x14ac:dyDescent="0.15">
      <c r="A203" s="21" t="str">
        <f t="shared" ca="1" si="55"/>
        <v>SF1601</v>
      </c>
      <c r="B203" s="11">
        <f t="shared" ca="1" si="53"/>
        <v>42023</v>
      </c>
      <c r="C203" s="11">
        <f t="shared" ca="1" si="54"/>
        <v>42383</v>
      </c>
      <c r="D203" s="11">
        <f ca="1">IF(CTP=1,郑州商品交易所!D203+1,WORKDAY(郑州商品交易所!D203,1-全局参数,Holiday))</f>
        <v>42353</v>
      </c>
      <c r="E203" s="11">
        <f ca="1">IF(CTP=1,郑州商品交易所!E203+1,WORKDAY(郑州商品交易所!E203,1-全局参数,Holiday))</f>
        <v>42369</v>
      </c>
      <c r="Y203" t="str">
        <f t="shared" ca="1" si="52"/>
        <v/>
      </c>
    </row>
    <row r="204" spans="1:25" x14ac:dyDescent="0.15">
      <c r="A204" s="22" t="str">
        <f t="shared" ca="1" si="55"/>
        <v>SF1602</v>
      </c>
      <c r="B204" s="12">
        <f t="shared" ca="1" si="53"/>
        <v>42051</v>
      </c>
      <c r="C204" s="12">
        <f t="shared" ca="1" si="54"/>
        <v>42412</v>
      </c>
      <c r="D204" s="12">
        <f ca="1">IF(CTP=1,郑州商品交易所!D204+1,WORKDAY(郑州商品交易所!D204,1-全局参数,Holiday))</f>
        <v>42384</v>
      </c>
      <c r="E204" s="12">
        <f ca="1">IF(CTP=1,郑州商品交易所!E204+1,WORKDAY(郑州商品交易所!E204,1-全局参数,Holiday))</f>
        <v>42398</v>
      </c>
      <c r="Y204" t="str">
        <f t="shared" ca="1" si="52"/>
        <v/>
      </c>
    </row>
    <row r="205" spans="1:25" x14ac:dyDescent="0.15">
      <c r="A205" s="21" t="str">
        <f t="shared" ca="1" si="55"/>
        <v>SF1603</v>
      </c>
      <c r="B205" s="11">
        <f t="shared" ca="1" si="53"/>
        <v>42079</v>
      </c>
      <c r="C205" s="11">
        <f t="shared" ca="1" si="54"/>
        <v>42443</v>
      </c>
      <c r="D205" s="11">
        <f ca="1">IF(CTP=1,郑州商品交易所!D205+1,WORKDAY(郑州商品交易所!D205,1-全局参数,Holiday))</f>
        <v>42415</v>
      </c>
      <c r="E205" s="11">
        <f ca="1">IF(CTP=1,郑州商品交易所!E205+1,WORKDAY(郑州商品交易所!E205,1-全局参数,Holiday))</f>
        <v>42429</v>
      </c>
      <c r="Y205" t="str">
        <f t="shared" ca="1" si="52"/>
        <v/>
      </c>
    </row>
    <row r="206" spans="1:25" x14ac:dyDescent="0.15">
      <c r="A206" s="22" t="str">
        <f t="shared" ca="1" si="55"/>
        <v>SF1604</v>
      </c>
      <c r="B206" s="12">
        <f t="shared" ca="1" si="53"/>
        <v>42110</v>
      </c>
      <c r="C206" s="12">
        <f t="shared" ca="1" si="54"/>
        <v>42474</v>
      </c>
      <c r="D206" s="12">
        <f ca="1">IF(CTP=1,郑州商品交易所!D206+1,WORKDAY(郑州商品交易所!D206,1-全局参数,Holiday))</f>
        <v>42444</v>
      </c>
      <c r="E206" s="12">
        <f ca="1">IF(CTP=1,郑州商品交易所!E206+1,WORKDAY(郑州商品交易所!E206,1-全局参数,Holiday))</f>
        <v>42460</v>
      </c>
      <c r="Y206" t="str">
        <f t="shared" ca="1" si="52"/>
        <v/>
      </c>
    </row>
    <row r="207" spans="1:25" x14ac:dyDescent="0.15">
      <c r="A207" s="21" t="str">
        <f t="shared" ca="1" si="55"/>
        <v>SF1605</v>
      </c>
      <c r="B207" s="11">
        <f t="shared" ca="1" si="53"/>
        <v>42142</v>
      </c>
      <c r="C207" s="11">
        <f t="shared" ca="1" si="54"/>
        <v>42503</v>
      </c>
      <c r="D207" s="11">
        <f ca="1">IF(CTP=1,郑州商品交易所!D207+1,WORKDAY(郑州商品交易所!D207,1-全局参数,Holiday))</f>
        <v>42475</v>
      </c>
      <c r="E207" s="11">
        <f ca="1">IF(CTP=1,郑州商品交易所!E207+1,WORKDAY(郑州商品交易所!E207,1-全局参数,Holiday))</f>
        <v>42489</v>
      </c>
      <c r="Y207" t="str">
        <f t="shared" ca="1" si="52"/>
        <v/>
      </c>
    </row>
    <row r="208" spans="1:25" x14ac:dyDescent="0.15">
      <c r="A208" s="22" t="str">
        <f t="shared" ca="1" si="55"/>
        <v>SF1606</v>
      </c>
      <c r="B208" s="12">
        <f t="shared" ca="1" si="53"/>
        <v>42170</v>
      </c>
      <c r="C208" s="12">
        <f t="shared" ca="1" si="54"/>
        <v>42535</v>
      </c>
      <c r="D208" s="12">
        <f ca="1">IF(CTP=1,郑州商品交易所!D208+1,WORKDAY(郑州商品交易所!D208,1-全局参数,Holiday))</f>
        <v>42503</v>
      </c>
      <c r="E208" s="12">
        <f ca="1">IF(CTP=1,郑州商品交易所!E208+1,WORKDAY(郑州商品交易所!E208,1-全局参数,Holiday))</f>
        <v>42521</v>
      </c>
      <c r="Y208" t="str">
        <f t="shared" ca="1" si="52"/>
        <v/>
      </c>
    </row>
    <row r="209" spans="1:25" x14ac:dyDescent="0.15">
      <c r="A209" s="21" t="str">
        <f t="shared" ca="1" si="55"/>
        <v>SF1607</v>
      </c>
      <c r="B209" s="11">
        <f t="shared" ca="1" si="53"/>
        <v>42200</v>
      </c>
      <c r="C209" s="11">
        <f t="shared" ca="1" si="54"/>
        <v>42565</v>
      </c>
      <c r="D209" s="11">
        <f ca="1">IF(CTP=1,郑州商品交易所!D209+1,WORKDAY(郑州商品交易所!D209,1-全局参数,Holiday))</f>
        <v>42536</v>
      </c>
      <c r="E209" s="11">
        <f ca="1">IF(CTP=1,郑州商品交易所!E209+1,WORKDAY(郑州商品交易所!E209,1-全局参数,Holiday))</f>
        <v>42551</v>
      </c>
      <c r="Y209">
        <f t="shared" ca="1" si="52"/>
        <v>209</v>
      </c>
    </row>
    <row r="210" spans="1:25" x14ac:dyDescent="0.15">
      <c r="A210" s="22" t="str">
        <f t="shared" ca="1" si="55"/>
        <v>SF1608</v>
      </c>
      <c r="B210" s="12">
        <f t="shared" ca="1" si="53"/>
        <v>42233</v>
      </c>
      <c r="C210" s="12">
        <f t="shared" ca="1" si="54"/>
        <v>42594</v>
      </c>
      <c r="D210" s="12">
        <f ca="1">IF(CTP=1,郑州商品交易所!D210+1,WORKDAY(郑州商品交易所!D210,1-全局参数,Holiday))</f>
        <v>42566</v>
      </c>
      <c r="E210" s="12">
        <f ca="1">IF(CTP=1,郑州商品交易所!E210+1,WORKDAY(郑州商品交易所!E210,1-全局参数,Holiday))</f>
        <v>42580</v>
      </c>
      <c r="Y210" t="str">
        <f t="shared" ca="1" si="52"/>
        <v/>
      </c>
    </row>
    <row r="211" spans="1:25" x14ac:dyDescent="0.15">
      <c r="Y211" t="str">
        <f t="shared" ca="1" si="52"/>
        <v/>
      </c>
    </row>
    <row r="212" spans="1:25" x14ac:dyDescent="0.15">
      <c r="Y212" t="str">
        <f t="shared" ca="1" si="52"/>
        <v/>
      </c>
    </row>
    <row r="213" spans="1:25" x14ac:dyDescent="0.15">
      <c r="A213" s="48" t="str">
        <f>"锰硅SM"&amp;TEXT(锰硅SM,"#%")</f>
        <v>锰硅SM5%</v>
      </c>
      <c r="B213" s="49"/>
      <c r="C213" s="49"/>
      <c r="D213" s="49"/>
      <c r="E213" s="49"/>
      <c r="Y213" t="str">
        <f t="shared" ca="1" si="52"/>
        <v/>
      </c>
    </row>
    <row r="214" spans="1:25" ht="17.25" thickBot="1" x14ac:dyDescent="0.2">
      <c r="A214" s="20"/>
      <c r="B214" s="33" t="s">
        <v>46</v>
      </c>
      <c r="C214" s="33" t="s">
        <v>1</v>
      </c>
      <c r="D214" s="10">
        <v>0.1</v>
      </c>
      <c r="E214" s="10">
        <v>0.2</v>
      </c>
      <c r="Y214" t="str">
        <f t="shared" ca="1" si="52"/>
        <v/>
      </c>
    </row>
    <row r="215" spans="1:25" x14ac:dyDescent="0.15">
      <c r="A215" s="21" t="str">
        <f ca="1">"SM"&amp;IF(TODAY()&lt;=WORKDAY(DATE(2014,11,0),10,Holiday),"1411",TEXT(DATE(YEAR(TODAY()),MONTH(TODAY())+IF(TODAY()&gt;WORKDAY(DATE(YEAR(TODAY()),MONTH(TODAY()),0),10,Holiday),1,0),1),"yymm"))</f>
        <v>SM1507</v>
      </c>
      <c r="B215" s="11">
        <f t="shared" ref="B215:B228" ca="1" si="56">IF(RIGHT(A215,4)*1&lt;=1507,DATE(2014,8,8),WORKDAY(WORKDAY(DATE("20"&amp;MID(A215,3,2),RIGHT(A215,2)-12,0),10,Holiday),1,Holiday))</f>
        <v>41859</v>
      </c>
      <c r="C215" s="11">
        <f t="shared" ref="C215:C228" ca="1" si="57">WORKDAY(DATE("20"&amp;MID(A215,3,2),RIGHT(A215,2),0),10,Holiday)</f>
        <v>42199</v>
      </c>
      <c r="D215" s="11">
        <f ca="1">IF(CTP=1,郑州商品交易所!D215+1,WORKDAY(郑州商品交易所!D215,1-全局参数,Holiday))</f>
        <v>42170</v>
      </c>
      <c r="E215" s="11">
        <f ca="1">IF(CTP=1,郑州商品交易所!E215+1,WORKDAY(郑州商品交易所!E215,1-全局参数,Holiday))</f>
        <v>42185</v>
      </c>
      <c r="Y215" t="str">
        <f t="shared" ca="1" si="52"/>
        <v/>
      </c>
    </row>
    <row r="216" spans="1:25" x14ac:dyDescent="0.15">
      <c r="A216" s="22" t="str">
        <f ca="1">"SM"&amp;TEXT(DATE("20"&amp;MID(A215,LEN(A215)-3,2),RIGHT(A215,2)+1,"10"),"yymm")</f>
        <v>SM1508</v>
      </c>
      <c r="B216" s="12">
        <f t="shared" ca="1" si="56"/>
        <v>41866</v>
      </c>
      <c r="C216" s="12">
        <f t="shared" ca="1" si="57"/>
        <v>42230</v>
      </c>
      <c r="D216" s="12">
        <f ca="1">IF(CTP=1,郑州商品交易所!D216+1,WORKDAY(郑州商品交易所!D216,1-全局参数,Holiday))</f>
        <v>42200</v>
      </c>
      <c r="E216" s="12">
        <f ca="1">IF(CTP=1,郑州商品交易所!E216+1,WORKDAY(郑州商品交易所!E216,1-全局参数,Holiday))</f>
        <v>42216</v>
      </c>
      <c r="Y216" t="str">
        <f t="shared" ca="1" si="52"/>
        <v/>
      </c>
    </row>
    <row r="217" spans="1:25" x14ac:dyDescent="0.15">
      <c r="A217" s="21" t="str">
        <f t="shared" ref="A217:A228" ca="1" si="58">"SM"&amp;TEXT(DATE("20"&amp;MID(A216,LEN(A216)-3,2),RIGHT(A216,2)+1,"10"),"yymm")</f>
        <v>SM1509</v>
      </c>
      <c r="B217" s="11">
        <f t="shared" ca="1" si="56"/>
        <v>41898</v>
      </c>
      <c r="C217" s="11">
        <f t="shared" ca="1" si="57"/>
        <v>42263</v>
      </c>
      <c r="D217" s="11">
        <f ca="1">IF(CTP=1,郑州商品交易所!D217+1,WORKDAY(郑州商品交易所!D217,1-全局参数,Holiday))</f>
        <v>42230</v>
      </c>
      <c r="E217" s="11">
        <f ca="1">IF(CTP=1,郑州商品交易所!E217+1,WORKDAY(郑州商品交易所!E217,1-全局参数,Holiday))</f>
        <v>42247</v>
      </c>
      <c r="Y217" t="str">
        <f t="shared" ca="1" si="52"/>
        <v/>
      </c>
    </row>
    <row r="218" spans="1:25" x14ac:dyDescent="0.15">
      <c r="A218" s="22" t="str">
        <f t="shared" ca="1" si="58"/>
        <v>SM1510</v>
      </c>
      <c r="B218" s="12">
        <f t="shared" ca="1" si="56"/>
        <v>41934</v>
      </c>
      <c r="C218" s="12">
        <f t="shared" ca="1" si="57"/>
        <v>42298</v>
      </c>
      <c r="D218" s="12">
        <f ca="1">IF(CTP=1,郑州商品交易所!D218+1,WORKDAY(郑州商品交易所!D218,1-全局参数,Holiday))</f>
        <v>42262</v>
      </c>
      <c r="E218" s="12">
        <f ca="1">IF(CTP=1,郑州商品交易所!E218+1,WORKDAY(郑州商品交易所!E218,1-全局参数,Holiday))</f>
        <v>42277</v>
      </c>
      <c r="Y218" t="str">
        <f t="shared" ca="1" si="52"/>
        <v/>
      </c>
    </row>
    <row r="219" spans="1:25" x14ac:dyDescent="0.15">
      <c r="A219" s="21" t="str">
        <f t="shared" ca="1" si="58"/>
        <v>SM1511</v>
      </c>
      <c r="B219" s="11">
        <f t="shared" ca="1" si="56"/>
        <v>41960</v>
      </c>
      <c r="C219" s="11">
        <f t="shared" ca="1" si="57"/>
        <v>42321</v>
      </c>
      <c r="D219" s="11">
        <f ca="1">IF(CTP=1,郑州商品交易所!D219+1,WORKDAY(郑州商品交易所!D219,1-全局参数,Holiday))</f>
        <v>42292</v>
      </c>
      <c r="E219" s="11">
        <f ca="1">IF(CTP=1,郑州商品交易所!E219+1,WORKDAY(郑州商品交易所!E219,1-全局参数,Holiday))</f>
        <v>42307</v>
      </c>
      <c r="Y219" t="str">
        <f t="shared" ca="1" si="52"/>
        <v/>
      </c>
    </row>
    <row r="220" spans="1:25" x14ac:dyDescent="0.15">
      <c r="A220" s="22" t="str">
        <f t="shared" ca="1" si="58"/>
        <v>SM1512</v>
      </c>
      <c r="B220" s="12">
        <f t="shared" ca="1" si="56"/>
        <v>41988</v>
      </c>
      <c r="C220" s="12">
        <f t="shared" ca="1" si="57"/>
        <v>42352</v>
      </c>
      <c r="D220" s="12">
        <f ca="1">IF(CTP=1,郑州商品交易所!D220+1,WORKDAY(郑州商品交易所!D220,1-全局参数,Holiday))</f>
        <v>42321</v>
      </c>
      <c r="E220" s="12">
        <f ca="1">IF(CTP=1,郑州商品交易所!E220+1,WORKDAY(郑州商品交易所!E220,1-全局参数,Holiday))</f>
        <v>42338</v>
      </c>
      <c r="Y220" t="str">
        <f t="shared" ca="1" si="52"/>
        <v/>
      </c>
    </row>
    <row r="221" spans="1:25" x14ac:dyDescent="0.15">
      <c r="A221" s="21" t="str">
        <f t="shared" ca="1" si="58"/>
        <v>SM1601</v>
      </c>
      <c r="B221" s="11">
        <f t="shared" ca="1" si="56"/>
        <v>42023</v>
      </c>
      <c r="C221" s="11">
        <f t="shared" ca="1" si="57"/>
        <v>42383</v>
      </c>
      <c r="D221" s="11">
        <f ca="1">IF(CTP=1,郑州商品交易所!D221+1,WORKDAY(郑州商品交易所!D221,1-全局参数,Holiday))</f>
        <v>42353</v>
      </c>
      <c r="E221" s="11">
        <f ca="1">IF(CTP=1,郑州商品交易所!E221+1,WORKDAY(郑州商品交易所!E221,1-全局参数,Holiday))</f>
        <v>42369</v>
      </c>
      <c r="Y221" t="str">
        <f t="shared" ca="1" si="52"/>
        <v/>
      </c>
    </row>
    <row r="222" spans="1:25" x14ac:dyDescent="0.15">
      <c r="A222" s="22" t="str">
        <f t="shared" ca="1" si="58"/>
        <v>SM1602</v>
      </c>
      <c r="B222" s="12">
        <f t="shared" ca="1" si="56"/>
        <v>42051</v>
      </c>
      <c r="C222" s="12">
        <f t="shared" ca="1" si="57"/>
        <v>42412</v>
      </c>
      <c r="D222" s="12">
        <f ca="1">IF(CTP=1,郑州商品交易所!D222+1,WORKDAY(郑州商品交易所!D222,1-全局参数,Holiday))</f>
        <v>42384</v>
      </c>
      <c r="E222" s="12">
        <f ca="1">IF(CTP=1,郑州商品交易所!E222+1,WORKDAY(郑州商品交易所!E222,1-全局参数,Holiday))</f>
        <v>42398</v>
      </c>
      <c r="Y222" t="str">
        <f t="shared" ca="1" si="52"/>
        <v/>
      </c>
    </row>
    <row r="223" spans="1:25" x14ac:dyDescent="0.15">
      <c r="A223" s="21" t="str">
        <f t="shared" ca="1" si="58"/>
        <v>SM1603</v>
      </c>
      <c r="B223" s="11">
        <f t="shared" ca="1" si="56"/>
        <v>42079</v>
      </c>
      <c r="C223" s="11">
        <f t="shared" ca="1" si="57"/>
        <v>42443</v>
      </c>
      <c r="D223" s="11">
        <f ca="1">IF(CTP=1,郑州商品交易所!D223+1,WORKDAY(郑州商品交易所!D223,1-全局参数,Holiday))</f>
        <v>42415</v>
      </c>
      <c r="E223" s="11">
        <f ca="1">IF(CTP=1,郑州商品交易所!E223+1,WORKDAY(郑州商品交易所!E223,1-全局参数,Holiday))</f>
        <v>42429</v>
      </c>
      <c r="Y223" t="str">
        <f t="shared" ca="1" si="52"/>
        <v/>
      </c>
    </row>
    <row r="224" spans="1:25" x14ac:dyDescent="0.15">
      <c r="A224" s="22" t="str">
        <f t="shared" ca="1" si="58"/>
        <v>SM1604</v>
      </c>
      <c r="B224" s="12">
        <f t="shared" ca="1" si="56"/>
        <v>42110</v>
      </c>
      <c r="C224" s="12">
        <f t="shared" ca="1" si="57"/>
        <v>42474</v>
      </c>
      <c r="D224" s="12">
        <f ca="1">IF(CTP=1,郑州商品交易所!D224+1,WORKDAY(郑州商品交易所!D224,1-全局参数,Holiday))</f>
        <v>42444</v>
      </c>
      <c r="E224" s="12">
        <f ca="1">IF(CTP=1,郑州商品交易所!E224+1,WORKDAY(郑州商品交易所!E224,1-全局参数,Holiday))</f>
        <v>42460</v>
      </c>
      <c r="Y224" t="str">
        <f t="shared" ca="1" si="52"/>
        <v/>
      </c>
    </row>
    <row r="225" spans="1:25" x14ac:dyDescent="0.15">
      <c r="A225" s="21" t="str">
        <f t="shared" ca="1" si="58"/>
        <v>SM1605</v>
      </c>
      <c r="B225" s="11">
        <f t="shared" ca="1" si="56"/>
        <v>42142</v>
      </c>
      <c r="C225" s="11">
        <f t="shared" ca="1" si="57"/>
        <v>42503</v>
      </c>
      <c r="D225" s="11">
        <f ca="1">IF(CTP=1,郑州商品交易所!D225+1,WORKDAY(郑州商品交易所!D225,1-全局参数,Holiday))</f>
        <v>42475</v>
      </c>
      <c r="E225" s="11">
        <f ca="1">IF(CTP=1,郑州商品交易所!E225+1,WORKDAY(郑州商品交易所!E225,1-全局参数,Holiday))</f>
        <v>42489</v>
      </c>
      <c r="Y225" t="str">
        <f t="shared" ca="1" si="52"/>
        <v/>
      </c>
    </row>
    <row r="226" spans="1:25" x14ac:dyDescent="0.15">
      <c r="A226" s="22" t="str">
        <f t="shared" ca="1" si="58"/>
        <v>SM1606</v>
      </c>
      <c r="B226" s="12">
        <f t="shared" ca="1" si="56"/>
        <v>42170</v>
      </c>
      <c r="C226" s="12">
        <f t="shared" ca="1" si="57"/>
        <v>42535</v>
      </c>
      <c r="D226" s="12">
        <f ca="1">IF(CTP=1,郑州商品交易所!D226+1,WORKDAY(郑州商品交易所!D226,1-全局参数,Holiday))</f>
        <v>42503</v>
      </c>
      <c r="E226" s="12">
        <f ca="1">IF(CTP=1,郑州商品交易所!E226+1,WORKDAY(郑州商品交易所!E226,1-全局参数,Holiday))</f>
        <v>42521</v>
      </c>
      <c r="Y226" t="str">
        <f t="shared" ca="1" si="52"/>
        <v/>
      </c>
    </row>
    <row r="227" spans="1:25" x14ac:dyDescent="0.15">
      <c r="A227" s="21" t="str">
        <f t="shared" ca="1" si="58"/>
        <v>SM1607</v>
      </c>
      <c r="B227" s="11">
        <f t="shared" ca="1" si="56"/>
        <v>42200</v>
      </c>
      <c r="C227" s="11">
        <f t="shared" ca="1" si="57"/>
        <v>42565</v>
      </c>
      <c r="D227" s="11">
        <f ca="1">IF(CTP=1,郑州商品交易所!D227+1,WORKDAY(郑州商品交易所!D227,1-全局参数,Holiday))</f>
        <v>42536</v>
      </c>
      <c r="E227" s="11">
        <f ca="1">IF(CTP=1,郑州商品交易所!E227+1,WORKDAY(郑州商品交易所!E227,1-全局参数,Holiday))</f>
        <v>42551</v>
      </c>
      <c r="Y227">
        <f t="shared" ca="1" si="52"/>
        <v>227</v>
      </c>
    </row>
    <row r="228" spans="1:25" x14ac:dyDescent="0.15">
      <c r="A228" s="22" t="str">
        <f t="shared" ca="1" si="58"/>
        <v>SM1608</v>
      </c>
      <c r="B228" s="12">
        <f t="shared" ca="1" si="56"/>
        <v>42233</v>
      </c>
      <c r="C228" s="12">
        <f t="shared" ca="1" si="57"/>
        <v>42594</v>
      </c>
      <c r="D228" s="12">
        <f ca="1">IF(CTP=1,郑州商品交易所!D228+1,WORKDAY(郑州商品交易所!D228,1-全局参数,Holiday))</f>
        <v>42566</v>
      </c>
      <c r="E228" s="12">
        <f ca="1">IF(CTP=1,郑州商品交易所!E228+1,WORKDAY(郑州商品交易所!E228,1-全局参数,Holiday))</f>
        <v>42580</v>
      </c>
      <c r="Y228" t="str">
        <f t="shared" ca="1" si="52"/>
        <v/>
      </c>
    </row>
  </sheetData>
  <sheetProtection selectLockedCells="1" selectUnlockedCells="1"/>
  <mergeCells count="16">
    <mergeCell ref="A195:E195"/>
    <mergeCell ref="A213:E213"/>
    <mergeCell ref="A183:E183"/>
    <mergeCell ref="A171:E171"/>
    <mergeCell ref="A1:E1"/>
    <mergeCell ref="A112:E112"/>
    <mergeCell ref="A37:E37"/>
    <mergeCell ref="A49:E49"/>
    <mergeCell ref="A61:E61"/>
    <mergeCell ref="A94:E94"/>
    <mergeCell ref="A76:E76"/>
    <mergeCell ref="A153:E153"/>
    <mergeCell ref="A130:E130"/>
    <mergeCell ref="A140:E140"/>
    <mergeCell ref="A25:E25"/>
    <mergeCell ref="A13:E13"/>
  </mergeCells>
  <phoneticPr fontId="1" type="noConversion"/>
  <conditionalFormatting sqref="C3:C10 C15:C22 C27:C34 C39:C46 C51:C58 C78:C91 C96:C109 C63:C73">
    <cfRule type="iconSet" priority="65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C114:C127">
    <cfRule type="iconSet" priority="62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C132:C137">
    <cfRule type="iconSet" priority="95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C142:C150">
    <cfRule type="iconSet" priority="54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C142">
    <cfRule type="iconSet" priority="48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C143:C150">
    <cfRule type="iconSet" priority="43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3:B10">
    <cfRule type="iconSet" priority="4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5:B22">
    <cfRule type="iconSet" priority="40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27:B34">
    <cfRule type="iconSet" priority="3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39:B46">
    <cfRule type="iconSet" priority="38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51:B58">
    <cfRule type="iconSet" priority="3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63:B73">
    <cfRule type="iconSet" priority="36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78:B91">
    <cfRule type="iconSet" priority="3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96:B109">
    <cfRule type="iconSet" priority="34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14:B127">
    <cfRule type="iconSet" priority="3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32:B137">
    <cfRule type="iconSet" priority="32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B142:B150">
    <cfRule type="iconSet" priority="3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55:C168">
    <cfRule type="iconSet" priority="28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155:B168">
    <cfRule type="iconSet" priority="25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73:C180">
    <cfRule type="iconSet" priority="164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173:B180">
    <cfRule type="iconSet" priority="169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85:C192">
    <cfRule type="iconSet" priority="18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185:B192">
    <cfRule type="iconSet" priority="1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197:C210">
    <cfRule type="iconSet" priority="12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197:B210">
    <cfRule type="iconSet" priority="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215:C228">
    <cfRule type="iconSet" priority="6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215:B228">
    <cfRule type="iconSet" priority="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114:E127">
    <cfRule type="cellIs" dxfId="23" priority="271" operator="equal">
      <formula>WORKDAY(TODAY(),1,Holiday)</formula>
    </cfRule>
    <cfRule type="iconSet" priority="27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3:E10 D15:E22 D27:E34 D39:E46 D51:E58 D78:E91 D96:E109 D114:E127 D63:E73">
    <cfRule type="cellIs" dxfId="22" priority="273" operator="between">
      <formula>WORKDAY(TODAY(),10,Holiday)</formula>
      <formula>WORKDAY(TODAY(),1,Holiday)</formula>
    </cfRule>
    <cfRule type="iconSet" priority="27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32:E137">
    <cfRule type="cellIs" dxfId="21" priority="291" operator="equal">
      <formula>WORKDAY(TODAY(),1,Holiday)</formula>
    </cfRule>
    <cfRule type="iconSet" priority="29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32:E137">
    <cfRule type="cellIs" dxfId="20" priority="293" operator="between">
      <formula>WORKDAY(TODAY(),10,Holiday)</formula>
      <formula>WORKDAY(TODAY(),1,Holiday)</formula>
    </cfRule>
    <cfRule type="iconSet" priority="29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42:E145">
    <cfRule type="cellIs" dxfId="19" priority="295" operator="between">
      <formula>WORKDAY(TODAY(),10,Holiday)</formula>
      <formula>WORKDAY(TODAY(),1,Holiday)</formula>
    </cfRule>
    <cfRule type="iconSet" priority="29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42:E150">
    <cfRule type="cellIs" dxfId="18" priority="297" operator="between">
      <formula>WORKDAY(TODAY(),10,Holiday)</formula>
      <formula>WORKDAY(TODAY(),1,Holiday)</formula>
    </cfRule>
    <cfRule type="iconSet" priority="29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42:E142">
    <cfRule type="cellIs" dxfId="17" priority="299" operator="equal">
      <formula>WORKDAY(TODAY(),1,Holiday)</formula>
    </cfRule>
    <cfRule type="iconSet" priority="30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42:E142">
    <cfRule type="cellIs" dxfId="16" priority="301" operator="between">
      <formula>WORKDAY(TODAY(),10,Holiday)</formula>
      <formula>WORKDAY(TODAY(),1,Holiday)</formula>
    </cfRule>
    <cfRule type="iconSet" priority="30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55:E168">
    <cfRule type="cellIs" dxfId="15" priority="303" operator="equal">
      <formula>WORKDAY(TODAY(),1,Holiday)</formula>
    </cfRule>
    <cfRule type="iconSet" priority="30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55:E168">
    <cfRule type="cellIs" dxfId="14" priority="305" operator="between">
      <formula>WORKDAY(TODAY(),10,Holiday)</formula>
      <formula>WORKDAY(TODAY(),1,Holiday)</formula>
    </cfRule>
    <cfRule type="iconSet" priority="30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73:E180">
    <cfRule type="cellIs" dxfId="13" priority="307" operator="equal">
      <formula>WORKDAY(TODAY(),1,Holiday)</formula>
    </cfRule>
    <cfRule type="iconSet" priority="30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73:E180">
    <cfRule type="cellIs" dxfId="12" priority="309" operator="between">
      <formula>WORKDAY(TODAY(),10,Holiday)</formula>
      <formula>WORKDAY(TODAY(),1,Holiday)</formula>
    </cfRule>
    <cfRule type="iconSet" priority="31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85:E192">
    <cfRule type="cellIs" dxfId="11" priority="311" operator="equal">
      <formula>WORKDAY(TODAY(),1,Holiday)</formula>
    </cfRule>
    <cfRule type="iconSet" priority="312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85:E192">
    <cfRule type="cellIs" dxfId="10" priority="313" operator="between">
      <formula>WORKDAY(TODAY(),10,Holiday)</formula>
      <formula>WORKDAY(TODAY(),1,Holiday)</formula>
    </cfRule>
    <cfRule type="iconSet" priority="31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97:E210">
    <cfRule type="cellIs" dxfId="9" priority="315" operator="equal">
      <formula>WORKDAY(TODAY(),1,Holiday)</formula>
    </cfRule>
    <cfRule type="iconSet" priority="31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197:E210">
    <cfRule type="cellIs" dxfId="8" priority="317" operator="between">
      <formula>WORKDAY(TODAY(),10,Holiday)</formula>
      <formula>WORKDAY(TODAY(),1,Holiday)</formula>
    </cfRule>
    <cfRule type="iconSet" priority="31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215:E228">
    <cfRule type="cellIs" dxfId="7" priority="319" operator="equal">
      <formula>WORKDAY(TODAY(),1,Holiday)</formula>
    </cfRule>
    <cfRule type="iconSet" priority="320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D215:E228">
    <cfRule type="cellIs" dxfId="6" priority="321" operator="between">
      <formula>WORKDAY(TODAY(),10,Holiday)</formula>
      <formula>WORKDAY(TODAY(),1,Holiday)</formula>
    </cfRule>
    <cfRule type="iconSet" priority="322">
      <iconSet iconSet="4TrafficLights">
        <cfvo type="percent" val="0"/>
        <cfvo type="num" val="TODAY()"/>
        <cfvo type="num" val="TODAY()+1"/>
        <cfvo type="num" val="TODAY()+1"/>
      </iconSet>
    </cfRule>
  </conditionalFormatting>
  <pageMargins left="0.7" right="0.7" top="0.75" bottom="0.75" header="0.3" footer="0.3"/>
  <pageSetup paperSize="9" orientation="portrait" r:id="rId1"/>
  <webPublishItems count="1">
    <webPublishItem id="2869" divId="中融汇信期货2012年交保证金参数表_2869" sourceType="sheet" destinationFile="C:\Documents and Settings\Administrator\桌面\2012年郑商所品种临交割月保证金调整日历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64"/>
  <sheetViews>
    <sheetView topLeftCell="A40" workbookViewId="0">
      <selection activeCell="E57" sqref="E57"/>
    </sheetView>
  </sheetViews>
  <sheetFormatPr defaultRowHeight="13.5" x14ac:dyDescent="0.15"/>
  <cols>
    <col min="1" max="1" width="9.875" customWidth="1"/>
    <col min="2" max="3" width="11.625" bestFit="1" customWidth="1"/>
    <col min="4" max="4" width="21.5" bestFit="1" customWidth="1"/>
    <col min="5" max="5" width="31.75" bestFit="1" customWidth="1"/>
  </cols>
  <sheetData>
    <row r="1" spans="1:3" x14ac:dyDescent="0.15">
      <c r="A1" t="s">
        <v>97</v>
      </c>
    </row>
    <row r="2" spans="1:3" x14ac:dyDescent="0.15">
      <c r="B2" t="s">
        <v>56</v>
      </c>
      <c r="C2" t="s">
        <v>57</v>
      </c>
    </row>
    <row r="3" spans="1:3" x14ac:dyDescent="0.15">
      <c r="A3" t="str">
        <f ca="1">"IF"&amp;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</f>
        <v>IF1506</v>
      </c>
      <c r="B3" s="1">
        <f t="shared" ref="B3:B14" ca="1" si="0">WORKDAY(IF(NETWORKDAYS(DATE("20"&amp;MID(A3,3,2),RIGHT(A3,2)+IF(MOD(RIGHT(A3,2)*1,3)=0,-8,-2),1+(INT(WEEKDAY(DATE("20"&amp;MID(A3,3,2),RIGHT(A3,2)+IF(MOD(RIGHT(A3,2)*1,3)=0,-8,-2),1),2)/6)+2)*7+5-WEEKDAY(DATE("20"&amp;MID(A3,3,2),RIGHT(A3,2)+IF(MOD(RIGHT(A3,2)*1,3)=0,-8,-2),1),2)),DATE("20"&amp;MID(A3,3,2),RIGHT(A3,2)+IF(MOD(RIGHT(A3,2)*1,3)=0,-8,-2),1+(INT(WEEKDAY(DATE("20"&amp;MID(A3,3,2),RIGHT(A3,2)+IF(MOD(RIGHT(A3,2)*1,3)=0,-8,-2),1),2)/6)+2)*7+5-WEEKDAY(DATE("20"&amp;MID(A3,3,2),RIGHT(A3,2)+IF(MOD(RIGHT(A3,2)*1,3)=0,-8,-2),1),2)),Holiday)=0,WORKDAY(DATE("20"&amp;MID(A3,3,2),RIGHT(A3,2)+IF(MOD(RIGHT(A3,2)*1,3)=0,-8,-2),1+(INT(WEEKDAY(DATE("20"&amp;MID(A3,3,2),RIGHT(A3,2)+IF(MOD(RIGHT(A3,2)*1,3)=0,-8,-2),1),2)/6)+2)*7+5-WEEKDAY(DATE("20"&amp;MID(A3,3,2),RIGHT(A3,2)+IF(MOD(RIGHT(A3,2)*1,3)=0,-8,-2),1),2)),1,Holiday),DATE("20"&amp;MID(A3,3,2),RIGHT(A3,2)+IF(MOD(RIGHT(A3,2)*1,3)=0,-8,-2),1+(INT(WEEKDAY(DATE("20"&amp;MID(A3,3,2),RIGHT(A3,2)+IF(MOD(RIGHT(A3,2)*1,3)=0,-8,-2),1),2)/6)+2)*7+5-WEEKDAY(DATE("20"&amp;MID(A3,3,2),RIGHT(A3,2)+IF(MOD(RIGHT(A3,2)*1,3)=0,-8,-2),1),2))),1,Holiday)</f>
        <v>41932</v>
      </c>
      <c r="C3" s="1">
        <f t="shared" ref="C3:C14" ca="1" si="1">IF(NETWORKDAYS(DATE("20"&amp;MID(A3,3,2),RIGHT(A3,2),1+(INT(WEEKDAY(DATE("20"&amp;MID(A3,3,2),RIGHT(A3,2),1),2)/6)+2)*7+5-WEEKDAY(DATE("20"&amp;MID(A3,3,2),RIGHT(A3,2),1),2)),DATE("20"&amp;MID(A3,3,2),RIGHT(A3,2),1+(INT(WEEKDAY(DATE("20"&amp;MID(A3,3,2),RIGHT(A3,2),1),2)/6)+2)*7+5-WEEKDAY(DATE("20"&amp;MID(A3,3,2),RIGHT(A3,2),1),2)),Holiday)=0,WORKDAY(DATE("20"&amp;MID(A3,3,2),RIGHT(A3,2),1+(INT(WEEKDAY(DATE("20"&amp;MID(A3,3,2),RIGHT(A3,2),1),2)/6)+2)*7+5-WEEKDAY(DATE("20"&amp;MID(A3,3,2),RIGHT(A3,2),1),2)),1,Holiday),DATE("20"&amp;MID(A3,3,2),RIGHT(A3,2),1+(INT(WEEKDAY(DATE("20"&amp;MID(A3,3,2),RIGHT(A3,2),1),2)/6)+2)*7+5-WEEKDAY(DATE("20"&amp;MID(A3,3,2),RIGHT(A3,2),1),2)))</f>
        <v>42174</v>
      </c>
    </row>
    <row r="4" spans="1:3" x14ac:dyDescent="0.15">
      <c r="A4" t="str">
        <f ca="1">"IF"&amp;TEXT(DATE("20"&amp;MID(A3,3,2),RIGHT(A3,2)+1,10),"yymm")</f>
        <v>IF1507</v>
      </c>
      <c r="B4" s="1">
        <f t="shared" ca="1" si="0"/>
        <v>42142</v>
      </c>
      <c r="C4" s="1">
        <f t="shared" ca="1" si="1"/>
        <v>42202</v>
      </c>
    </row>
    <row r="5" spans="1:3" x14ac:dyDescent="0.15">
      <c r="A5" t="str">
        <f t="shared" ref="A5:A14" ca="1" si="2">"IF"&amp;TEXT(DATE("20"&amp;MID(A4,3,2),RIGHT(A4,2)+1,10),"yymm")</f>
        <v>IF1508</v>
      </c>
      <c r="B5" s="1">
        <f t="shared" ca="1" si="0"/>
        <v>42178</v>
      </c>
      <c r="C5" s="1">
        <f t="shared" ca="1" si="1"/>
        <v>42237</v>
      </c>
    </row>
    <row r="6" spans="1:3" x14ac:dyDescent="0.15">
      <c r="A6" t="str">
        <f t="shared" ca="1" si="2"/>
        <v>IF1509</v>
      </c>
      <c r="B6" s="1">
        <f t="shared" ca="1" si="0"/>
        <v>42023</v>
      </c>
      <c r="C6" s="1">
        <f t="shared" ca="1" si="1"/>
        <v>42265</v>
      </c>
    </row>
    <row r="7" spans="1:3" x14ac:dyDescent="0.15">
      <c r="A7" t="str">
        <f t="shared" ca="1" si="2"/>
        <v>IF1510</v>
      </c>
      <c r="B7" s="1">
        <f t="shared" ca="1" si="0"/>
        <v>42240</v>
      </c>
      <c r="C7" s="1">
        <f t="shared" ca="1" si="1"/>
        <v>42293</v>
      </c>
    </row>
    <row r="8" spans="1:3" x14ac:dyDescent="0.15">
      <c r="A8" t="str">
        <f t="shared" ca="1" si="2"/>
        <v>IF1511</v>
      </c>
      <c r="B8" s="1">
        <f t="shared" ca="1" si="0"/>
        <v>42268</v>
      </c>
      <c r="C8" s="1">
        <f t="shared" ca="1" si="1"/>
        <v>42328</v>
      </c>
    </row>
    <row r="9" spans="1:3" x14ac:dyDescent="0.15">
      <c r="A9" t="str">
        <f t="shared" ca="1" si="2"/>
        <v>IF1512</v>
      </c>
      <c r="B9" s="1">
        <f t="shared" ca="1" si="0"/>
        <v>42114</v>
      </c>
      <c r="C9" s="1">
        <f t="shared" ca="1" si="1"/>
        <v>42356</v>
      </c>
    </row>
    <row r="10" spans="1:3" x14ac:dyDescent="0.15">
      <c r="A10" t="str">
        <f t="shared" ca="1" si="2"/>
        <v>IF1601</v>
      </c>
      <c r="B10" s="1">
        <f t="shared" ca="1" si="0"/>
        <v>42331</v>
      </c>
      <c r="C10" s="1">
        <f t="shared" ca="1" si="1"/>
        <v>42384</v>
      </c>
    </row>
    <row r="11" spans="1:3" x14ac:dyDescent="0.15">
      <c r="A11" t="str">
        <f t="shared" ca="1" si="2"/>
        <v>IF1602</v>
      </c>
      <c r="B11" s="1">
        <f t="shared" ca="1" si="0"/>
        <v>42359</v>
      </c>
      <c r="C11" s="1">
        <f t="shared" ca="1" si="1"/>
        <v>42419</v>
      </c>
    </row>
    <row r="12" spans="1:3" x14ac:dyDescent="0.15">
      <c r="A12" t="str">
        <f t="shared" ca="1" si="2"/>
        <v>IF1603</v>
      </c>
      <c r="B12" s="1">
        <f t="shared" ca="1" si="0"/>
        <v>42205</v>
      </c>
      <c r="C12" s="1">
        <f t="shared" ca="1" si="1"/>
        <v>42447</v>
      </c>
    </row>
    <row r="13" spans="1:3" x14ac:dyDescent="0.15">
      <c r="A13" t="str">
        <f t="shared" ca="1" si="2"/>
        <v>IF1604</v>
      </c>
      <c r="B13" s="1">
        <f t="shared" ca="1" si="0"/>
        <v>42422</v>
      </c>
      <c r="C13" s="1">
        <f t="shared" ca="1" si="1"/>
        <v>42475</v>
      </c>
    </row>
    <row r="14" spans="1:3" x14ac:dyDescent="0.15">
      <c r="A14" t="str">
        <f t="shared" ca="1" si="2"/>
        <v>IF1605</v>
      </c>
      <c r="B14" s="1">
        <f t="shared" ca="1" si="0"/>
        <v>42450</v>
      </c>
      <c r="C14" s="1">
        <f t="shared" ca="1" si="1"/>
        <v>42510</v>
      </c>
    </row>
    <row r="15" spans="1:3" x14ac:dyDescent="0.15">
      <c r="B15" s="1"/>
      <c r="C15" s="1"/>
    </row>
    <row r="16" spans="1:3" x14ac:dyDescent="0.15">
      <c r="B16" s="1"/>
      <c r="C16" s="1"/>
    </row>
    <row r="17" spans="1:3" x14ac:dyDescent="0.15">
      <c r="A17" t="s">
        <v>98</v>
      </c>
    </row>
    <row r="18" spans="1:3" x14ac:dyDescent="0.15">
      <c r="B18" t="s">
        <v>56</v>
      </c>
      <c r="C18" t="s">
        <v>57</v>
      </c>
    </row>
    <row r="19" spans="1:3" x14ac:dyDescent="0.15">
      <c r="A19" t="str">
        <f ca="1">"IH"&amp;IF(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="1504","1505",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)</f>
        <v>IH1506</v>
      </c>
      <c r="B19" s="1">
        <f t="shared" ref="B19:B30" ca="1" si="3">IF(OR(RIGHT(A19,4)="1505",RIGHT(A19,4)="1506",RIGHT(A19,4)="1509",RIGHT(A19,4)="1512"),DATE("2015","04","16"),WORKDAY(IF(NETWORKDAYS(DATE("20"&amp;MID(A19,3,2),RIGHT(A19,2)+IF(MOD(RIGHT(A19,2)*1,3)=0,-8,-2),1+(INT(WEEKDAY(DATE("20"&amp;MID(A19,3,2),RIGHT(A19,2)+IF(MOD(RIGHT(A19,2)*1,3)=0,-8,-2),1),2)/6)+2)*7+5-WEEKDAY(DATE("20"&amp;MID(A19,3,2),RIGHT(A19,2)+IF(MOD(RIGHT(A19,2)*1,3)=0,-8,-2),1),2)),DATE("20"&amp;MID(A19,3,2),RIGHT(A19,2)+IF(MOD(RIGHT(A19,2)*1,3)=0,-8,-2),1+(INT(WEEKDAY(DATE("20"&amp;MID(A19,3,2),RIGHT(A19,2)+IF(MOD(RIGHT(A19,2)*1,3)=0,-8,-2),1),2)/6)+2)*7+5-WEEKDAY(DATE("20"&amp;MID(A19,3,2),RIGHT(A19,2)+IF(MOD(RIGHT(A19,2)*1,3)=0,-8,-2),1),2)),Holiday)=0,WORKDAY(DATE("20"&amp;MID(A19,3,2),RIGHT(A19,2)+IF(MOD(RIGHT(A19,2)*1,3)=0,-8,-2),1+(INT(WEEKDAY(DATE("20"&amp;MID(A19,3,2),RIGHT(A19,2)+IF(MOD(RIGHT(A19,2)*1,3)=0,-8,-2),1),2)/6)+2)*7+5-WEEKDAY(DATE("20"&amp;MID(A19,3,2),RIGHT(A19,2)+IF(MOD(RIGHT(A19,2)*1,3)=0,-8,-2),1),2)),1,Holiday),DATE("20"&amp;MID(A19,3,2),RIGHT(A19,2)+IF(MOD(RIGHT(A19,2)*1,3)=0,-8,-2),1+(INT(WEEKDAY(DATE("20"&amp;MID(A19,3,2),RIGHT(A19,2)+IF(MOD(RIGHT(A19,2)*1,3)=0,-8,-2),1),2)/6)+2)*7+5-WEEKDAY(DATE("20"&amp;MID(A19,3,2),RIGHT(A19,2)+IF(MOD(RIGHT(A19,2)*1,3)=0,-8,-2),1),2))),1,Holiday))</f>
        <v>42110</v>
      </c>
      <c r="C19" s="1">
        <f t="shared" ref="C19:C30" ca="1" si="4">IF(NETWORKDAYS(DATE("20"&amp;MID(A19,3,2),RIGHT(A19,2),1+(INT(WEEKDAY(DATE("20"&amp;MID(A19,3,2),RIGHT(A19,2),1),2)/6)+2)*7+5-WEEKDAY(DATE("20"&amp;MID(A19,3,2),RIGHT(A19,2),1),2)),DATE("20"&amp;MID(A19,3,2),RIGHT(A19,2),1+(INT(WEEKDAY(DATE("20"&amp;MID(A19,3,2),RIGHT(A19,2),1),2)/6)+2)*7+5-WEEKDAY(DATE("20"&amp;MID(A19,3,2),RIGHT(A19,2),1),2)),Holiday)=0,WORKDAY(DATE("20"&amp;MID(A19,3,2),RIGHT(A19,2),1+(INT(WEEKDAY(DATE("20"&amp;MID(A19,3,2),RIGHT(A19,2),1),2)/6)+2)*7+5-WEEKDAY(DATE("20"&amp;MID(A19,3,2),RIGHT(A19,2),1),2)),1,Holiday),DATE("20"&amp;MID(A19,3,2),RIGHT(A19,2),1+(INT(WEEKDAY(DATE("20"&amp;MID(A19,3,2),RIGHT(A19,2),1),2)/6)+2)*7+5-WEEKDAY(DATE("20"&amp;MID(A19,3,2),RIGHT(A19,2),1),2)))</f>
        <v>42174</v>
      </c>
    </row>
    <row r="20" spans="1:3" x14ac:dyDescent="0.15">
      <c r="A20" t="str">
        <f ca="1">"IH"&amp;TEXT(DATE("20"&amp;MID(A19,3,2),RIGHT(A19,2)+1,10),"yymm")</f>
        <v>IH1507</v>
      </c>
      <c r="B20" s="1">
        <f t="shared" ca="1" si="3"/>
        <v>42142</v>
      </c>
      <c r="C20" s="1">
        <f t="shared" ca="1" si="4"/>
        <v>42202</v>
      </c>
    </row>
    <row r="21" spans="1:3" x14ac:dyDescent="0.15">
      <c r="A21" t="str">
        <f t="shared" ref="A21:A30" ca="1" si="5">"IH"&amp;TEXT(DATE("20"&amp;MID(A20,3,2),RIGHT(A20,2)+1,10),"yymm")</f>
        <v>IH1508</v>
      </c>
      <c r="B21" s="1">
        <f t="shared" ca="1" si="3"/>
        <v>42178</v>
      </c>
      <c r="C21" s="1">
        <f t="shared" ca="1" si="4"/>
        <v>42237</v>
      </c>
    </row>
    <row r="22" spans="1:3" x14ac:dyDescent="0.15">
      <c r="A22" t="str">
        <f t="shared" ca="1" si="5"/>
        <v>IH1509</v>
      </c>
      <c r="B22" s="1">
        <f t="shared" ca="1" si="3"/>
        <v>42110</v>
      </c>
      <c r="C22" s="1">
        <f t="shared" ca="1" si="4"/>
        <v>42265</v>
      </c>
    </row>
    <row r="23" spans="1:3" x14ac:dyDescent="0.15">
      <c r="A23" t="str">
        <f t="shared" ca="1" si="5"/>
        <v>IH1510</v>
      </c>
      <c r="B23" s="1">
        <f t="shared" ca="1" si="3"/>
        <v>42240</v>
      </c>
      <c r="C23" s="1">
        <f t="shared" ca="1" si="4"/>
        <v>42293</v>
      </c>
    </row>
    <row r="24" spans="1:3" x14ac:dyDescent="0.15">
      <c r="A24" t="str">
        <f t="shared" ca="1" si="5"/>
        <v>IH1511</v>
      </c>
      <c r="B24" s="1">
        <f t="shared" ca="1" si="3"/>
        <v>42268</v>
      </c>
      <c r="C24" s="1">
        <f t="shared" ca="1" si="4"/>
        <v>42328</v>
      </c>
    </row>
    <row r="25" spans="1:3" x14ac:dyDescent="0.15">
      <c r="A25" t="str">
        <f t="shared" ca="1" si="5"/>
        <v>IH1512</v>
      </c>
      <c r="B25" s="1">
        <f t="shared" ca="1" si="3"/>
        <v>42110</v>
      </c>
      <c r="C25" s="1">
        <f t="shared" ca="1" si="4"/>
        <v>42356</v>
      </c>
    </row>
    <row r="26" spans="1:3" x14ac:dyDescent="0.15">
      <c r="A26" t="str">
        <f t="shared" ca="1" si="5"/>
        <v>IH1601</v>
      </c>
      <c r="B26" s="1">
        <f t="shared" ca="1" si="3"/>
        <v>42331</v>
      </c>
      <c r="C26" s="1">
        <f t="shared" ca="1" si="4"/>
        <v>42384</v>
      </c>
    </row>
    <row r="27" spans="1:3" x14ac:dyDescent="0.15">
      <c r="A27" t="str">
        <f t="shared" ca="1" si="5"/>
        <v>IH1602</v>
      </c>
      <c r="B27" s="1">
        <f t="shared" ca="1" si="3"/>
        <v>42359</v>
      </c>
      <c r="C27" s="1">
        <f t="shared" ca="1" si="4"/>
        <v>42419</v>
      </c>
    </row>
    <row r="28" spans="1:3" x14ac:dyDescent="0.15">
      <c r="A28" t="str">
        <f t="shared" ca="1" si="5"/>
        <v>IH1603</v>
      </c>
      <c r="B28" s="1">
        <f t="shared" ca="1" si="3"/>
        <v>42205</v>
      </c>
      <c r="C28" s="1">
        <f t="shared" ca="1" si="4"/>
        <v>42447</v>
      </c>
    </row>
    <row r="29" spans="1:3" x14ac:dyDescent="0.15">
      <c r="A29" t="str">
        <f t="shared" ca="1" si="5"/>
        <v>IH1604</v>
      </c>
      <c r="B29" s="1">
        <f t="shared" ca="1" si="3"/>
        <v>42422</v>
      </c>
      <c r="C29" s="1">
        <f t="shared" ca="1" si="4"/>
        <v>42475</v>
      </c>
    </row>
    <row r="30" spans="1:3" x14ac:dyDescent="0.15">
      <c r="A30" t="str">
        <f t="shared" ca="1" si="5"/>
        <v>IH1605</v>
      </c>
      <c r="B30" s="1">
        <f t="shared" ca="1" si="3"/>
        <v>42450</v>
      </c>
      <c r="C30" s="1">
        <f t="shared" ca="1" si="4"/>
        <v>42510</v>
      </c>
    </row>
    <row r="31" spans="1:3" x14ac:dyDescent="0.15">
      <c r="B31" s="1"/>
      <c r="C31" s="1"/>
    </row>
    <row r="32" spans="1:3" x14ac:dyDescent="0.15">
      <c r="B32" s="1"/>
      <c r="C32" s="1"/>
    </row>
    <row r="33" spans="1:3" x14ac:dyDescent="0.15">
      <c r="A33" t="s">
        <v>99</v>
      </c>
    </row>
    <row r="34" spans="1:3" x14ac:dyDescent="0.15">
      <c r="B34" t="s">
        <v>56</v>
      </c>
      <c r="C34" t="s">
        <v>57</v>
      </c>
    </row>
    <row r="35" spans="1:3" x14ac:dyDescent="0.15">
      <c r="A35" t="str">
        <f ca="1">"IC"&amp;IF(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="1504","1505",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)</f>
        <v>IC1506</v>
      </c>
      <c r="B35" s="1">
        <f t="shared" ref="B35:B46" ca="1" si="6">IF(OR(RIGHT(A19,4)="1505",RIGHT(A19,4)="1506",RIGHT(A19,4)="1509",RIGHT(A19,4)="1512"),DATE("2015","04","16"),WORKDAY(IF(NETWORKDAYS(DATE("20"&amp;MID(A35,3,2),RIGHT(A35,2)+IF(MOD(RIGHT(A35,2)*1,3)=0,-8,-2),1+(INT(WEEKDAY(DATE("20"&amp;MID(A35,3,2),RIGHT(A35,2)+IF(MOD(RIGHT(A35,2)*1,3)=0,-8,-2),1),2)/6)+2)*7+5-WEEKDAY(DATE("20"&amp;MID(A35,3,2),RIGHT(A35,2)+IF(MOD(RIGHT(A35,2)*1,3)=0,-8,-2),1),2)),DATE("20"&amp;MID(A35,3,2),RIGHT(A35,2)+IF(MOD(RIGHT(A35,2)*1,3)=0,-8,-2),1+(INT(WEEKDAY(DATE("20"&amp;MID(A35,3,2),RIGHT(A35,2)+IF(MOD(RIGHT(A35,2)*1,3)=0,-8,-2),1),2)/6)+2)*7+5-WEEKDAY(DATE("20"&amp;MID(A35,3,2),RIGHT(A35,2)+IF(MOD(RIGHT(A35,2)*1,3)=0,-8,-2),1),2)),Holiday)=0,WORKDAY(DATE("20"&amp;MID(A35,3,2),RIGHT(A35,2)+IF(MOD(RIGHT(A35,2)*1,3)=0,-8,-2),1+(INT(WEEKDAY(DATE("20"&amp;MID(A35,3,2),RIGHT(A35,2)+IF(MOD(RIGHT(A35,2)*1,3)=0,-8,-2),1),2)/6)+2)*7+5-WEEKDAY(DATE("20"&amp;MID(A35,3,2),RIGHT(A35,2)+IF(MOD(RIGHT(A35,2)*1,3)=0,-8,-2),1),2)),1,Holiday),DATE("20"&amp;MID(A35,3,2),RIGHT(A35,2)+IF(MOD(RIGHT(A35,2)*1,3)=0,-8,-2),1+(INT(WEEKDAY(DATE("20"&amp;MID(A35,3,2),RIGHT(A35,2)+IF(MOD(RIGHT(A35,2)*1,3)=0,-8,-2),1),2)/6)+2)*7+5-WEEKDAY(DATE("20"&amp;MID(A35,3,2),RIGHT(A35,2)+IF(MOD(RIGHT(A35,2)*1,3)=0,-8,-2),1),2))),1,Holiday))</f>
        <v>42110</v>
      </c>
      <c r="C35" s="1">
        <f t="shared" ref="C35:C46" ca="1" si="7">IF(NETWORKDAYS(DATE("20"&amp;MID(A35,3,2),RIGHT(A35,2),1+(INT(WEEKDAY(DATE("20"&amp;MID(A35,3,2),RIGHT(A35,2),1),2)/6)+2)*7+5-WEEKDAY(DATE("20"&amp;MID(A35,3,2),RIGHT(A35,2),1),2)),DATE("20"&amp;MID(A35,3,2),RIGHT(A35,2),1+(INT(WEEKDAY(DATE("20"&amp;MID(A35,3,2),RIGHT(A35,2),1),2)/6)+2)*7+5-WEEKDAY(DATE("20"&amp;MID(A35,3,2),RIGHT(A35,2),1),2)),Holiday)=0,WORKDAY(DATE("20"&amp;MID(A35,3,2),RIGHT(A35,2),1+(INT(WEEKDAY(DATE("20"&amp;MID(A35,3,2),RIGHT(A35,2),1),2)/6)+2)*7+5-WEEKDAY(DATE("20"&amp;MID(A35,3,2),RIGHT(A35,2),1),2)),1,Holiday),DATE("20"&amp;MID(A35,3,2),RIGHT(A35,2),1+(INT(WEEKDAY(DATE("20"&amp;MID(A35,3,2),RIGHT(A35,2),1),2)/6)+2)*7+5-WEEKDAY(DATE("20"&amp;MID(A35,3,2),RIGHT(A35,2),1),2)))</f>
        <v>42174</v>
      </c>
    </row>
    <row r="36" spans="1:3" x14ac:dyDescent="0.15">
      <c r="A36" t="str">
        <f ca="1">"IC"&amp;TEXT(DATE("20"&amp;MID(A35,3,2),RIGHT(A35,2)+1,10),"yymm")</f>
        <v>IC1507</v>
      </c>
      <c r="B36" s="1">
        <f t="shared" ca="1" si="6"/>
        <v>42142</v>
      </c>
      <c r="C36" s="1">
        <f t="shared" ca="1" si="7"/>
        <v>42202</v>
      </c>
    </row>
    <row r="37" spans="1:3" x14ac:dyDescent="0.15">
      <c r="A37" t="str">
        <f t="shared" ref="A37:A46" ca="1" si="8">"IC"&amp;TEXT(DATE("20"&amp;MID(A36,3,2),RIGHT(A36,2)+1,10),"yymm")</f>
        <v>IC1508</v>
      </c>
      <c r="B37" s="1">
        <f t="shared" ca="1" si="6"/>
        <v>42178</v>
      </c>
      <c r="C37" s="1">
        <f t="shared" ca="1" si="7"/>
        <v>42237</v>
      </c>
    </row>
    <row r="38" spans="1:3" x14ac:dyDescent="0.15">
      <c r="A38" t="str">
        <f t="shared" ca="1" si="8"/>
        <v>IC1509</v>
      </c>
      <c r="B38" s="1">
        <f t="shared" ca="1" si="6"/>
        <v>42110</v>
      </c>
      <c r="C38" s="1">
        <f t="shared" ca="1" si="7"/>
        <v>42265</v>
      </c>
    </row>
    <row r="39" spans="1:3" x14ac:dyDescent="0.15">
      <c r="A39" t="str">
        <f t="shared" ca="1" si="8"/>
        <v>IC1510</v>
      </c>
      <c r="B39" s="1">
        <f t="shared" ca="1" si="6"/>
        <v>42240</v>
      </c>
      <c r="C39" s="1">
        <f t="shared" ca="1" si="7"/>
        <v>42293</v>
      </c>
    </row>
    <row r="40" spans="1:3" x14ac:dyDescent="0.15">
      <c r="A40" t="str">
        <f t="shared" ca="1" si="8"/>
        <v>IC1511</v>
      </c>
      <c r="B40" s="1">
        <f t="shared" ca="1" si="6"/>
        <v>42268</v>
      </c>
      <c r="C40" s="1">
        <f t="shared" ca="1" si="7"/>
        <v>42328</v>
      </c>
    </row>
    <row r="41" spans="1:3" x14ac:dyDescent="0.15">
      <c r="A41" t="str">
        <f t="shared" ca="1" si="8"/>
        <v>IC1512</v>
      </c>
      <c r="B41" s="1">
        <f t="shared" ca="1" si="6"/>
        <v>42110</v>
      </c>
      <c r="C41" s="1">
        <f t="shared" ca="1" si="7"/>
        <v>42356</v>
      </c>
    </row>
    <row r="42" spans="1:3" x14ac:dyDescent="0.15">
      <c r="A42" t="str">
        <f t="shared" ca="1" si="8"/>
        <v>IC1601</v>
      </c>
      <c r="B42" s="1">
        <f t="shared" ca="1" si="6"/>
        <v>42331</v>
      </c>
      <c r="C42" s="1">
        <f t="shared" ca="1" si="7"/>
        <v>42384</v>
      </c>
    </row>
    <row r="43" spans="1:3" x14ac:dyDescent="0.15">
      <c r="A43" t="str">
        <f t="shared" ca="1" si="8"/>
        <v>IC1602</v>
      </c>
      <c r="B43" s="1">
        <f t="shared" ca="1" si="6"/>
        <v>42359</v>
      </c>
      <c r="C43" s="1">
        <f t="shared" ca="1" si="7"/>
        <v>42419</v>
      </c>
    </row>
    <row r="44" spans="1:3" x14ac:dyDescent="0.15">
      <c r="A44" t="str">
        <f t="shared" ca="1" si="8"/>
        <v>IC1603</v>
      </c>
      <c r="B44" s="1">
        <f t="shared" ca="1" si="6"/>
        <v>42205</v>
      </c>
      <c r="C44" s="1">
        <f t="shared" ca="1" si="7"/>
        <v>42447</v>
      </c>
    </row>
    <row r="45" spans="1:3" x14ac:dyDescent="0.15">
      <c r="A45" t="str">
        <f t="shared" ca="1" si="8"/>
        <v>IC1604</v>
      </c>
      <c r="B45" s="1">
        <f t="shared" ca="1" si="6"/>
        <v>42422</v>
      </c>
      <c r="C45" s="1">
        <f t="shared" ca="1" si="7"/>
        <v>42475</v>
      </c>
    </row>
    <row r="46" spans="1:3" x14ac:dyDescent="0.15">
      <c r="A46" t="str">
        <f t="shared" ca="1" si="8"/>
        <v>IC1605</v>
      </c>
      <c r="B46" s="1">
        <f t="shared" ca="1" si="6"/>
        <v>42450</v>
      </c>
      <c r="C46" s="1">
        <f t="shared" ca="1" si="7"/>
        <v>42510</v>
      </c>
    </row>
    <row r="47" spans="1:3" x14ac:dyDescent="0.15">
      <c r="B47" s="1"/>
      <c r="C47" s="1"/>
    </row>
    <row r="49" spans="1:5" x14ac:dyDescent="0.15">
      <c r="A49" t="s">
        <v>93</v>
      </c>
      <c r="D49" s="5" t="s">
        <v>91</v>
      </c>
      <c r="E49" s="5" t="s">
        <v>92</v>
      </c>
    </row>
    <row r="50" spans="1:5" x14ac:dyDescent="0.15">
      <c r="B50" t="s">
        <v>56</v>
      </c>
      <c r="C50" t="s">
        <v>57</v>
      </c>
      <c r="D50" s="32" t="s">
        <v>20</v>
      </c>
      <c r="E50" t="s">
        <v>89</v>
      </c>
    </row>
    <row r="51" spans="1:5" x14ac:dyDescent="0.15">
      <c r="A51" t="str">
        <f ca="1">"TF"&amp;TEXT(IF(TODAY()&lt;DATE(2013,9,14),DATE(2013,12,1),IF(TODAY()&gt;IF(NETWORKDAYS(DATE(YEAR(TODAY()),CEILING(MONTH(TODAY()),3),CEILING(WEEKDAY(DATE(YEAR(TODAY()),CEILING(MONTH(TODAY()),3),1),2)/5,1)*7+(6-WEEKDAY(DATE(YEAR(TODAY()),CEILING(MONTH(TODAY()),3),1),2))),DATE(YEAR(TODAY()),CEILING(MONTH(TODAY()),3),CEILING(WEEKDAY(DATE(YEAR(TODAY()),CEILING(MONTH(TODAY()),3),1),2)/5,1)*7+(6-WEEKDAY(DATE(YEAR(TODAY()),CEILING(MONTH(TODAY()),3),1),2))),Holiday)=1,DATE(YEAR(TODAY()),CEILING(MONTH(TODAY()),3),CEILING(WEEKDAY(DATE(YEAR(TODAY()),CEILING(MONTH(TODAY()),3),1),2)/5,1)*7+(6-WEEKDAY(DATE(YEAR(TODAY()),CEILING(MONTH(TODAY()),3),1),2))),WORKDAY(DATE(YEAR(TODAY()),CEILING(MONTH(TODAY()),3),CEILING(WEEKDAY(DATE(YEAR(TODAY()),CEILING(MONTH(TODAY()),3),1),2)/5,1)*7+(6-WEEKDAY(DATE(YEAR(TODAY()),CEILING(MONTH(TODAY()),3),1),2))),1,Holiday)),IF(NETWORKDAYS(DATE(YEAR(TODAY()),CEILING(MONTH(TODAY()),3)+3,1),DATE(YEAR(TODAY()),CEILING(MONTH(TODAY()),3)+3,1),Holiday)=1,DATE(YEAR(TODAY()),CEILING(MONTH(TODAY()),3)+3,1),WORKDAY(DATE(YEAR(TODAY()),CEILING(MONTH(TODAY()),3)+3,1),1,Holiday)),IF(NETWORKDAYS(DATE(YEAR(TODAY()),CEILING(MONTH(TODAY()),3),1),DATE(YEAR(TODAY()),CEILING(MONTH(TODAY()),3),1),Holiday)=1,DATE(YEAR(TODAY()),CEILING(MONTH(TODAY()),3),1),WORKDAY(DATE(YEAR(TODAY()),CEILING(MONTH(TODAY()),3),1),1,Holiday)))),"yymm")</f>
        <v>TF1509</v>
      </c>
      <c r="B51" s="1">
        <f ca="1">IF(OR(RIGHT(A51,4)*1=1312,RIGHT(A51,4)*1=1403,RIGHT(A51,4)*1=1406),DATE(2013,9,6),WORKDAY(IF(NETWORKDAYS(DATE("20"&amp;MID(A51,3,2),RIGHT(A51,2)-9,CEILING(WEEKDAY(DATE("20"&amp;MID(A51,3,2),RIGHT(A51,2)-9,1),2)/5,1)*7+(6-WEEKDAY(DATE("20"&amp;MID(A51,3,2),RIGHT(A51,2)-9,1),2))),DATE("20"&amp;MID(A51,3,2),RIGHT(A51,2)-9,CEILING(WEEKDAY(DATE("20"&amp;MID(A51,3,2),RIGHT(A51,2)-9,1),2)/5,1)*7+(6-WEEKDAY(DATE("20"&amp;MID(A51,3,2),RIGHT(A51,2)-9,1),2))),Holiday)=1,DATE("20"&amp;MID(A51,3,2),RIGHT(A51,2)-9,CEILING(WEEKDAY(DATE("20"&amp;MID(A51,3,2),RIGHT(A51,2)-9,1),2)/5,1)*7+(6-WEEKDAY(DATE("20"&amp;MID(A51,3,2),RIGHT(A51,2)-9,1),2))),WORKDAY(DATE("20"&amp;MID(A51,3,2),RIGHT(A51,2)-9,CEILING(WEEKDAY(DATE("20"&amp;MID(A51,3,2),RIGHT(A51,2)-9,1),2)/5,1)*7+(6-WEEKDAY(DATE("20"&amp;MID(A51,3,2),RIGHT(A51,2)-9,1),2))),1,Holiday)),1,Holiday))</f>
        <v>41988</v>
      </c>
      <c r="C51" s="1">
        <f ca="1">IF(NETWORKDAYS(DATE("20"&amp;MID(A51,3,2),RIGHT(A51,2),CEILING(WEEKDAY(DATE("20"&amp;MID(A51,3,2),RIGHT(A51,2),1),2)/5,1)*7+(6-WEEKDAY(DATE("20"&amp;MID(A51,3,2),RIGHT(A51,2),1),2))),DATE("20"&amp;MID(A51,3,2),RIGHT(A51,2),CEILING(WEEKDAY(DATE("20"&amp;MID(A51,3,2),RIGHT(A51,2),1),2)/5,1)*7+(6-WEEKDAY(DATE("20"&amp;MID(A51,3,2),RIGHT(A51,2),1),2))),Holiday)=1,DATE("20"&amp;MID(A51,3,2),RIGHT(A51,2),CEILING(WEEKDAY(DATE("20"&amp;MID(A51,3,2),RIGHT(A51,2),1),2)/5,1)*7+(6-WEEKDAY(DATE("20"&amp;MID(A51,3,2),RIGHT(A51,2),1),2))),WORKDAY(DATE("20"&amp;MID(A51,3,2),RIGHT(A51,2),CEILING(WEEKDAY(DATE("20"&amp;MID(A51,3,2),RIGHT(A51,2),1),2)/5,1)*7+(6-WEEKDAY(DATE("20"&amp;MID(A51,3,2),RIGHT(A51,2),1),2))),1,Holiday))</f>
        <v>42258</v>
      </c>
      <c r="D51" s="1">
        <f ca="1">IF(NETWORKDAYS(DATE("20"&amp;MID(A51,3,2),RIGHT(A51,2)-1,20),DATE("20"&amp;MID(A51,3,2),RIGHT(A51,2)-1,20),Holiday)=0,WORKDAY(DATE("20"&amp;MID(A51,3,2),RIGHT(A51,2)-1,20),-1,Holiday),DATE("20"&amp;MID(A51,3,2),RIGHT(A51,2)-1,20))</f>
        <v>42236</v>
      </c>
      <c r="E51" s="1">
        <f ca="1">IF(NETWORKDAYS(DATE("20"&amp;MID(A51,3,2),RIGHT(A51,2),0),DATE("20"&amp;MID(A51,3,2),RIGHT(A51,2),0),Holiday)=0,WORKDAY(DATE("20"&amp;MID(A51,3,2),RIGHT(A51,2),0),-1,Holiday),DATE("20"&amp;MID(A51,3,2),RIGHT(A51,2),0))</f>
        <v>42247</v>
      </c>
    </row>
    <row r="52" spans="1:5" x14ac:dyDescent="0.15">
      <c r="A52" t="str">
        <f ca="1">"TF"&amp;TEXT(DATE("20"&amp;MID(A51,3,2),RIGHT(A51,2)+3,10),"yymm")</f>
        <v>TF1512</v>
      </c>
      <c r="B52" s="1">
        <f ca="1">IF(OR(RIGHT(A52,4)*1=1312,RIGHT(A52,4)*1=1403,RIGHT(A52,4)*1=1406),DATE(2013,9,6),WORKDAY(IF(NETWORKDAYS(DATE("20"&amp;MID(A52,3,2),RIGHT(A52,2)-9,CEILING(WEEKDAY(DATE("20"&amp;MID(A52,3,2),RIGHT(A52,2)-9,1),2)/5,1)*7+(6-WEEKDAY(DATE("20"&amp;MID(A52,3,2),RIGHT(A52,2)-9,1),2))),DATE("20"&amp;MID(A52,3,2),RIGHT(A52,2)-9,CEILING(WEEKDAY(DATE("20"&amp;MID(A52,3,2),RIGHT(A52,2)-9,1),2)/5,1)*7+(6-WEEKDAY(DATE("20"&amp;MID(A52,3,2),RIGHT(A52,2)-9,1),2))),Holiday)=1,DATE("20"&amp;MID(A52,3,2),RIGHT(A52,2)-9,CEILING(WEEKDAY(DATE("20"&amp;MID(A52,3,2),RIGHT(A52,2)-9,1),2)/5,1)*7+(6-WEEKDAY(DATE("20"&amp;MID(A52,3,2),RIGHT(A52,2)-9,1),2))),WORKDAY(DATE("20"&amp;MID(A52,3,2),RIGHT(A52,2)-9,CEILING(WEEKDAY(DATE("20"&amp;MID(A52,3,2),RIGHT(A52,2)-9,1),2)/5,1)*7+(6-WEEKDAY(DATE("20"&amp;MID(A52,3,2),RIGHT(A52,2)-9,1),2))),1,Holiday)),1,Holiday))</f>
        <v>42079</v>
      </c>
      <c r="C52" s="1">
        <f ca="1">IF(NETWORKDAYS(DATE("20"&amp;MID(A52,3,2),RIGHT(A52,2),CEILING(WEEKDAY(DATE("20"&amp;MID(A52,3,2),RIGHT(A52,2),1),2)/5,1)*7+(6-WEEKDAY(DATE("20"&amp;MID(A52,3,2),RIGHT(A52,2),1),2))),DATE("20"&amp;MID(A52,3,2),RIGHT(A52,2),CEILING(WEEKDAY(DATE("20"&amp;MID(A52,3,2),RIGHT(A52,2),1),2)/5,1)*7+(6-WEEKDAY(DATE("20"&amp;MID(A52,3,2),RIGHT(A52,2),1),2))),Holiday)=1,DATE("20"&amp;MID(A52,3,2),RIGHT(A52,2),CEILING(WEEKDAY(DATE("20"&amp;MID(A52,3,2),RIGHT(A52,2),1),2)/5,1)*7+(6-WEEKDAY(DATE("20"&amp;MID(A52,3,2),RIGHT(A52,2),1),2))),WORKDAY(DATE("20"&amp;MID(A52,3,2),RIGHT(A52,2),CEILING(WEEKDAY(DATE("20"&amp;MID(A52,3,2),RIGHT(A52,2),1),2)/5,1)*7+(6-WEEKDAY(DATE("20"&amp;MID(A52,3,2),RIGHT(A52,2),1),2))),1,Holiday))</f>
        <v>42349</v>
      </c>
      <c r="D52" s="1">
        <f ca="1">IF(NETWORKDAYS(DATE("20"&amp;MID(A52,3,2),RIGHT(A52,2)-1,20),DATE("20"&amp;MID(A52,3,2),RIGHT(A52,2)-1,20),Holiday)=0,WORKDAY(DATE("20"&amp;MID(A52,3,2),RIGHT(A52,2)-1,20),-1,Holiday),DATE("20"&amp;MID(A52,3,2),RIGHT(A52,2)-1,20))</f>
        <v>42328</v>
      </c>
      <c r="E52" s="1">
        <f ca="1">IF(NETWORKDAYS(DATE("20"&amp;MID(A52,3,2),RIGHT(A52,2),0),DATE("20"&amp;MID(A52,3,2),RIGHT(A52,2),0),Holiday)=0,WORKDAY(DATE("20"&amp;MID(A52,3,2),RIGHT(A52,2),0),-1,Holiday),DATE("20"&amp;MID(A52,3,2),RIGHT(A52,2),0))</f>
        <v>42338</v>
      </c>
    </row>
    <row r="53" spans="1:5" x14ac:dyDescent="0.15">
      <c r="A53" t="str">
        <f t="shared" ref="A53:A55" ca="1" si="9">"TF"&amp;TEXT(DATE("20"&amp;MID(A52,3,2),RIGHT(A52,2)+3,10),"yymm")</f>
        <v>TF1603</v>
      </c>
      <c r="B53" s="1">
        <f ca="1">IF(OR(RIGHT(A53,4)*1=1312,RIGHT(A53,4)*1=1403,RIGHT(A53,4)*1=1406),DATE(2013,9,6),WORKDAY(IF(NETWORKDAYS(DATE("20"&amp;MID(A53,3,2),RIGHT(A53,2)-9,CEILING(WEEKDAY(DATE("20"&amp;MID(A53,3,2),RIGHT(A53,2)-9,1),2)/5,1)*7+(6-WEEKDAY(DATE("20"&amp;MID(A53,3,2),RIGHT(A53,2)-9,1),2))),DATE("20"&amp;MID(A53,3,2),RIGHT(A53,2)-9,CEILING(WEEKDAY(DATE("20"&amp;MID(A53,3,2),RIGHT(A53,2)-9,1),2)/5,1)*7+(6-WEEKDAY(DATE("20"&amp;MID(A53,3,2),RIGHT(A53,2)-9,1),2))),Holiday)=1,DATE("20"&amp;MID(A53,3,2),RIGHT(A53,2)-9,CEILING(WEEKDAY(DATE("20"&amp;MID(A53,3,2),RIGHT(A53,2)-9,1),2)/5,1)*7+(6-WEEKDAY(DATE("20"&amp;MID(A53,3,2),RIGHT(A53,2)-9,1),2))),WORKDAY(DATE("20"&amp;MID(A53,3,2),RIGHT(A53,2)-9,CEILING(WEEKDAY(DATE("20"&amp;MID(A53,3,2),RIGHT(A53,2)-9,1),2)/5,1)*7+(6-WEEKDAY(DATE("20"&amp;MID(A53,3,2),RIGHT(A53,2)-9,1),2))),1,Holiday)),1,Holiday))</f>
        <v>42170</v>
      </c>
      <c r="C53" s="1">
        <f ca="1">IF(NETWORKDAYS(DATE("20"&amp;MID(A53,3,2),RIGHT(A53,2),CEILING(WEEKDAY(DATE("20"&amp;MID(A53,3,2),RIGHT(A53,2),1),2)/5,1)*7+(6-WEEKDAY(DATE("20"&amp;MID(A53,3,2),RIGHT(A53,2),1),2))),DATE("20"&amp;MID(A53,3,2),RIGHT(A53,2),CEILING(WEEKDAY(DATE("20"&amp;MID(A53,3,2),RIGHT(A53,2),1),2)/5,1)*7+(6-WEEKDAY(DATE("20"&amp;MID(A53,3,2),RIGHT(A53,2),1),2))),Holiday)=1,DATE("20"&amp;MID(A53,3,2),RIGHT(A53,2),CEILING(WEEKDAY(DATE("20"&amp;MID(A53,3,2),RIGHT(A53,2),1),2)/5,1)*7+(6-WEEKDAY(DATE("20"&amp;MID(A53,3,2),RIGHT(A53,2),1),2))),WORKDAY(DATE("20"&amp;MID(A53,3,2),RIGHT(A53,2),CEILING(WEEKDAY(DATE("20"&amp;MID(A53,3,2),RIGHT(A53,2),1),2)/5,1)*7+(6-WEEKDAY(DATE("20"&amp;MID(A53,3,2),RIGHT(A53,2),1),2))),1,Holiday))</f>
        <v>42440</v>
      </c>
      <c r="D53" s="1">
        <f ca="1">IF(NETWORKDAYS(DATE("20"&amp;MID(A53,3,2),RIGHT(A53,2)-1,20),DATE("20"&amp;MID(A53,3,2),RIGHT(A53,2)-1,20),Holiday)=0,WORKDAY(DATE("20"&amp;MID(A53,3,2),RIGHT(A53,2)-1,20),-1,Holiday),DATE("20"&amp;MID(A53,3,2),RIGHT(A53,2)-1,20))</f>
        <v>42419</v>
      </c>
      <c r="E53" s="1">
        <f ca="1">IF(NETWORKDAYS(DATE("20"&amp;MID(A53,3,2),RIGHT(A53,2),0),DATE("20"&amp;MID(A53,3,2),RIGHT(A53,2),0),Holiday)=0,WORKDAY(DATE("20"&amp;MID(A53,3,2),RIGHT(A53,2),0),-1,Holiday),DATE("20"&amp;MID(A53,3,2),RIGHT(A53,2),0))</f>
        <v>42429</v>
      </c>
    </row>
    <row r="54" spans="1:5" x14ac:dyDescent="0.15">
      <c r="A54" t="str">
        <f t="shared" ca="1" si="9"/>
        <v>TF1606</v>
      </c>
      <c r="B54" s="1">
        <f ca="1">IF(OR(RIGHT(A54,4)*1=1312,RIGHT(A54,4)*1=1403,RIGHT(A54,4)*1=1406),DATE(2013,9,6),WORKDAY(IF(NETWORKDAYS(DATE("20"&amp;MID(A54,3,2),RIGHT(A54,2)-9,CEILING(WEEKDAY(DATE("20"&amp;MID(A54,3,2),RIGHT(A54,2)-9,1),2)/5,1)*7+(6-WEEKDAY(DATE("20"&amp;MID(A54,3,2),RIGHT(A54,2)-9,1),2))),DATE("20"&amp;MID(A54,3,2),RIGHT(A54,2)-9,CEILING(WEEKDAY(DATE("20"&amp;MID(A54,3,2),RIGHT(A54,2)-9,1),2)/5,1)*7+(6-WEEKDAY(DATE("20"&amp;MID(A54,3,2),RIGHT(A54,2)-9,1),2))),Holiday)=1,DATE("20"&amp;MID(A54,3,2),RIGHT(A54,2)-9,CEILING(WEEKDAY(DATE("20"&amp;MID(A54,3,2),RIGHT(A54,2)-9,1),2)/5,1)*7+(6-WEEKDAY(DATE("20"&amp;MID(A54,3,2),RIGHT(A54,2)-9,1),2))),WORKDAY(DATE("20"&amp;MID(A54,3,2),RIGHT(A54,2)-9,CEILING(WEEKDAY(DATE("20"&amp;MID(A54,3,2),RIGHT(A54,2)-9,1),2)/5,1)*7+(6-WEEKDAY(DATE("20"&amp;MID(A54,3,2),RIGHT(A54,2)-9,1),2))),1,Holiday)),1,Holiday))</f>
        <v>42261</v>
      </c>
      <c r="C54" s="1">
        <f ca="1">IF(NETWORKDAYS(DATE("20"&amp;MID(A54,3,2),RIGHT(A54,2),CEILING(WEEKDAY(DATE("20"&amp;MID(A54,3,2),RIGHT(A54,2),1),2)/5,1)*7+(6-WEEKDAY(DATE("20"&amp;MID(A54,3,2),RIGHT(A54,2),1),2))),DATE("20"&amp;MID(A54,3,2),RIGHT(A54,2),CEILING(WEEKDAY(DATE("20"&amp;MID(A54,3,2),RIGHT(A54,2),1),2)/5,1)*7+(6-WEEKDAY(DATE("20"&amp;MID(A54,3,2),RIGHT(A54,2),1),2))),Holiday)=1,DATE("20"&amp;MID(A54,3,2),RIGHT(A54,2),CEILING(WEEKDAY(DATE("20"&amp;MID(A54,3,2),RIGHT(A54,2),1),2)/5,1)*7+(6-WEEKDAY(DATE("20"&amp;MID(A54,3,2),RIGHT(A54,2),1),2))),WORKDAY(DATE("20"&amp;MID(A54,3,2),RIGHT(A54,2),CEILING(WEEKDAY(DATE("20"&amp;MID(A54,3,2),RIGHT(A54,2),1),2)/5,1)*7+(6-WEEKDAY(DATE("20"&amp;MID(A54,3,2),RIGHT(A54,2),1),2))),1,Holiday))</f>
        <v>42531</v>
      </c>
      <c r="D54" s="1">
        <f ca="1">IF(NETWORKDAYS(DATE("20"&amp;MID(A54,3,2),RIGHT(A54,2)-1,20),DATE("20"&amp;MID(A54,3,2),RIGHT(A54,2)-1,20),Holiday)=0,WORKDAY(DATE("20"&amp;MID(A54,3,2),RIGHT(A54,2)-1,20),-1,Holiday),DATE("20"&amp;MID(A54,3,2),RIGHT(A54,2)-1,20))</f>
        <v>42510</v>
      </c>
      <c r="E54" s="1">
        <f ca="1">IF(NETWORKDAYS(DATE("20"&amp;MID(A54,3,2),RIGHT(A54,2),0),DATE("20"&amp;MID(A54,3,2),RIGHT(A54,2),0),Holiday)=0,WORKDAY(DATE("20"&amp;MID(A54,3,2),RIGHT(A54,2),0),-1,Holiday),DATE("20"&amp;MID(A54,3,2),RIGHT(A54,2),0))</f>
        <v>42521</v>
      </c>
    </row>
    <row r="55" spans="1:5" x14ac:dyDescent="0.15">
      <c r="A55" t="str">
        <f t="shared" ca="1" si="9"/>
        <v>TF1609</v>
      </c>
      <c r="B55" s="1">
        <f ca="1">IF(OR(RIGHT(A55,4)*1=1312,RIGHT(A55,4)*1=1403,RIGHT(A55,4)*1=1406),DATE(2013,9,6),WORKDAY(IF(NETWORKDAYS(DATE("20"&amp;MID(A55,3,2),RIGHT(A55,2)-9,CEILING(WEEKDAY(DATE("20"&amp;MID(A55,3,2),RIGHT(A55,2)-9,1),2)/5,1)*7+(6-WEEKDAY(DATE("20"&amp;MID(A55,3,2),RIGHT(A55,2)-9,1),2))),DATE("20"&amp;MID(A55,3,2),RIGHT(A55,2)-9,CEILING(WEEKDAY(DATE("20"&amp;MID(A55,3,2),RIGHT(A55,2)-9,1),2)/5,1)*7+(6-WEEKDAY(DATE("20"&amp;MID(A55,3,2),RIGHT(A55,2)-9,1),2))),Holiday)=1,DATE("20"&amp;MID(A55,3,2),RIGHT(A55,2)-9,CEILING(WEEKDAY(DATE("20"&amp;MID(A55,3,2),RIGHT(A55,2)-9,1),2)/5,1)*7+(6-WEEKDAY(DATE("20"&amp;MID(A55,3,2),RIGHT(A55,2)-9,1),2))),WORKDAY(DATE("20"&amp;MID(A55,3,2),RIGHT(A55,2)-9,CEILING(WEEKDAY(DATE("20"&amp;MID(A55,3,2),RIGHT(A55,2)-9,1),2)/5,1)*7+(6-WEEKDAY(DATE("20"&amp;MID(A55,3,2),RIGHT(A55,2)-9,1),2))),1,Holiday)),1,Holiday))</f>
        <v>42352</v>
      </c>
      <c r="C55" s="1">
        <f ca="1">IF(NETWORKDAYS(DATE("20"&amp;MID(A55,3,2),RIGHT(A55,2),CEILING(WEEKDAY(DATE("20"&amp;MID(A55,3,2),RIGHT(A55,2),1),2)/5,1)*7+(6-WEEKDAY(DATE("20"&amp;MID(A55,3,2),RIGHT(A55,2),1),2))),DATE("20"&amp;MID(A55,3,2),RIGHT(A55,2),CEILING(WEEKDAY(DATE("20"&amp;MID(A55,3,2),RIGHT(A55,2),1),2)/5,1)*7+(6-WEEKDAY(DATE("20"&amp;MID(A55,3,2),RIGHT(A55,2),1),2))),Holiday)=1,DATE("20"&amp;MID(A55,3,2),RIGHT(A55,2),CEILING(WEEKDAY(DATE("20"&amp;MID(A55,3,2),RIGHT(A55,2),1),2)/5,1)*7+(6-WEEKDAY(DATE("20"&amp;MID(A55,3,2),RIGHT(A55,2),1),2))),WORKDAY(DATE("20"&amp;MID(A55,3,2),RIGHT(A55,2),CEILING(WEEKDAY(DATE("20"&amp;MID(A55,3,2),RIGHT(A55,2),1),2)/5,1)*7+(6-WEEKDAY(DATE("20"&amp;MID(A55,3,2),RIGHT(A55,2),1),2))),1,Holiday))</f>
        <v>42622</v>
      </c>
      <c r="D55" s="1">
        <f ca="1">IF(NETWORKDAYS(DATE("20"&amp;MID(A55,3,2),RIGHT(A55,2)-1,20),DATE("20"&amp;MID(A55,3,2),RIGHT(A55,2)-1,20),Holiday)=0,WORKDAY(DATE("20"&amp;MID(A55,3,2),RIGHT(A55,2)-1,20),-1,Holiday),DATE("20"&amp;MID(A55,3,2),RIGHT(A55,2)-1,20))</f>
        <v>42601</v>
      </c>
      <c r="E55" s="1">
        <f ca="1">IF(NETWORKDAYS(DATE("20"&amp;MID(A55,3,2),RIGHT(A55,2),0),DATE("20"&amp;MID(A55,3,2),RIGHT(A55,2),0),Holiday)=0,WORKDAY(DATE("20"&amp;MID(A55,3,2),RIGHT(A55,2),0),-1,Holiday),DATE("20"&amp;MID(A55,3,2),RIGHT(A55,2),0))</f>
        <v>42613</v>
      </c>
    </row>
    <row r="58" spans="1:5" x14ac:dyDescent="0.15">
      <c r="A58" t="s">
        <v>94</v>
      </c>
      <c r="D58" s="5">
        <v>0.03</v>
      </c>
      <c r="E58" s="5">
        <v>0.04</v>
      </c>
    </row>
    <row r="59" spans="1:5" x14ac:dyDescent="0.15">
      <c r="B59" t="s">
        <v>56</v>
      </c>
      <c r="C59" t="s">
        <v>57</v>
      </c>
      <c r="D59" s="32" t="s">
        <v>20</v>
      </c>
      <c r="E59" t="s">
        <v>89</v>
      </c>
    </row>
    <row r="60" spans="1:5" x14ac:dyDescent="0.15">
      <c r="A60" t="str">
        <f ca="1">"T"&amp;TEXT(IF(TODAY()&lt;DATE(2015,9,12),DATE(2015,9,1),IF(TODAY()&gt;IF(NETWORKDAYS(DATE(YEAR(TODAY()),CEILING(MONTH(TODAY()),3),CEILING(WEEKDAY(DATE(YEAR(TODAY()),CEILING(MONTH(TODAY()),3),1),2)/5,1)*7+(6-WEEKDAY(DATE(YEAR(TODAY()),CEILING(MONTH(TODAY()),3),1),2))),DATE(YEAR(TODAY()),CEILING(MONTH(TODAY()),3),CEILING(WEEKDAY(DATE(YEAR(TODAY()),CEILING(MONTH(TODAY()),3),1),2)/5,1)*7+(6-WEEKDAY(DATE(YEAR(TODAY()),CEILING(MONTH(TODAY()),3),1),2))),Holiday)=1,DATE(YEAR(TODAY()),CEILING(MONTH(TODAY()),3),CEILING(WEEKDAY(DATE(YEAR(TODAY()),CEILING(MONTH(TODAY()),3),1),2)/5,1)*7+(6-WEEKDAY(DATE(YEAR(TODAY()),CEILING(MONTH(TODAY()),3),1),2))),WORKDAY(DATE(YEAR(TODAY()),CEILING(MONTH(TODAY()),3),CEILING(WEEKDAY(DATE(YEAR(TODAY()),CEILING(MONTH(TODAY()),3),1),2)/5,1)*7+(6-WEEKDAY(DATE(YEAR(TODAY()),CEILING(MONTH(TODAY()),3),1),2))),1,Holiday)),IF(NETWORKDAYS(DATE(YEAR(TODAY()),CEILING(MONTH(TODAY()),3)+3,1),DATE(YEAR(TODAY()),CEILING(MONTH(TODAY()),3)+3,1),Holiday)=1,DATE(YEAR(TODAY()),CEILING(MONTH(TODAY()),3)+3,1),WORKDAY(DATE(YEAR(TODAY()),CEILING(MONTH(TODAY()),3)+3,1),1,Holiday)),IF(NETWORKDAYS(DATE(YEAR(TODAY()),CEILING(MONTH(TODAY()),3),1),DATE(YEAR(TODAY()),CEILING(MONTH(TODAY()),3),1),Holiday)=1,DATE(YEAR(TODAY()),CEILING(MONTH(TODAY()),3),1),WORKDAY(DATE(YEAR(TODAY()),CEILING(MONTH(TODAY()),3),1),1,Holiday)))),"yymm")</f>
        <v>T1509</v>
      </c>
      <c r="B60" s="1">
        <f ca="1">IF(OR(RIGHT(A60,4)*1=1509,RIGHT(A60,4)*1=1512,RIGHT(A60,4)*1=1603),DATE(2015,3,20),WORKDAY(IF(NETWORKDAYS(DATE("20"&amp;MID(A60,2,2),RIGHT(A60,2)-9,CEILING(WEEKDAY(DATE("20"&amp;MID(A60,2,2),RIGHT(A60,2)-9,1),2)/5,1)*7+(6-WEEKDAY(DATE("20"&amp;MID(A60,2,2),RIGHT(A60,2)-9,1),2))),DATE("20"&amp;MID(A60,2,2),RIGHT(A60,2)-9,CEILING(WEEKDAY(DATE("20"&amp;MID(A60,2,2),RIGHT(A60,2)-9,1),2)/5,1)*7+(6-WEEKDAY(DATE("20"&amp;MID(A60,2,2),RIGHT(A60,2)-9,1),2))),Holiday)=1,DATE("20"&amp;MID(A60,2,2),RIGHT(A60,2)-9,CEILING(WEEKDAY(DATE("20"&amp;MID(A60,2,2),RIGHT(A60,2)-9,1),2)/5,1)*7+(6-WEEKDAY(DATE("20"&amp;MID(A60,2,2),RIGHT(A60,2)-9,1),2))),WORKDAY(DATE("20"&amp;MID(A60,2,2),RIGHT(A60,2)-9,CEILING(WEEKDAY(DATE("20"&amp;MID(A60,2,2),RIGHT(A60,2)-9,1),2)/5,1)*7+(6-WEEKDAY(DATE("20"&amp;MID(A60,2,2),RIGHT(A60,2)-9,1),2))),1,Holiday)),1,Holiday))</f>
        <v>42083</v>
      </c>
      <c r="C60" s="1">
        <f ca="1">IF(NETWORKDAYS(DATE("20"&amp;MID(A60,2,2),RIGHT(A60,2),CEILING(WEEKDAY(DATE("20"&amp;MID(A60,2,2),RIGHT(A60,2),1),2)/5,1)*7+(6-WEEKDAY(DATE("20"&amp;MID(A60,2,2),RIGHT(A60,2),1),2))),DATE("20"&amp;MID(A60,2,2),RIGHT(A60,2),CEILING(WEEKDAY(DATE("20"&amp;MID(A60,2,2),RIGHT(A60,2),1),2)/5,1)*7+(6-WEEKDAY(DATE("20"&amp;MID(A60,2,2),RIGHT(A60,2),1),2))),Holiday)=1,DATE("20"&amp;MID(A60,2,2),RIGHT(A60,2),CEILING(WEEKDAY(DATE("20"&amp;MID(A60,2,2),RIGHT(A60,2),1),2)/5,1)*7+(6-WEEKDAY(DATE("20"&amp;MID(A60,2,2),RIGHT(A60,2),1),2))),WORKDAY(DATE("20"&amp;MID(A60,2,2),RIGHT(A60,2),CEILING(WEEKDAY(DATE("20"&amp;MID(A60,2,2),RIGHT(A60,2),1),2)/5,1)*7+(6-WEEKDAY(DATE("20"&amp;MID(A60,2,2),RIGHT(A60,2),1),2))),1,Holiday))</f>
        <v>42258</v>
      </c>
      <c r="D60" s="1">
        <f ca="1">IF(NETWORKDAYS(DATE("20"&amp;MID(A60,2,2),RIGHT(A60,2)-1,20),DATE("20"&amp;MID(A60,2,2),RIGHT(A60,2)-1,20),Holiday)=0,WORKDAY(DATE("20"&amp;MID(A60,2,2),RIGHT(A60,2)-1,20),-1,Holiday),DATE("20"&amp;MID(A60,2,2),RIGHT(A60,2)-1,20))</f>
        <v>42236</v>
      </c>
      <c r="E60" s="1">
        <f ca="1">IF(NETWORKDAYS(DATE("20"&amp;MID(A60,2,2),RIGHT(A60,2),0),DATE("20"&amp;MID(A60,2,2),RIGHT(A60,2),0),Holiday)=0,WORKDAY(DATE("20"&amp;MID(A60,2,2),RIGHT(A60,2),0),-1,Holiday),DATE("20"&amp;MID(A60,2,2),RIGHT(A60,2),0))</f>
        <v>42247</v>
      </c>
    </row>
    <row r="61" spans="1:5" x14ac:dyDescent="0.15">
      <c r="A61" t="str">
        <f ca="1">"T"&amp;TEXT(DATE("20"&amp;MID(A60,2,2),RIGHT(A60,2)+3,10),"yymm")</f>
        <v>T1512</v>
      </c>
      <c r="B61" s="1">
        <f ca="1">IF(OR(RIGHT(A61,4)*1=1509,RIGHT(A61,4)*1=1512,RIGHT(A61,4)*1=1603),DATE(2015,3,20),WORKDAY(IF(NETWORKDAYS(DATE("20"&amp;MID(A61,2,2),RIGHT(A61,2)-9,CEILING(WEEKDAY(DATE("20"&amp;MID(A61,2,2),RIGHT(A61,2)-9,1),2)/5,1)*7+(6-WEEKDAY(DATE("20"&amp;MID(A61,2,2),RIGHT(A61,2)-9,1),2))),DATE("20"&amp;MID(A61,2,2),RIGHT(A61,2)-9,CEILING(WEEKDAY(DATE("20"&amp;MID(A61,2,2),RIGHT(A61,2)-9,1),2)/5,1)*7+(6-WEEKDAY(DATE("20"&amp;MID(A61,2,2),RIGHT(A61,2)-9,1),2))),Holiday)=1,DATE("20"&amp;MID(A61,2,2),RIGHT(A61,2)-9,CEILING(WEEKDAY(DATE("20"&amp;MID(A61,2,2),RIGHT(A61,2)-9,1),2)/5,1)*7+(6-WEEKDAY(DATE("20"&amp;MID(A61,2,2),RIGHT(A61,2)-9,1),2))),WORKDAY(DATE("20"&amp;MID(A61,2,2),RIGHT(A61,2)-9,CEILING(WEEKDAY(DATE("20"&amp;MID(A61,2,2),RIGHT(A61,2)-9,1),2)/5,1)*7+(6-WEEKDAY(DATE("20"&amp;MID(A61,2,2),RIGHT(A61,2)-9,1),2))),1,Holiday)),1,Holiday))</f>
        <v>42083</v>
      </c>
      <c r="C61" s="1">
        <f ca="1">IF(NETWORKDAYS(DATE("20"&amp;MID(A61,2,2),RIGHT(A61,2),CEILING(WEEKDAY(DATE("20"&amp;MID(A61,2,2),RIGHT(A61,2),1),2)/5,1)*7+(6-WEEKDAY(DATE("20"&amp;MID(A61,2,2),RIGHT(A61,2),1),2))),DATE("20"&amp;MID(A61,2,2),RIGHT(A61,2),CEILING(WEEKDAY(DATE("20"&amp;MID(A61,2,2),RIGHT(A61,2),1),2)/5,1)*7+(6-WEEKDAY(DATE("20"&amp;MID(A61,2,2),RIGHT(A61,2),1),2))),Holiday)=1,DATE("20"&amp;MID(A61,2,2),RIGHT(A61,2),CEILING(WEEKDAY(DATE("20"&amp;MID(A61,2,2),RIGHT(A61,2),1),2)/5,1)*7+(6-WEEKDAY(DATE("20"&amp;MID(A61,2,2),RIGHT(A61,2),1),2))),WORKDAY(DATE("20"&amp;MID(A61,2,2),RIGHT(A61,2),CEILING(WEEKDAY(DATE("20"&amp;MID(A61,2,2),RIGHT(A61,2),1),2)/5,1)*7+(6-WEEKDAY(DATE("20"&amp;MID(A61,2,2),RIGHT(A61,2),1),2))),1,Holiday))</f>
        <v>42349</v>
      </c>
      <c r="D61" s="1">
        <f ca="1">IF(NETWORKDAYS(DATE("20"&amp;MID(A61,2,2),RIGHT(A61,2)-1,20),DATE("20"&amp;MID(A61,2,2),RIGHT(A61,2)-1,20),Holiday)=0,WORKDAY(DATE("20"&amp;MID(A61,2,2),RIGHT(A61,2)-1,20),-1,Holiday),DATE("20"&amp;MID(A61,2,2),RIGHT(A61,2)-1,20))</f>
        <v>42328</v>
      </c>
      <c r="E61" s="1">
        <f ca="1">IF(NETWORKDAYS(DATE("20"&amp;MID(A61,2,2),RIGHT(A61,2),0),DATE("20"&amp;MID(A61,2,2),RIGHT(A61,2),0),Holiday)=0,WORKDAY(DATE("20"&amp;MID(A61,2,2),RIGHT(A61,2),0),-1,Holiday),DATE("20"&amp;MID(A61,2,2),RIGHT(A61,2),0))</f>
        <v>42338</v>
      </c>
    </row>
    <row r="62" spans="1:5" x14ac:dyDescent="0.15">
      <c r="A62" t="str">
        <f t="shared" ref="A62:A64" ca="1" si="10">"T"&amp;TEXT(DATE("20"&amp;MID(A61,2,2),RIGHT(A61,2)+3,10),"yymm")</f>
        <v>T1603</v>
      </c>
      <c r="B62" s="1">
        <f ca="1">IF(OR(RIGHT(A62,4)*1=1509,RIGHT(A62,4)*1=1512,RIGHT(A62,4)*1=1603),DATE(2015,3,20),WORKDAY(IF(NETWORKDAYS(DATE("20"&amp;MID(A62,2,2),RIGHT(A62,2)-9,CEILING(WEEKDAY(DATE("20"&amp;MID(A62,2,2),RIGHT(A62,2)-9,1),2)/5,1)*7+(6-WEEKDAY(DATE("20"&amp;MID(A62,2,2),RIGHT(A62,2)-9,1),2))),DATE("20"&amp;MID(A62,2,2),RIGHT(A62,2)-9,CEILING(WEEKDAY(DATE("20"&amp;MID(A62,2,2),RIGHT(A62,2)-9,1),2)/5,1)*7+(6-WEEKDAY(DATE("20"&amp;MID(A62,2,2),RIGHT(A62,2)-9,1),2))),Holiday)=1,DATE("20"&amp;MID(A62,2,2),RIGHT(A62,2)-9,CEILING(WEEKDAY(DATE("20"&amp;MID(A62,2,2),RIGHT(A62,2)-9,1),2)/5,1)*7+(6-WEEKDAY(DATE("20"&amp;MID(A62,2,2),RIGHT(A62,2)-9,1),2))),WORKDAY(DATE("20"&amp;MID(A62,2,2),RIGHT(A62,2)-9,CEILING(WEEKDAY(DATE("20"&amp;MID(A62,2,2),RIGHT(A62,2)-9,1),2)/5,1)*7+(6-WEEKDAY(DATE("20"&amp;MID(A62,2,2),RIGHT(A62,2)-9,1),2))),1,Holiday)),1,Holiday))</f>
        <v>42083</v>
      </c>
      <c r="C62" s="1">
        <f ca="1">IF(NETWORKDAYS(DATE("20"&amp;MID(A62,2,2),RIGHT(A62,2),CEILING(WEEKDAY(DATE("20"&amp;MID(A62,2,2),RIGHT(A62,2),1),2)/5,1)*7+(6-WEEKDAY(DATE("20"&amp;MID(A62,2,2),RIGHT(A62,2),1),2))),DATE("20"&amp;MID(A62,2,2),RIGHT(A62,2),CEILING(WEEKDAY(DATE("20"&amp;MID(A62,2,2),RIGHT(A62,2),1),2)/5,1)*7+(6-WEEKDAY(DATE("20"&amp;MID(A62,2,2),RIGHT(A62,2),1),2))),Holiday)=1,DATE("20"&amp;MID(A62,2,2),RIGHT(A62,2),CEILING(WEEKDAY(DATE("20"&amp;MID(A62,2,2),RIGHT(A62,2),1),2)/5,1)*7+(6-WEEKDAY(DATE("20"&amp;MID(A62,2,2),RIGHT(A62,2),1),2))),WORKDAY(DATE("20"&amp;MID(A62,2,2),RIGHT(A62,2),CEILING(WEEKDAY(DATE("20"&amp;MID(A62,2,2),RIGHT(A62,2),1),2)/5,1)*7+(6-WEEKDAY(DATE("20"&amp;MID(A62,2,2),RIGHT(A62,2),1),2))),1,Holiday))</f>
        <v>42440</v>
      </c>
      <c r="D62" s="1">
        <f ca="1">IF(NETWORKDAYS(DATE("20"&amp;MID(A62,2,2),RIGHT(A62,2)-1,20),DATE("20"&amp;MID(A62,2,2),RIGHT(A62,2)-1,20),Holiday)=0,WORKDAY(DATE("20"&amp;MID(A62,2,2),RIGHT(A62,2)-1,20),-1,Holiday),DATE("20"&amp;MID(A62,2,2),RIGHT(A62,2)-1,20))</f>
        <v>42419</v>
      </c>
      <c r="E62" s="1">
        <f ca="1">IF(NETWORKDAYS(DATE("20"&amp;MID(A62,2,2),RIGHT(A62,2),0),DATE("20"&amp;MID(A62,2,2),RIGHT(A62,2),0),Holiday)=0,WORKDAY(DATE("20"&amp;MID(A62,2,2),RIGHT(A62,2),0),-1,Holiday),DATE("20"&amp;MID(A62,2,2),RIGHT(A62,2),0))</f>
        <v>42429</v>
      </c>
    </row>
    <row r="63" spans="1:5" x14ac:dyDescent="0.15">
      <c r="A63" t="str">
        <f t="shared" ca="1" si="10"/>
        <v>T1606</v>
      </c>
      <c r="B63" s="1">
        <f ca="1">IF(OR(RIGHT(A63,4)*1=1509,RIGHT(A63,4)*1=1512,RIGHT(A63,4)*1=1603),DATE(2015,3,20),WORKDAY(IF(NETWORKDAYS(DATE("20"&amp;MID(A63,2,2),RIGHT(A63,2)-9,CEILING(WEEKDAY(DATE("20"&amp;MID(A63,2,2),RIGHT(A63,2)-9,1),2)/5,1)*7+(6-WEEKDAY(DATE("20"&amp;MID(A63,2,2),RIGHT(A63,2)-9,1),2))),DATE("20"&amp;MID(A63,2,2),RIGHT(A63,2)-9,CEILING(WEEKDAY(DATE("20"&amp;MID(A63,2,2),RIGHT(A63,2)-9,1),2)/5,1)*7+(6-WEEKDAY(DATE("20"&amp;MID(A63,2,2),RIGHT(A63,2)-9,1),2))),Holiday)=1,DATE("20"&amp;MID(A63,2,2),RIGHT(A63,2)-9,CEILING(WEEKDAY(DATE("20"&amp;MID(A63,2,2),RIGHT(A63,2)-9,1),2)/5,1)*7+(6-WEEKDAY(DATE("20"&amp;MID(A63,2,2),RIGHT(A63,2)-9,1),2))),WORKDAY(DATE("20"&amp;MID(A63,2,2),RIGHT(A63,2)-9,CEILING(WEEKDAY(DATE("20"&amp;MID(A63,2,2),RIGHT(A63,2)-9,1),2)/5,1)*7+(6-WEEKDAY(DATE("20"&amp;MID(A63,2,2),RIGHT(A63,2)-9,1),2))),1,Holiday)),1,Holiday))</f>
        <v>42261</v>
      </c>
      <c r="C63" s="1">
        <f ca="1">IF(NETWORKDAYS(DATE("20"&amp;MID(A63,2,2),RIGHT(A63,2),CEILING(WEEKDAY(DATE("20"&amp;MID(A63,2,2),RIGHT(A63,2),1),2)/5,1)*7+(6-WEEKDAY(DATE("20"&amp;MID(A63,2,2),RIGHT(A63,2),1),2))),DATE("20"&amp;MID(A63,2,2),RIGHT(A63,2),CEILING(WEEKDAY(DATE("20"&amp;MID(A63,2,2),RIGHT(A63,2),1),2)/5,1)*7+(6-WEEKDAY(DATE("20"&amp;MID(A63,2,2),RIGHT(A63,2),1),2))),Holiday)=1,DATE("20"&amp;MID(A63,2,2),RIGHT(A63,2),CEILING(WEEKDAY(DATE("20"&amp;MID(A63,2,2),RIGHT(A63,2),1),2)/5,1)*7+(6-WEEKDAY(DATE("20"&amp;MID(A63,2,2),RIGHT(A63,2),1),2))),WORKDAY(DATE("20"&amp;MID(A63,2,2),RIGHT(A63,2),CEILING(WEEKDAY(DATE("20"&amp;MID(A63,2,2),RIGHT(A63,2),1),2)/5,1)*7+(6-WEEKDAY(DATE("20"&amp;MID(A63,2,2),RIGHT(A63,2),1),2))),1,Holiday))</f>
        <v>42531</v>
      </c>
      <c r="D63" s="1">
        <f ca="1">IF(NETWORKDAYS(DATE("20"&amp;MID(A63,2,2),RIGHT(A63,2)-1,20),DATE("20"&amp;MID(A63,2,2),RIGHT(A63,2)-1,20),Holiday)=0,WORKDAY(DATE("20"&amp;MID(A63,2,2),RIGHT(A63,2)-1,20),-1,Holiday),DATE("20"&amp;MID(A63,2,2),RIGHT(A63,2)-1,20))</f>
        <v>42510</v>
      </c>
      <c r="E63" s="1">
        <f ca="1">IF(NETWORKDAYS(DATE("20"&amp;MID(A63,2,2),RIGHT(A63,2),0),DATE("20"&amp;MID(A63,2,2),RIGHT(A63,2),0),Holiday)=0,WORKDAY(DATE("20"&amp;MID(A63,2,2),RIGHT(A63,2),0),-1,Holiday),DATE("20"&amp;MID(A63,2,2),RIGHT(A63,2),0))</f>
        <v>42521</v>
      </c>
    </row>
    <row r="64" spans="1:5" x14ac:dyDescent="0.15">
      <c r="A64" t="str">
        <f t="shared" ca="1" si="10"/>
        <v>T1609</v>
      </c>
      <c r="B64" s="1">
        <f ca="1">IF(OR(RIGHT(A64,4)*1=1509,RIGHT(A64,4)*1=1512,RIGHT(A64,4)*1=1603),DATE(2015,3,20),WORKDAY(IF(NETWORKDAYS(DATE("20"&amp;MID(A64,2,2),RIGHT(A64,2)-9,CEILING(WEEKDAY(DATE("20"&amp;MID(A64,2,2),RIGHT(A64,2)-9,1),2)/5,1)*7+(6-WEEKDAY(DATE("20"&amp;MID(A64,2,2),RIGHT(A64,2)-9,1),2))),DATE("20"&amp;MID(A64,2,2),RIGHT(A64,2)-9,CEILING(WEEKDAY(DATE("20"&amp;MID(A64,2,2),RIGHT(A64,2)-9,1),2)/5,1)*7+(6-WEEKDAY(DATE("20"&amp;MID(A64,2,2),RIGHT(A64,2)-9,1),2))),Holiday)=1,DATE("20"&amp;MID(A64,2,2),RIGHT(A64,2)-9,CEILING(WEEKDAY(DATE("20"&amp;MID(A64,2,2),RIGHT(A64,2)-9,1),2)/5,1)*7+(6-WEEKDAY(DATE("20"&amp;MID(A64,2,2),RIGHT(A64,2)-9,1),2))),WORKDAY(DATE("20"&amp;MID(A64,2,2),RIGHT(A64,2)-9,CEILING(WEEKDAY(DATE("20"&amp;MID(A64,2,2),RIGHT(A64,2)-9,1),2)/5,1)*7+(6-WEEKDAY(DATE("20"&amp;MID(A64,2,2),RIGHT(A64,2)-9,1),2))),1,Holiday)),1,Holiday))</f>
        <v>42352</v>
      </c>
      <c r="C64" s="1">
        <f ca="1">IF(NETWORKDAYS(DATE("20"&amp;MID(A64,2,2),RIGHT(A64,2),CEILING(WEEKDAY(DATE("20"&amp;MID(A64,2,2),RIGHT(A64,2),1),2)/5,1)*7+(6-WEEKDAY(DATE("20"&amp;MID(A64,2,2),RIGHT(A64,2),1),2))),DATE("20"&amp;MID(A64,2,2),RIGHT(A64,2),CEILING(WEEKDAY(DATE("20"&amp;MID(A64,2,2),RIGHT(A64,2),1),2)/5,1)*7+(6-WEEKDAY(DATE("20"&amp;MID(A64,2,2),RIGHT(A64,2),1),2))),Holiday)=1,DATE("20"&amp;MID(A64,2,2),RIGHT(A64,2),CEILING(WEEKDAY(DATE("20"&amp;MID(A64,2,2),RIGHT(A64,2),1),2)/5,1)*7+(6-WEEKDAY(DATE("20"&amp;MID(A64,2,2),RIGHT(A64,2),1),2))),WORKDAY(DATE("20"&amp;MID(A64,2,2),RIGHT(A64,2),CEILING(WEEKDAY(DATE("20"&amp;MID(A64,2,2),RIGHT(A64,2),1),2)/5,1)*7+(6-WEEKDAY(DATE("20"&amp;MID(A64,2,2),RIGHT(A64,2),1),2))),1,Holiday))</f>
        <v>42622</v>
      </c>
      <c r="D64" s="1">
        <f ca="1">IF(NETWORKDAYS(DATE("20"&amp;MID(A64,2,2),RIGHT(A64,2)-1,20),DATE("20"&amp;MID(A64,2,2),RIGHT(A64,2)-1,20),Holiday)=0,WORKDAY(DATE("20"&amp;MID(A64,2,2),RIGHT(A64,2)-1,20),-1,Holiday),DATE("20"&amp;MID(A64,2,2),RIGHT(A64,2)-1,20))</f>
        <v>42601</v>
      </c>
      <c r="E64" s="1">
        <f ca="1">IF(NETWORKDAYS(DATE("20"&amp;MID(A64,2,2),RIGHT(A64,2),0),DATE("20"&amp;MID(A64,2,2),RIGHT(A64,2),0),Holiday)=0,WORKDAY(DATE("20"&amp;MID(A64,2,2),RIGHT(A64,2),0),-1,Holiday),DATE("20"&amp;MID(A64,2,2),RIGHT(A64,2),0))</f>
        <v>42613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28"/>
  <sheetViews>
    <sheetView workbookViewId="0">
      <selection activeCell="F6" sqref="F6"/>
    </sheetView>
  </sheetViews>
  <sheetFormatPr defaultRowHeight="13.5" x14ac:dyDescent="0.15"/>
  <cols>
    <col min="1" max="1" width="10.125" customWidth="1"/>
    <col min="2" max="2" width="13" customWidth="1"/>
    <col min="3" max="3" width="11.625" bestFit="1" customWidth="1"/>
    <col min="4" max="4" width="27.75" bestFit="1" customWidth="1"/>
    <col min="5" max="5" width="23.75" customWidth="1"/>
    <col min="6" max="6" width="25.5" bestFit="1" customWidth="1"/>
  </cols>
  <sheetData>
    <row r="1" spans="1:5" x14ac:dyDescent="0.15">
      <c r="A1" t="s">
        <v>38</v>
      </c>
      <c r="D1" s="5">
        <v>0.1</v>
      </c>
      <c r="E1" s="5">
        <v>0.2</v>
      </c>
    </row>
    <row r="2" spans="1:5" x14ac:dyDescent="0.15">
      <c r="A2" s="25"/>
      <c r="B2" s="32" t="s">
        <v>48</v>
      </c>
      <c r="C2" t="s">
        <v>1</v>
      </c>
      <c r="D2" s="47" t="s">
        <v>103</v>
      </c>
      <c r="E2" s="25" t="s">
        <v>102</v>
      </c>
    </row>
    <row r="3" spans="1:5" x14ac:dyDescent="0.15">
      <c r="A3" t="str">
        <f ca="1">"PM"&amp;TEXT(DATE(YEAR(TODAY()),ODD(MONTH(TODAY())+IF(TODAY()&gt;WORKDAY(DATE(YEAR(TODAY()),ODD(MONTH(TODAY())),0),10,Holiday),1,0)),1),"yymm")</f>
        <v>PM1507</v>
      </c>
      <c r="B3" s="1">
        <f t="shared" ref="B3:B10" ca="1" si="0">WORKDAY(WORKDAY(DATE("20"&amp;MID(A3,3,2),RIGHT(A3,2)-12,0),10,Holiday),1,Holiday)</f>
        <v>41835</v>
      </c>
      <c r="C3" s="1">
        <f t="shared" ref="C3:C8" ca="1" si="1">WORKDAY(DATE("20"&amp;MID(A3,3,2),RIGHT(A3,2),0),10,Holiday)</f>
        <v>42199</v>
      </c>
      <c r="D3" s="1">
        <f t="shared" ref="D3:D10" ca="1" si="2">IF(NETWORKDAYS(DATE("20"&amp;MID(A3,3,2),RIGHT(A3,2)-1,15),DATE("20"&amp;MID(A3,3,2),RIGHT(A3,2)-1,15),Holiday)=0,WORKDAY(DATE("20"&amp;MID(A3,3,2),RIGHT(A3,2)-1,15),-1,Holiday),DATE("20"&amp;MID(A3,3,2),RIGHT(A3,2)-1,15))</f>
        <v>42170</v>
      </c>
      <c r="E3" s="1">
        <f t="shared" ref="E3:E10" ca="1" si="3">IF(NETWORKDAYS(DATE("20"&amp;MID(A3,3,2),RIGHT(A3,2),0),DATE("20"&amp;MID(A3,3,2),RIGHT(A3,2),0),Holiday)=0,WORKDAY(DATE("20"&amp;MID(A3,3,2),RIGHT(A3,2),0),-1,Holiday),DATE("20"&amp;MID(A3,3,2),RIGHT(A3,2),0))</f>
        <v>42185</v>
      </c>
    </row>
    <row r="4" spans="1:5" x14ac:dyDescent="0.15">
      <c r="A4" t="str">
        <f ca="1">"PM"&amp;TEXT(DATE("20"&amp;MID(A3,3,2),RIGHT(A3,2)+2,10),"yymm")</f>
        <v>PM1509</v>
      </c>
      <c r="B4" s="1">
        <f t="shared" ca="1" si="0"/>
        <v>41898</v>
      </c>
      <c r="C4" s="1">
        <f t="shared" ca="1" si="1"/>
        <v>42263</v>
      </c>
      <c r="D4" s="1">
        <f t="shared" ca="1" si="2"/>
        <v>42230</v>
      </c>
      <c r="E4" s="1">
        <f t="shared" ca="1" si="3"/>
        <v>42247</v>
      </c>
    </row>
    <row r="5" spans="1:5" x14ac:dyDescent="0.15">
      <c r="A5" t="str">
        <f t="shared" ref="A5:A10" ca="1" si="4">"PM"&amp;TEXT(DATE("20"&amp;MID(A4,3,2),RIGHT(A4,2)+2,10),"yymm")</f>
        <v>PM1511</v>
      </c>
      <c r="B5" s="1">
        <f t="shared" ca="1" si="0"/>
        <v>41960</v>
      </c>
      <c r="C5" s="1">
        <f t="shared" ca="1" si="1"/>
        <v>42321</v>
      </c>
      <c r="D5" s="1">
        <f t="shared" ca="1" si="2"/>
        <v>42292</v>
      </c>
      <c r="E5" s="1">
        <f t="shared" ca="1" si="3"/>
        <v>42307</v>
      </c>
    </row>
    <row r="6" spans="1:5" x14ac:dyDescent="0.15">
      <c r="A6" t="str">
        <f t="shared" ca="1" si="4"/>
        <v>PM1601</v>
      </c>
      <c r="B6" s="1">
        <f t="shared" ca="1" si="0"/>
        <v>42023</v>
      </c>
      <c r="C6" s="1">
        <f t="shared" ca="1" si="1"/>
        <v>42383</v>
      </c>
      <c r="D6" s="1">
        <f t="shared" ca="1" si="2"/>
        <v>42353</v>
      </c>
      <c r="E6" s="1">
        <f t="shared" ca="1" si="3"/>
        <v>42369</v>
      </c>
    </row>
    <row r="7" spans="1:5" x14ac:dyDescent="0.15">
      <c r="A7" t="str">
        <f t="shared" ca="1" si="4"/>
        <v>PM1603</v>
      </c>
      <c r="B7" s="1">
        <f t="shared" ca="1" si="0"/>
        <v>42079</v>
      </c>
      <c r="C7" s="1">
        <f t="shared" ca="1" si="1"/>
        <v>42443</v>
      </c>
      <c r="D7" s="1">
        <f t="shared" ca="1" si="2"/>
        <v>42415</v>
      </c>
      <c r="E7" s="1">
        <f t="shared" ca="1" si="3"/>
        <v>42429</v>
      </c>
    </row>
    <row r="8" spans="1:5" x14ac:dyDescent="0.15">
      <c r="A8" t="str">
        <f t="shared" ca="1" si="4"/>
        <v>PM1605</v>
      </c>
      <c r="B8" s="1">
        <f t="shared" ca="1" si="0"/>
        <v>42142</v>
      </c>
      <c r="C8" s="1">
        <f t="shared" ca="1" si="1"/>
        <v>42503</v>
      </c>
      <c r="D8" s="1">
        <f t="shared" ca="1" si="2"/>
        <v>42475</v>
      </c>
      <c r="E8" s="1">
        <f t="shared" ca="1" si="3"/>
        <v>42489</v>
      </c>
    </row>
    <row r="9" spans="1:5" x14ac:dyDescent="0.15">
      <c r="A9" t="str">
        <f t="shared" ca="1" si="4"/>
        <v>PM1607</v>
      </c>
      <c r="B9" s="1">
        <f t="shared" ca="1" si="0"/>
        <v>42200</v>
      </c>
      <c r="C9" s="1">
        <f t="shared" ref="C9:C10" ca="1" si="5">WORKDAY(DATE("20"&amp;MID(A9,3,2),RIGHT(A9,2),0),10,Holiday)</f>
        <v>42565</v>
      </c>
      <c r="D9" s="1">
        <f t="shared" ca="1" si="2"/>
        <v>42536</v>
      </c>
      <c r="E9" s="1">
        <f t="shared" ca="1" si="3"/>
        <v>42551</v>
      </c>
    </row>
    <row r="10" spans="1:5" x14ac:dyDescent="0.15">
      <c r="A10" t="str">
        <f t="shared" ca="1" si="4"/>
        <v>PM1609</v>
      </c>
      <c r="B10" s="1">
        <f t="shared" ca="1" si="0"/>
        <v>42264</v>
      </c>
      <c r="C10" s="1">
        <f t="shared" ca="1" si="5"/>
        <v>42627</v>
      </c>
      <c r="D10" s="1">
        <f t="shared" ca="1" si="2"/>
        <v>42597</v>
      </c>
      <c r="E10" s="1">
        <f t="shared" ca="1" si="3"/>
        <v>42613</v>
      </c>
    </row>
    <row r="11" spans="1:5" x14ac:dyDescent="0.15">
      <c r="C11" s="1"/>
      <c r="D11" s="1"/>
      <c r="E11" s="1"/>
    </row>
    <row r="12" spans="1:5" x14ac:dyDescent="0.15">
      <c r="C12" s="1"/>
      <c r="D12" s="1"/>
      <c r="E12" s="1"/>
    </row>
    <row r="13" spans="1:5" x14ac:dyDescent="0.15">
      <c r="A13" t="s">
        <v>101</v>
      </c>
      <c r="D13" s="5">
        <v>0.1</v>
      </c>
      <c r="E13" s="5">
        <v>0.2</v>
      </c>
    </row>
    <row r="14" spans="1:5" x14ac:dyDescent="0.15">
      <c r="A14" s="14"/>
      <c r="B14" s="32" t="s">
        <v>48</v>
      </c>
      <c r="C14" t="s">
        <v>1</v>
      </c>
      <c r="D14" s="47" t="s">
        <v>103</v>
      </c>
      <c r="E14" s="32" t="s">
        <v>102</v>
      </c>
    </row>
    <row r="15" spans="1:5" x14ac:dyDescent="0.15">
      <c r="A15" t="str">
        <f ca="1">IF(TODAY()&gt;DATE(2013,5,23),"WH"&amp;TEXT(DATE(YEAR(TODAY()),ODD(MONTH(TODAY())+IF(TODAY()&gt;WORKDAY(DATE(YEAR(TODAY()),ODD(MONTH(TODAY())),0),10,Holiday),1,0)),10),"yymm"),"WS"&amp;TEXT(DATE(YEAR(TODAY()),ODD(MONTH(TODAY())+IF(TODAY()&gt;WORKDAY(DATE(YEAR(TODAY()),ODD(MONTH(TODAY()))+1,1),-7,Holiday),1,0)),7),"YYMM"))</f>
        <v>WH1507</v>
      </c>
      <c r="B15" s="1">
        <f t="shared" ref="B15:B22" ca="1" si="6">WORKDAY(IF(VALUE(RIGHT(A15,4))-1405&gt;0,WORKDAY(DATE("20"&amp;MID(A15,3,2),RIGHT(A15,2)-12,0),10,Holiday),WORKDAY(DATE("20"&amp;MID(A15,3,2)-1,RIGHT(A15,2)+1,1),-7,Holiday)),1,Holiday)</f>
        <v>41835</v>
      </c>
      <c r="C15" s="1">
        <f t="shared" ref="C15:C22" ca="1" si="7">IF(VALUE(RIGHT(A15,4))-1307&gt;=0,WORKDAY(DATE("20"&amp;MID(A15,3,2),RIGHT(A15,2),0),10,Holiday),WORKDAY(DATE("20"&amp;MID(A15,3,2),RIGHT(A15,2)+1,1),-7,Holiday))</f>
        <v>42199</v>
      </c>
      <c r="D15" s="1">
        <f t="shared" ref="D15:D22" ca="1" si="8">IF(NETWORKDAYS(DATE("20"&amp;MID(A15,3,2),RIGHT(A15,2)-1,15),DATE("20"&amp;MID(A15,3,2),RIGHT(A15,2)-1,15),Holiday)=0,WORKDAY(DATE("20"&amp;MID(A15,3,2),RIGHT(A15,2)-1,15),-1,Holiday),DATE("20"&amp;MID(A15,3,2),RIGHT(A15,2)-1,15))</f>
        <v>42170</v>
      </c>
      <c r="E15" s="1">
        <f t="shared" ref="E15:E22" ca="1" si="9">IF(NETWORKDAYS(DATE("20"&amp;MID(A15,3,2),RIGHT(A15,2),0),DATE("20"&amp;MID(A15,3,2),RIGHT(A15,2),0),Holiday)=0,WORKDAY(DATE("20"&amp;MID(A15,3,2),RIGHT(A15,2),0),-1,Holiday),DATE("20"&amp;MID(A15,3,2),RIGHT(A15,2),0))</f>
        <v>42185</v>
      </c>
    </row>
    <row r="16" spans="1:5" x14ac:dyDescent="0.15">
      <c r="A16" t="str">
        <f t="shared" ref="A16:A22" ca="1" si="10">IF(VALUE(TEXT(DATE("20"&amp;MID(A15,3,2),RIGHT(A15,2)+2,10),"yymm"))-1307&gt;=0,"WH","WS")&amp;TEXT(DATE("20"&amp;MID(A15,3,2),RIGHT(A15,2)+2,10),"yymm")</f>
        <v>WH1509</v>
      </c>
      <c r="B16" s="1">
        <f t="shared" ca="1" si="6"/>
        <v>41898</v>
      </c>
      <c r="C16" s="1">
        <f t="shared" ca="1" si="7"/>
        <v>42263</v>
      </c>
      <c r="D16" s="1">
        <f t="shared" ca="1" si="8"/>
        <v>42230</v>
      </c>
      <c r="E16" s="1">
        <f t="shared" ca="1" si="9"/>
        <v>42247</v>
      </c>
    </row>
    <row r="17" spans="1:5" x14ac:dyDescent="0.15">
      <c r="A17" t="str">
        <f t="shared" ca="1" si="10"/>
        <v>WH1511</v>
      </c>
      <c r="B17" s="1">
        <f t="shared" ca="1" si="6"/>
        <v>41960</v>
      </c>
      <c r="C17" s="1">
        <f t="shared" ca="1" si="7"/>
        <v>42321</v>
      </c>
      <c r="D17" s="1">
        <f t="shared" ca="1" si="8"/>
        <v>42292</v>
      </c>
      <c r="E17" s="1">
        <f t="shared" ca="1" si="9"/>
        <v>42307</v>
      </c>
    </row>
    <row r="18" spans="1:5" x14ac:dyDescent="0.15">
      <c r="A18" t="str">
        <f t="shared" ca="1" si="10"/>
        <v>WH1601</v>
      </c>
      <c r="B18" s="1">
        <f t="shared" ca="1" si="6"/>
        <v>42023</v>
      </c>
      <c r="C18" s="1">
        <f t="shared" ca="1" si="7"/>
        <v>42383</v>
      </c>
      <c r="D18" s="1">
        <f t="shared" ca="1" si="8"/>
        <v>42353</v>
      </c>
      <c r="E18" s="1">
        <f t="shared" ca="1" si="9"/>
        <v>42369</v>
      </c>
    </row>
    <row r="19" spans="1:5" x14ac:dyDescent="0.15">
      <c r="A19" t="str">
        <f t="shared" ca="1" si="10"/>
        <v>WH1603</v>
      </c>
      <c r="B19" s="1">
        <f t="shared" ca="1" si="6"/>
        <v>42079</v>
      </c>
      <c r="C19" s="1">
        <f t="shared" ca="1" si="7"/>
        <v>42443</v>
      </c>
      <c r="D19" s="1">
        <f t="shared" ca="1" si="8"/>
        <v>42415</v>
      </c>
      <c r="E19" s="1">
        <f t="shared" ca="1" si="9"/>
        <v>42429</v>
      </c>
    </row>
    <row r="20" spans="1:5" x14ac:dyDescent="0.15">
      <c r="A20" t="str">
        <f t="shared" ca="1" si="10"/>
        <v>WH1605</v>
      </c>
      <c r="B20" s="1">
        <f t="shared" ca="1" si="6"/>
        <v>42142</v>
      </c>
      <c r="C20" s="1">
        <f t="shared" ca="1" si="7"/>
        <v>42503</v>
      </c>
      <c r="D20" s="1">
        <f t="shared" ca="1" si="8"/>
        <v>42475</v>
      </c>
      <c r="E20" s="1">
        <f t="shared" ca="1" si="9"/>
        <v>42489</v>
      </c>
    </row>
    <row r="21" spans="1:5" x14ac:dyDescent="0.15">
      <c r="A21" t="str">
        <f t="shared" ca="1" si="10"/>
        <v>WH1607</v>
      </c>
      <c r="B21" s="1">
        <f t="shared" ca="1" si="6"/>
        <v>42200</v>
      </c>
      <c r="C21" s="1">
        <f t="shared" ca="1" si="7"/>
        <v>42565</v>
      </c>
      <c r="D21" s="1">
        <f t="shared" ca="1" si="8"/>
        <v>42536</v>
      </c>
      <c r="E21" s="1">
        <f t="shared" ca="1" si="9"/>
        <v>42551</v>
      </c>
    </row>
    <row r="22" spans="1:5" x14ac:dyDescent="0.15">
      <c r="A22" t="str">
        <f t="shared" ca="1" si="10"/>
        <v>WH1609</v>
      </c>
      <c r="B22" s="1">
        <f t="shared" ca="1" si="6"/>
        <v>42264</v>
      </c>
      <c r="C22" s="1">
        <f t="shared" ca="1" si="7"/>
        <v>42627</v>
      </c>
      <c r="D22" s="1">
        <f t="shared" ca="1" si="8"/>
        <v>42597</v>
      </c>
      <c r="E22" s="1">
        <f t="shared" ca="1" si="9"/>
        <v>42613</v>
      </c>
    </row>
    <row r="23" spans="1:5" x14ac:dyDescent="0.15">
      <c r="C23" s="1"/>
      <c r="D23" s="1"/>
      <c r="E23" s="1"/>
    </row>
    <row r="24" spans="1:5" x14ac:dyDescent="0.15">
      <c r="C24" s="1"/>
      <c r="D24" s="1"/>
      <c r="E24" s="1"/>
    </row>
    <row r="25" spans="1:5" x14ac:dyDescent="0.15">
      <c r="A25" t="s">
        <v>53</v>
      </c>
      <c r="D25" s="5">
        <v>0.1</v>
      </c>
      <c r="E25" s="5">
        <v>0.2</v>
      </c>
    </row>
    <row r="26" spans="1:5" x14ac:dyDescent="0.15">
      <c r="A26" s="14"/>
      <c r="B26" s="32" t="s">
        <v>48</v>
      </c>
      <c r="C26" t="s">
        <v>1</v>
      </c>
      <c r="D26" s="47" t="s">
        <v>103</v>
      </c>
      <c r="E26" s="32" t="s">
        <v>102</v>
      </c>
    </row>
    <row r="27" spans="1:5" x14ac:dyDescent="0.15">
      <c r="A27" t="str">
        <f ca="1">IF(TODAY()&gt;DATE(2013,5,23),"RI"&amp;TEXT(DATE(YEAR(TODAY()),ODD(MONTH(TODAY())+IF(TODAY()&gt;WORKDAY(DATE(YEAR(TODAY()),ODD(MONTH(TODAY())),0),10,Holiday),1,0)),10),"yymm"),"ER"&amp;TEXT(DATE(YEAR(TODAY()),ODD(MONTH(TODAY())+IF(TODAY()&gt;WORKDAY(DATE(YEAR(TODAY()),ODD(MONTH(TODAY()))+1,1),-7,Holiday),1,0)),7),"YYMM"))</f>
        <v>RI1507</v>
      </c>
      <c r="B27" s="1">
        <f t="shared" ref="B27:B34" ca="1" si="11">WORKDAY(IF(VALUE(RIGHT(A27,4))-1405&gt;0,WORKDAY(DATE("20"&amp;MID(A27,3,2),RIGHT(A27,2)-12,0),10,Holiday),WORKDAY(DATE("20"&amp;MID(A27,3,2)-1,RIGHT(A27,2)+1,1),-7,Holiday)),1,Holiday)</f>
        <v>41835</v>
      </c>
      <c r="C27" s="1">
        <f t="shared" ref="C27:C34" ca="1" si="12">IF(VALUE(RIGHT(A15,4))-1307&gt;=0,WORKDAY(DATE("20"&amp;MID(A15,3,2),RIGHT(A15,2),0),10,Holiday),WORKDAY(DATE("20"&amp;MID(A15,3,2),RIGHT(A15,2)+1,1),-7,Holiday))</f>
        <v>42199</v>
      </c>
      <c r="D27" s="1">
        <f t="shared" ref="D27:D34" ca="1" si="13">IF(NETWORKDAYS(DATE("20"&amp;MID(A27,3,2),RIGHT(A27,2)-1,15),DATE("20"&amp;MID(A27,3,2),RIGHT(A27,2)-1,15),Holiday)=0,WORKDAY(DATE("20"&amp;MID(A27,3,2),RIGHT(A27,2)-1,15),-1,Holiday),DATE("20"&amp;MID(A27,3,2),RIGHT(A27,2)-1,15))</f>
        <v>42170</v>
      </c>
      <c r="E27" s="1">
        <f t="shared" ref="E27:E34" ca="1" si="14">IF(NETWORKDAYS(DATE("20"&amp;MID(A27,3,2),RIGHT(A27,2),0),DATE("20"&amp;MID(A27,3,2),RIGHT(A27,2),0),Holiday)=0,WORKDAY(DATE("20"&amp;MID(A27,3,2),RIGHT(A27,2),0),-1,Holiday),DATE("20"&amp;MID(A27,3,2),RIGHT(A27,2),0))</f>
        <v>42185</v>
      </c>
    </row>
    <row r="28" spans="1:5" x14ac:dyDescent="0.15">
      <c r="A28" t="str">
        <f ca="1">IF(VALUE(TEXT(DATE("20"&amp;MID(A27,3,2),RIGHT(A27,2)+2,10),"yymm"))-1307&gt;=0,"RI","ER")&amp;TEXT(DATE("20"&amp;MID(A27,3,2),RIGHT(A27,2)+2,10),"yymm")</f>
        <v>RI1509</v>
      </c>
      <c r="B28" s="1">
        <f t="shared" ca="1" si="11"/>
        <v>41898</v>
      </c>
      <c r="C28" s="1">
        <f t="shared" ca="1" si="12"/>
        <v>42263</v>
      </c>
      <c r="D28" s="1">
        <f t="shared" ca="1" si="13"/>
        <v>42230</v>
      </c>
      <c r="E28" s="1">
        <f t="shared" ca="1" si="14"/>
        <v>42247</v>
      </c>
    </row>
    <row r="29" spans="1:5" x14ac:dyDescent="0.15">
      <c r="A29" t="str">
        <f t="shared" ref="A29:A34" ca="1" si="15">IF(VALUE(TEXT(DATE("20"&amp;MID(A28,3,2),RIGHT(A28,2)+2,10),"yymm"))-1307&gt;=0,"RI","ER")&amp;TEXT(DATE("20"&amp;MID(A28,3,2),RIGHT(A28,2)+2,10),"yymm")</f>
        <v>RI1511</v>
      </c>
      <c r="B29" s="1">
        <f t="shared" ca="1" si="11"/>
        <v>41960</v>
      </c>
      <c r="C29" s="1">
        <f t="shared" ca="1" si="12"/>
        <v>42321</v>
      </c>
      <c r="D29" s="1">
        <f t="shared" ca="1" si="13"/>
        <v>42292</v>
      </c>
      <c r="E29" s="1">
        <f t="shared" ca="1" si="14"/>
        <v>42307</v>
      </c>
    </row>
    <row r="30" spans="1:5" x14ac:dyDescent="0.15">
      <c r="A30" t="str">
        <f t="shared" ca="1" si="15"/>
        <v>RI1601</v>
      </c>
      <c r="B30" s="1">
        <f t="shared" ca="1" si="11"/>
        <v>42023</v>
      </c>
      <c r="C30" s="1">
        <f t="shared" ca="1" si="12"/>
        <v>42383</v>
      </c>
      <c r="D30" s="1">
        <f t="shared" ca="1" si="13"/>
        <v>42353</v>
      </c>
      <c r="E30" s="1">
        <f t="shared" ca="1" si="14"/>
        <v>42369</v>
      </c>
    </row>
    <row r="31" spans="1:5" x14ac:dyDescent="0.15">
      <c r="A31" t="str">
        <f t="shared" ca="1" si="15"/>
        <v>RI1603</v>
      </c>
      <c r="B31" s="1">
        <f t="shared" ca="1" si="11"/>
        <v>42079</v>
      </c>
      <c r="C31" s="1">
        <f t="shared" ca="1" si="12"/>
        <v>42443</v>
      </c>
      <c r="D31" s="1">
        <f t="shared" ca="1" si="13"/>
        <v>42415</v>
      </c>
      <c r="E31" s="1">
        <f t="shared" ca="1" si="14"/>
        <v>42429</v>
      </c>
    </row>
    <row r="32" spans="1:5" x14ac:dyDescent="0.15">
      <c r="A32" t="str">
        <f t="shared" ca="1" si="15"/>
        <v>RI1605</v>
      </c>
      <c r="B32" s="1">
        <f t="shared" ca="1" si="11"/>
        <v>42142</v>
      </c>
      <c r="C32" s="1">
        <f t="shared" ca="1" si="12"/>
        <v>42503</v>
      </c>
      <c r="D32" s="1">
        <f t="shared" ca="1" si="13"/>
        <v>42475</v>
      </c>
      <c r="E32" s="1">
        <f t="shared" ca="1" si="14"/>
        <v>42489</v>
      </c>
    </row>
    <row r="33" spans="1:5" x14ac:dyDescent="0.15">
      <c r="A33" t="str">
        <f t="shared" ca="1" si="15"/>
        <v>RI1607</v>
      </c>
      <c r="B33" s="1">
        <f t="shared" ca="1" si="11"/>
        <v>42200</v>
      </c>
      <c r="C33" s="1">
        <f t="shared" ca="1" si="12"/>
        <v>42565</v>
      </c>
      <c r="D33" s="1">
        <f t="shared" ca="1" si="13"/>
        <v>42536</v>
      </c>
      <c r="E33" s="1">
        <f t="shared" ca="1" si="14"/>
        <v>42551</v>
      </c>
    </row>
    <row r="34" spans="1:5" x14ac:dyDescent="0.15">
      <c r="A34" t="str">
        <f t="shared" ca="1" si="15"/>
        <v>RI1609</v>
      </c>
      <c r="B34" s="1">
        <f t="shared" ca="1" si="11"/>
        <v>42264</v>
      </c>
      <c r="C34" s="1">
        <f t="shared" ca="1" si="12"/>
        <v>42627</v>
      </c>
      <c r="D34" s="1">
        <f t="shared" ca="1" si="13"/>
        <v>42597</v>
      </c>
      <c r="E34" s="1">
        <f t="shared" ca="1" si="14"/>
        <v>42613</v>
      </c>
    </row>
    <row r="35" spans="1:5" x14ac:dyDescent="0.15">
      <c r="C35" s="1"/>
      <c r="D35" s="1"/>
      <c r="E35" s="1"/>
    </row>
    <row r="37" spans="1:5" x14ac:dyDescent="0.15">
      <c r="A37" t="s">
        <v>54</v>
      </c>
      <c r="D37" s="5">
        <v>0.1</v>
      </c>
      <c r="E37" s="5">
        <v>0.2</v>
      </c>
    </row>
    <row r="38" spans="1:5" x14ac:dyDescent="0.15">
      <c r="B38" s="32" t="s">
        <v>48</v>
      </c>
      <c r="C38" t="s">
        <v>1</v>
      </c>
      <c r="D38" s="47" t="s">
        <v>103</v>
      </c>
      <c r="E38" s="32" t="s">
        <v>102</v>
      </c>
    </row>
    <row r="39" spans="1:5" x14ac:dyDescent="0.15">
      <c r="A39" t="str">
        <f ca="1">IF(TODAY()&gt;WORKDAY(DATE("2013","05",0),10,Holiday),"OI","RO")&amp;TEXT(DATE(YEAR(TODAY()),ODD(MONTH(TODAY())+IF(TODAY()&gt;WORKDAY(DATE(YEAR(TODAY()),ODD(MONTH(TODAY())),0),10,Holiday),1,0)),1),"yymm")</f>
        <v>OI1507</v>
      </c>
      <c r="B39" s="1">
        <f t="shared" ref="B39:B46" ca="1" si="16">WORKDAY(WORKDAY(DATE("20"&amp;MID(A39,3,2),RIGHT(A39,2)-12,0),10,Holiday),1,Holiday)</f>
        <v>41835</v>
      </c>
      <c r="C39" s="1">
        <f t="shared" ref="C39:C44" ca="1" si="17">WORKDAY(DATE("20"&amp;MID(A39,3,2),RIGHT(A39,2),0),10,Holiday)</f>
        <v>42199</v>
      </c>
      <c r="D39" s="1">
        <f t="shared" ref="D39:D46" ca="1" si="18">IF(NETWORKDAYS(DATE("20"&amp;MID(A39,3,2),RIGHT(A39,2)-1,15),DATE("20"&amp;MID(A39,3,2),RIGHT(A39,2)-1,15),Holiday)=0,WORKDAY(DATE("20"&amp;MID(A39,3,2),RIGHT(A39,2)-1,15),-1,Holiday),DATE("20"&amp;MID(A39,3,2),RIGHT(A39,2)-1,15))</f>
        <v>42170</v>
      </c>
      <c r="E39" s="1">
        <f t="shared" ref="E39:E46" ca="1" si="19">IF(NETWORKDAYS(DATE("20"&amp;MID(A39,3,2),RIGHT(A39,2),0),DATE("20"&amp;MID(A39,3,2),RIGHT(A39,2),0),Holiday)=0,WORKDAY(DATE("20"&amp;MID(A39,3,2),RIGHT(A39,2),0),-1,Holiday),DATE("20"&amp;MID(A39,3,2),RIGHT(A39,2),0))</f>
        <v>42185</v>
      </c>
    </row>
    <row r="40" spans="1:5" x14ac:dyDescent="0.15">
      <c r="A40" t="str">
        <f t="shared" ref="A40:A46" ca="1" si="20">IF(VALUE(RIGHT(A39,4))&gt;=1305,"OI","RO")&amp;TEXT(DATE("20"&amp;MID(A39,3,2),RIGHT(A39,2)+2,10),"yymm")</f>
        <v>OI1509</v>
      </c>
      <c r="B40" s="1">
        <f t="shared" ca="1" si="16"/>
        <v>41898</v>
      </c>
      <c r="C40" s="1">
        <f t="shared" ca="1" si="17"/>
        <v>42263</v>
      </c>
      <c r="D40" s="1">
        <f t="shared" ca="1" si="18"/>
        <v>42230</v>
      </c>
      <c r="E40" s="1">
        <f t="shared" ca="1" si="19"/>
        <v>42247</v>
      </c>
    </row>
    <row r="41" spans="1:5" x14ac:dyDescent="0.15">
      <c r="A41" t="str">
        <f t="shared" ca="1" si="20"/>
        <v>OI1511</v>
      </c>
      <c r="B41" s="1">
        <f t="shared" ca="1" si="16"/>
        <v>41960</v>
      </c>
      <c r="C41" s="1">
        <f t="shared" ca="1" si="17"/>
        <v>42321</v>
      </c>
      <c r="D41" s="1">
        <f t="shared" ca="1" si="18"/>
        <v>42292</v>
      </c>
      <c r="E41" s="1">
        <f t="shared" ca="1" si="19"/>
        <v>42307</v>
      </c>
    </row>
    <row r="42" spans="1:5" x14ac:dyDescent="0.15">
      <c r="A42" t="str">
        <f t="shared" ca="1" si="20"/>
        <v>OI1601</v>
      </c>
      <c r="B42" s="1">
        <f t="shared" ca="1" si="16"/>
        <v>42023</v>
      </c>
      <c r="C42" s="1">
        <f t="shared" ca="1" si="17"/>
        <v>42383</v>
      </c>
      <c r="D42" s="1">
        <f t="shared" ca="1" si="18"/>
        <v>42353</v>
      </c>
      <c r="E42" s="1">
        <f t="shared" ca="1" si="19"/>
        <v>42369</v>
      </c>
    </row>
    <row r="43" spans="1:5" x14ac:dyDescent="0.15">
      <c r="A43" t="str">
        <f t="shared" ca="1" si="20"/>
        <v>OI1603</v>
      </c>
      <c r="B43" s="1">
        <f t="shared" ca="1" si="16"/>
        <v>42079</v>
      </c>
      <c r="C43" s="1">
        <f t="shared" ca="1" si="17"/>
        <v>42443</v>
      </c>
      <c r="D43" s="1">
        <f t="shared" ca="1" si="18"/>
        <v>42415</v>
      </c>
      <c r="E43" s="1">
        <f t="shared" ca="1" si="19"/>
        <v>42429</v>
      </c>
    </row>
    <row r="44" spans="1:5" x14ac:dyDescent="0.15">
      <c r="A44" t="str">
        <f t="shared" ca="1" si="20"/>
        <v>OI1605</v>
      </c>
      <c r="B44" s="1">
        <f t="shared" ca="1" si="16"/>
        <v>42142</v>
      </c>
      <c r="C44" s="1">
        <f t="shared" ca="1" si="17"/>
        <v>42503</v>
      </c>
      <c r="D44" s="1">
        <f t="shared" ca="1" si="18"/>
        <v>42475</v>
      </c>
      <c r="E44" s="1">
        <f t="shared" ca="1" si="19"/>
        <v>42489</v>
      </c>
    </row>
    <row r="45" spans="1:5" x14ac:dyDescent="0.15">
      <c r="A45" t="str">
        <f t="shared" ca="1" si="20"/>
        <v>OI1607</v>
      </c>
      <c r="B45" s="1">
        <f t="shared" ca="1" si="16"/>
        <v>42200</v>
      </c>
      <c r="C45" s="1">
        <f t="shared" ref="C45:C46" ca="1" si="21">WORKDAY(DATE("20"&amp;MID(A45,3,2),RIGHT(A45,2),0),10,Holiday)</f>
        <v>42565</v>
      </c>
      <c r="D45" s="1">
        <f t="shared" ca="1" si="18"/>
        <v>42536</v>
      </c>
      <c r="E45" s="1">
        <f t="shared" ca="1" si="19"/>
        <v>42551</v>
      </c>
    </row>
    <row r="46" spans="1:5" x14ac:dyDescent="0.15">
      <c r="A46" t="str">
        <f t="shared" ca="1" si="20"/>
        <v>OI1609</v>
      </c>
      <c r="B46" s="1">
        <f t="shared" ca="1" si="16"/>
        <v>42264</v>
      </c>
      <c r="C46" s="1">
        <f t="shared" ca="1" si="21"/>
        <v>42627</v>
      </c>
      <c r="D46" s="1">
        <f t="shared" ca="1" si="18"/>
        <v>42597</v>
      </c>
      <c r="E46" s="1">
        <f t="shared" ca="1" si="19"/>
        <v>42613</v>
      </c>
    </row>
    <row r="47" spans="1:5" x14ac:dyDescent="0.15">
      <c r="C47" s="1"/>
      <c r="D47" s="1"/>
      <c r="E47" s="1"/>
    </row>
    <row r="48" spans="1:5" x14ac:dyDescent="0.15">
      <c r="C48" s="1"/>
      <c r="D48" s="1"/>
      <c r="E48" s="1"/>
    </row>
    <row r="49" spans="1:5" x14ac:dyDescent="0.15">
      <c r="A49" t="s">
        <v>36</v>
      </c>
      <c r="D49" s="5">
        <v>0.1</v>
      </c>
      <c r="E49" s="5">
        <v>0.2</v>
      </c>
    </row>
    <row r="50" spans="1:5" x14ac:dyDescent="0.15">
      <c r="B50" s="32" t="s">
        <v>48</v>
      </c>
      <c r="C50" t="s">
        <v>1</v>
      </c>
      <c r="D50" s="47" t="s">
        <v>103</v>
      </c>
      <c r="E50" s="32" t="s">
        <v>102</v>
      </c>
    </row>
    <row r="51" spans="1:5" x14ac:dyDescent="0.15">
      <c r="A51" t="str">
        <f ca="1">"CF"&amp;TEXT(DATE(YEAR(TODAY()),ODD(MONTH(TODAY())+IF(TODAY()&gt;WORKDAY(DATE(YEAR(TODAY()),ODD(MONTH(TODAY())),0),10,Holiday),1,0)),1),"yymm")</f>
        <v>CF1507</v>
      </c>
      <c r="B51" s="1">
        <f t="shared" ref="B51:B58" ca="1" si="22">WORKDAY(WORKDAY(DATE("20"&amp;MID(A51,3,2),RIGHT(A51,2)-12,0),10,Holiday),1,Holiday)</f>
        <v>41835</v>
      </c>
      <c r="C51" s="1">
        <f t="shared" ref="C51:C56" ca="1" si="23">WORKDAY(DATE("20"&amp;MID(A51,3,2),RIGHT(A51,2),0),10,Holiday)</f>
        <v>42199</v>
      </c>
      <c r="D51" s="1">
        <f t="shared" ref="D51:D58" ca="1" si="24">IF(NETWORKDAYS(DATE("20"&amp;MID(A51,3,2),RIGHT(A51,2)-1,15),DATE("20"&amp;MID(A51,3,2),RIGHT(A51,2)-1,15),Holiday)=0,WORKDAY(DATE("20"&amp;MID(A51,3,2),RIGHT(A51,2)-1,15),-1,Holiday),DATE("20"&amp;MID(A51,3,2),RIGHT(A51,2)-1,15))</f>
        <v>42170</v>
      </c>
      <c r="E51" s="1">
        <f t="shared" ref="E51:E58" ca="1" si="25">IF(NETWORKDAYS(DATE("20"&amp;MID(A51,3,2),RIGHT(A51,2),0),DATE("20"&amp;MID(A51,3,2),RIGHT(A51,2),0),Holiday)=0,WORKDAY(DATE("20"&amp;MID(A51,3,2),RIGHT(A51,2),0),-1,Holiday),DATE("20"&amp;MID(A51,3,2),RIGHT(A51,2),0))</f>
        <v>42185</v>
      </c>
    </row>
    <row r="52" spans="1:5" x14ac:dyDescent="0.15">
      <c r="A52" t="str">
        <f t="shared" ref="A52:A58" ca="1" si="26">"CF"&amp;TEXT(DATE("20"&amp;MID(A51,3,2),RIGHT(A51,2)+2,10),"yymm")</f>
        <v>CF1509</v>
      </c>
      <c r="B52" s="1">
        <f t="shared" ca="1" si="22"/>
        <v>41898</v>
      </c>
      <c r="C52" s="1">
        <f t="shared" ca="1" si="23"/>
        <v>42263</v>
      </c>
      <c r="D52" s="1">
        <f t="shared" ca="1" si="24"/>
        <v>42230</v>
      </c>
      <c r="E52" s="1">
        <f t="shared" ca="1" si="25"/>
        <v>42247</v>
      </c>
    </row>
    <row r="53" spans="1:5" x14ac:dyDescent="0.15">
      <c r="A53" t="str">
        <f t="shared" ca="1" si="26"/>
        <v>CF1511</v>
      </c>
      <c r="B53" s="1">
        <f t="shared" ca="1" si="22"/>
        <v>41960</v>
      </c>
      <c r="C53" s="1">
        <f t="shared" ca="1" si="23"/>
        <v>42321</v>
      </c>
      <c r="D53" s="1">
        <f t="shared" ca="1" si="24"/>
        <v>42292</v>
      </c>
      <c r="E53" s="1">
        <f t="shared" ca="1" si="25"/>
        <v>42307</v>
      </c>
    </row>
    <row r="54" spans="1:5" x14ac:dyDescent="0.15">
      <c r="A54" t="str">
        <f t="shared" ca="1" si="26"/>
        <v>CF1601</v>
      </c>
      <c r="B54" s="1">
        <f t="shared" ca="1" si="22"/>
        <v>42023</v>
      </c>
      <c r="C54" s="1">
        <f t="shared" ca="1" si="23"/>
        <v>42383</v>
      </c>
      <c r="D54" s="1">
        <f t="shared" ca="1" si="24"/>
        <v>42353</v>
      </c>
      <c r="E54" s="1">
        <f t="shared" ca="1" si="25"/>
        <v>42369</v>
      </c>
    </row>
    <row r="55" spans="1:5" x14ac:dyDescent="0.15">
      <c r="A55" t="str">
        <f t="shared" ca="1" si="26"/>
        <v>CF1603</v>
      </c>
      <c r="B55" s="1">
        <f t="shared" ca="1" si="22"/>
        <v>42079</v>
      </c>
      <c r="C55" s="1">
        <f t="shared" ca="1" si="23"/>
        <v>42443</v>
      </c>
      <c r="D55" s="1">
        <f t="shared" ca="1" si="24"/>
        <v>42415</v>
      </c>
      <c r="E55" s="1">
        <f t="shared" ca="1" si="25"/>
        <v>42429</v>
      </c>
    </row>
    <row r="56" spans="1:5" x14ac:dyDescent="0.15">
      <c r="A56" t="str">
        <f t="shared" ca="1" si="26"/>
        <v>CF1605</v>
      </c>
      <c r="B56" s="1">
        <f t="shared" ca="1" si="22"/>
        <v>42142</v>
      </c>
      <c r="C56" s="1">
        <f t="shared" ca="1" si="23"/>
        <v>42503</v>
      </c>
      <c r="D56" s="1">
        <f t="shared" ca="1" si="24"/>
        <v>42475</v>
      </c>
      <c r="E56" s="1">
        <f t="shared" ca="1" si="25"/>
        <v>42489</v>
      </c>
    </row>
    <row r="57" spans="1:5" x14ac:dyDescent="0.15">
      <c r="A57" t="str">
        <f t="shared" ca="1" si="26"/>
        <v>CF1607</v>
      </c>
      <c r="B57" s="1">
        <f t="shared" ca="1" si="22"/>
        <v>42200</v>
      </c>
      <c r="C57" s="1">
        <f t="shared" ref="C57:C58" ca="1" si="27">WORKDAY(DATE("20"&amp;MID(A57,3,2),RIGHT(A57,2),0),10,Holiday)</f>
        <v>42565</v>
      </c>
      <c r="D57" s="1">
        <f t="shared" ca="1" si="24"/>
        <v>42536</v>
      </c>
      <c r="E57" s="1">
        <f t="shared" ca="1" si="25"/>
        <v>42551</v>
      </c>
    </row>
    <row r="58" spans="1:5" x14ac:dyDescent="0.15">
      <c r="A58" t="str">
        <f t="shared" ca="1" si="26"/>
        <v>CF1609</v>
      </c>
      <c r="B58" s="1">
        <f t="shared" ca="1" si="22"/>
        <v>42264</v>
      </c>
      <c r="C58" s="1">
        <f t="shared" ca="1" si="27"/>
        <v>42627</v>
      </c>
      <c r="D58" s="1">
        <f t="shared" ca="1" si="24"/>
        <v>42597</v>
      </c>
      <c r="E58" s="1">
        <f t="shared" ca="1" si="25"/>
        <v>42613</v>
      </c>
    </row>
    <row r="59" spans="1:5" x14ac:dyDescent="0.15">
      <c r="C59" s="1"/>
      <c r="D59" s="1"/>
      <c r="E59" s="1"/>
    </row>
    <row r="60" spans="1:5" x14ac:dyDescent="0.15">
      <c r="C60" s="1"/>
      <c r="D60" s="1"/>
      <c r="E60" s="1"/>
    </row>
    <row r="61" spans="1:5" x14ac:dyDescent="0.15">
      <c r="A61" t="s">
        <v>37</v>
      </c>
      <c r="D61" s="5">
        <v>0.1</v>
      </c>
      <c r="E61" s="5">
        <v>0.2</v>
      </c>
    </row>
    <row r="62" spans="1:5" x14ac:dyDescent="0.15">
      <c r="B62" s="32" t="s">
        <v>48</v>
      </c>
      <c r="C62" t="s">
        <v>1</v>
      </c>
      <c r="D62" s="47" t="s">
        <v>103</v>
      </c>
      <c r="E62" s="32" t="s">
        <v>102</v>
      </c>
    </row>
    <row r="63" spans="1:5" x14ac:dyDescent="0.15">
      <c r="A63" t="str">
        <f ca="1">"SR"&amp;TEXT(DATE(YEAR(TODAY()),ODD(MONTH(TODAY())+IF(TODAY()&gt;WORKDAY(DATE(YEAR(TODAY()),ODD(MONTH(TODAY())),0),10,Holiday),1,0)),1),"yymm")</f>
        <v>SR1507</v>
      </c>
      <c r="B63" s="1">
        <f t="shared" ref="B63:B73" ca="1" si="28">WORKDAY(WORKDAY(DATE("20"&amp;MID(A63,3,2),RIGHT(A63,2)-18,0),10,Holiday),1,Holiday)</f>
        <v>41655</v>
      </c>
      <c r="C63" s="1">
        <f t="shared" ref="C63:C68" ca="1" si="29">WORKDAY(DATE("20"&amp;MID(A63,3,2),RIGHT(A63,2),0),10,Holiday)</f>
        <v>42199</v>
      </c>
      <c r="D63" s="1">
        <f t="shared" ref="D63:D73" ca="1" si="30">IF(NETWORKDAYS(DATE("20"&amp;MID(A63,3,2),RIGHT(A63,2)-1,15),DATE("20"&amp;MID(A63,3,2),RIGHT(A63,2)-1,15),Holiday)=0,WORKDAY(DATE("20"&amp;MID(A63,3,2),RIGHT(A63,2)-1,15),-1,Holiday),DATE("20"&amp;MID(A63,3,2),RIGHT(A63,2)-1,15))</f>
        <v>42170</v>
      </c>
      <c r="E63" s="1">
        <f t="shared" ref="E63:E73" ca="1" si="31">IF(NETWORKDAYS(DATE("20"&amp;MID(A63,3,2),RIGHT(A63,2),0),DATE("20"&amp;MID(A63,3,2),RIGHT(A63,2),0),Holiday)=0,WORKDAY(DATE("20"&amp;MID(A63,3,2),RIGHT(A63,2),0),-1,Holiday),DATE("20"&amp;MID(A63,3,2),RIGHT(A63,2),0))</f>
        <v>42185</v>
      </c>
    </row>
    <row r="64" spans="1:5" x14ac:dyDescent="0.15">
      <c r="A64" t="str">
        <f t="shared" ref="A64:A73" ca="1" si="32">"SR"&amp;TEXT(DATE("20"&amp;MID(A63,3,2),RIGHT(A63,2)+2,10),"yymm")</f>
        <v>SR1509</v>
      </c>
      <c r="B64" s="1">
        <f t="shared" ca="1" si="28"/>
        <v>41715</v>
      </c>
      <c r="C64" s="1">
        <f t="shared" ca="1" si="29"/>
        <v>42263</v>
      </c>
      <c r="D64" s="1">
        <f t="shared" ca="1" si="30"/>
        <v>42230</v>
      </c>
      <c r="E64" s="1">
        <f t="shared" ca="1" si="31"/>
        <v>42247</v>
      </c>
    </row>
    <row r="65" spans="1:5" x14ac:dyDescent="0.15">
      <c r="A65" t="str">
        <f t="shared" ca="1" si="32"/>
        <v>SR1511</v>
      </c>
      <c r="B65" s="1">
        <f t="shared" ca="1" si="28"/>
        <v>41778</v>
      </c>
      <c r="C65" s="1">
        <f t="shared" ca="1" si="29"/>
        <v>42321</v>
      </c>
      <c r="D65" s="1">
        <f t="shared" ca="1" si="30"/>
        <v>42292</v>
      </c>
      <c r="E65" s="1">
        <f t="shared" ca="1" si="31"/>
        <v>42307</v>
      </c>
    </row>
    <row r="66" spans="1:5" x14ac:dyDescent="0.15">
      <c r="A66" t="str">
        <f t="shared" ca="1" si="32"/>
        <v>SR1601</v>
      </c>
      <c r="B66" s="1">
        <f t="shared" ca="1" si="28"/>
        <v>41835</v>
      </c>
      <c r="C66" s="1">
        <f t="shared" ca="1" si="29"/>
        <v>42383</v>
      </c>
      <c r="D66" s="1">
        <f t="shared" ca="1" si="30"/>
        <v>42353</v>
      </c>
      <c r="E66" s="1">
        <f t="shared" ca="1" si="31"/>
        <v>42369</v>
      </c>
    </row>
    <row r="67" spans="1:5" x14ac:dyDescent="0.15">
      <c r="A67" t="str">
        <f t="shared" ca="1" si="32"/>
        <v>SR1603</v>
      </c>
      <c r="B67" s="1">
        <f t="shared" ca="1" si="28"/>
        <v>41898</v>
      </c>
      <c r="C67" s="1">
        <f t="shared" ca="1" si="29"/>
        <v>42443</v>
      </c>
      <c r="D67" s="1">
        <f t="shared" ca="1" si="30"/>
        <v>42415</v>
      </c>
      <c r="E67" s="1">
        <f t="shared" ca="1" si="31"/>
        <v>42429</v>
      </c>
    </row>
    <row r="68" spans="1:5" x14ac:dyDescent="0.15">
      <c r="A68" t="str">
        <f t="shared" ca="1" si="32"/>
        <v>SR1605</v>
      </c>
      <c r="B68" s="1">
        <f t="shared" ca="1" si="28"/>
        <v>41960</v>
      </c>
      <c r="C68" s="1">
        <f t="shared" ca="1" si="29"/>
        <v>42503</v>
      </c>
      <c r="D68" s="1">
        <f t="shared" ca="1" si="30"/>
        <v>42475</v>
      </c>
      <c r="E68" s="1">
        <f t="shared" ca="1" si="31"/>
        <v>42489</v>
      </c>
    </row>
    <row r="69" spans="1:5" x14ac:dyDescent="0.15">
      <c r="A69" t="str">
        <f t="shared" ca="1" si="32"/>
        <v>SR1607</v>
      </c>
      <c r="B69" s="1">
        <f t="shared" ca="1" si="28"/>
        <v>42023</v>
      </c>
      <c r="C69" s="1">
        <f t="shared" ref="C69:C70" ca="1" si="33">WORKDAY(DATE("20"&amp;MID(A69,3,2),RIGHT(A69,2),0),10,Holiday)</f>
        <v>42565</v>
      </c>
      <c r="D69" s="1">
        <f t="shared" ca="1" si="30"/>
        <v>42536</v>
      </c>
      <c r="E69" s="1">
        <f t="shared" ca="1" si="31"/>
        <v>42551</v>
      </c>
    </row>
    <row r="70" spans="1:5" x14ac:dyDescent="0.15">
      <c r="A70" t="str">
        <f t="shared" ca="1" si="32"/>
        <v>SR1609</v>
      </c>
      <c r="B70" s="1">
        <f t="shared" ca="1" si="28"/>
        <v>42079</v>
      </c>
      <c r="C70" s="1">
        <f t="shared" ca="1" si="33"/>
        <v>42627</v>
      </c>
      <c r="D70" s="1">
        <f t="shared" ca="1" si="30"/>
        <v>42597</v>
      </c>
      <c r="E70" s="1">
        <f t="shared" ca="1" si="31"/>
        <v>42613</v>
      </c>
    </row>
    <row r="71" spans="1:5" x14ac:dyDescent="0.15">
      <c r="A71" t="str">
        <f t="shared" ca="1" si="32"/>
        <v>SR1611</v>
      </c>
      <c r="B71" s="1">
        <f t="shared" ca="1" si="28"/>
        <v>42142</v>
      </c>
      <c r="C71" s="1">
        <f t="shared" ref="C71:C73" ca="1" si="34">WORKDAY(DATE("20"&amp;MID(A71,3,2),RIGHT(A71,2),0),10,Holiday)</f>
        <v>42688</v>
      </c>
      <c r="D71" s="1">
        <f t="shared" ca="1" si="30"/>
        <v>42657</v>
      </c>
      <c r="E71" s="1">
        <f t="shared" ca="1" si="31"/>
        <v>42674</v>
      </c>
    </row>
    <row r="72" spans="1:5" x14ac:dyDescent="0.15">
      <c r="A72" t="str">
        <f t="shared" ca="1" si="32"/>
        <v>SR1701</v>
      </c>
      <c r="B72" s="1">
        <f t="shared" ca="1" si="28"/>
        <v>42200</v>
      </c>
      <c r="C72" s="1">
        <f t="shared" ca="1" si="34"/>
        <v>42748</v>
      </c>
      <c r="D72" s="1">
        <f t="shared" ca="1" si="30"/>
        <v>42719</v>
      </c>
      <c r="E72" s="1">
        <f t="shared" ca="1" si="31"/>
        <v>42734</v>
      </c>
    </row>
    <row r="73" spans="1:5" x14ac:dyDescent="0.15">
      <c r="A73" t="str">
        <f t="shared" ca="1" si="32"/>
        <v>SR1703</v>
      </c>
      <c r="B73" s="1">
        <f t="shared" ca="1" si="28"/>
        <v>42264</v>
      </c>
      <c r="C73" s="1">
        <f t="shared" ca="1" si="34"/>
        <v>42808</v>
      </c>
      <c r="D73" s="1">
        <f t="shared" ca="1" si="30"/>
        <v>42781</v>
      </c>
      <c r="E73" s="1">
        <f t="shared" ca="1" si="31"/>
        <v>42794</v>
      </c>
    </row>
    <row r="74" spans="1:5" x14ac:dyDescent="0.15">
      <c r="C74" s="1"/>
      <c r="D74" s="1"/>
      <c r="E74" s="1"/>
    </row>
    <row r="76" spans="1:5" x14ac:dyDescent="0.15">
      <c r="A76" t="s">
        <v>21</v>
      </c>
      <c r="D76" s="5">
        <v>0.1</v>
      </c>
      <c r="E76" s="5">
        <v>0.2</v>
      </c>
    </row>
    <row r="77" spans="1:5" x14ac:dyDescent="0.15">
      <c r="B77" s="32" t="s">
        <v>48</v>
      </c>
      <c r="C77" t="s">
        <v>1</v>
      </c>
      <c r="D77" s="47" t="s">
        <v>103</v>
      </c>
      <c r="E77" s="32" t="s">
        <v>102</v>
      </c>
    </row>
    <row r="78" spans="1:5" x14ac:dyDescent="0.15">
      <c r="A78" t="str">
        <f ca="1">"TA"&amp;TEXT(DATE(YEAR(TODAY()),MONTH(TODAY())+IF(TODAY()&gt;WORKDAY(DATE(YEAR(TODAY()),MONTH(TODAY()),0),10,Holiday),1,0),1),"yymm")</f>
        <v>TA1507</v>
      </c>
      <c r="B78" s="1">
        <f t="shared" ref="B78:B91" ca="1" si="35">WORKDAY(WORKDAY(DATE("20"&amp;MID(A78,3,2),RIGHT(A78,2)-12,0),10,Holiday),1,Holiday)</f>
        <v>41835</v>
      </c>
      <c r="C78" s="1">
        <f ca="1">WORKDAY(DATE("20"&amp;MID(A78,3,2),RIGHT(A78,2),0),10,Holiday)</f>
        <v>42199</v>
      </c>
      <c r="D78" s="1">
        <f t="shared" ref="D78:D91" ca="1" si="36">IF(NETWORKDAYS(DATE("20"&amp;MID(A78,3,2),RIGHT(A78,2)-1,15),DATE("20"&amp;MID(A78,3,2),RIGHT(A78,2)-1,15),Holiday)=0,WORKDAY(DATE("20"&amp;MID(A78,3,2),RIGHT(A78,2)-1,15),-1,Holiday),DATE("20"&amp;MID(A78,3,2),RIGHT(A78,2)-1,15))</f>
        <v>42170</v>
      </c>
      <c r="E78" s="1">
        <f t="shared" ref="E78:E91" ca="1" si="37">IF(NETWORKDAYS(DATE("20"&amp;MID(A78,3,2),RIGHT(A78,2),0),DATE("20"&amp;MID(A78,3,2),RIGHT(A78,2),0),Holiday)=0,WORKDAY(DATE("20"&amp;MID(A78,3,2),RIGHT(A78,2),0),-1,Holiday),DATE("20"&amp;MID(A78,3,2),RIGHT(A78,2),0))</f>
        <v>42185</v>
      </c>
    </row>
    <row r="79" spans="1:5" x14ac:dyDescent="0.15">
      <c r="A79" t="str">
        <f ca="1">"TA"&amp;TEXT(DATE("20"&amp;MID(A78,LEN(A78)-3,2),RIGHT(A78,2)+1,"10"),"yymm")</f>
        <v>TA1508</v>
      </c>
      <c r="B79" s="1">
        <f t="shared" ca="1" si="35"/>
        <v>41866</v>
      </c>
      <c r="C79" s="1">
        <f t="shared" ref="C79:C89" ca="1" si="38">WORKDAY(DATE("20"&amp;MID(A79,3,2),RIGHT(A79,2),0),10,Holiday)</f>
        <v>42230</v>
      </c>
      <c r="D79" s="1">
        <f t="shared" ca="1" si="36"/>
        <v>42200</v>
      </c>
      <c r="E79" s="1">
        <f t="shared" ca="1" si="37"/>
        <v>42216</v>
      </c>
    </row>
    <row r="80" spans="1:5" x14ac:dyDescent="0.15">
      <c r="A80" t="str">
        <f t="shared" ref="A80:A91" ca="1" si="39">"TA"&amp;TEXT(DATE("20"&amp;MID(A79,LEN(A79)-3,2),RIGHT(A79,2)+1,"10"),"yymm")</f>
        <v>TA1509</v>
      </c>
      <c r="B80" s="1">
        <f t="shared" ca="1" si="35"/>
        <v>41898</v>
      </c>
      <c r="C80" s="1">
        <f t="shared" ca="1" si="38"/>
        <v>42263</v>
      </c>
      <c r="D80" s="1">
        <f t="shared" ca="1" si="36"/>
        <v>42230</v>
      </c>
      <c r="E80" s="1">
        <f t="shared" ca="1" si="37"/>
        <v>42247</v>
      </c>
    </row>
    <row r="81" spans="1:5" x14ac:dyDescent="0.15">
      <c r="A81" t="str">
        <f t="shared" ca="1" si="39"/>
        <v>TA1510</v>
      </c>
      <c r="B81" s="1">
        <f t="shared" ca="1" si="35"/>
        <v>41934</v>
      </c>
      <c r="C81" s="1">
        <f t="shared" ca="1" si="38"/>
        <v>42298</v>
      </c>
      <c r="D81" s="1">
        <f t="shared" ca="1" si="36"/>
        <v>42262</v>
      </c>
      <c r="E81" s="1">
        <f t="shared" ca="1" si="37"/>
        <v>42277</v>
      </c>
    </row>
    <row r="82" spans="1:5" x14ac:dyDescent="0.15">
      <c r="A82" t="str">
        <f t="shared" ca="1" si="39"/>
        <v>TA1511</v>
      </c>
      <c r="B82" s="1">
        <f t="shared" ca="1" si="35"/>
        <v>41960</v>
      </c>
      <c r="C82" s="1">
        <f t="shared" ca="1" si="38"/>
        <v>42321</v>
      </c>
      <c r="D82" s="1">
        <f t="shared" ca="1" si="36"/>
        <v>42292</v>
      </c>
      <c r="E82" s="1">
        <f t="shared" ca="1" si="37"/>
        <v>42307</v>
      </c>
    </row>
    <row r="83" spans="1:5" x14ac:dyDescent="0.15">
      <c r="A83" t="str">
        <f t="shared" ca="1" si="39"/>
        <v>TA1512</v>
      </c>
      <c r="B83" s="1">
        <f t="shared" ca="1" si="35"/>
        <v>41988</v>
      </c>
      <c r="C83" s="1">
        <f t="shared" ca="1" si="38"/>
        <v>42352</v>
      </c>
      <c r="D83" s="1">
        <f t="shared" ca="1" si="36"/>
        <v>42321</v>
      </c>
      <c r="E83" s="1">
        <f t="shared" ca="1" si="37"/>
        <v>42338</v>
      </c>
    </row>
    <row r="84" spans="1:5" x14ac:dyDescent="0.15">
      <c r="A84" t="str">
        <f t="shared" ca="1" si="39"/>
        <v>TA1601</v>
      </c>
      <c r="B84" s="1">
        <f t="shared" ca="1" si="35"/>
        <v>42023</v>
      </c>
      <c r="C84" s="1">
        <f t="shared" ca="1" si="38"/>
        <v>42383</v>
      </c>
      <c r="D84" s="1">
        <f t="shared" ca="1" si="36"/>
        <v>42353</v>
      </c>
      <c r="E84" s="1">
        <f t="shared" ca="1" si="37"/>
        <v>42369</v>
      </c>
    </row>
    <row r="85" spans="1:5" x14ac:dyDescent="0.15">
      <c r="A85" t="str">
        <f t="shared" ca="1" si="39"/>
        <v>TA1602</v>
      </c>
      <c r="B85" s="1">
        <f t="shared" ca="1" si="35"/>
        <v>42051</v>
      </c>
      <c r="C85" s="1">
        <f t="shared" ca="1" si="38"/>
        <v>42412</v>
      </c>
      <c r="D85" s="1">
        <f t="shared" ca="1" si="36"/>
        <v>42384</v>
      </c>
      <c r="E85" s="1">
        <f t="shared" ca="1" si="37"/>
        <v>42398</v>
      </c>
    </row>
    <row r="86" spans="1:5" x14ac:dyDescent="0.15">
      <c r="A86" t="str">
        <f t="shared" ca="1" si="39"/>
        <v>TA1603</v>
      </c>
      <c r="B86" s="1">
        <f t="shared" ca="1" si="35"/>
        <v>42079</v>
      </c>
      <c r="C86" s="1">
        <f t="shared" ca="1" si="38"/>
        <v>42443</v>
      </c>
      <c r="D86" s="1">
        <f t="shared" ca="1" si="36"/>
        <v>42415</v>
      </c>
      <c r="E86" s="1">
        <f t="shared" ca="1" si="37"/>
        <v>42429</v>
      </c>
    </row>
    <row r="87" spans="1:5" x14ac:dyDescent="0.15">
      <c r="A87" t="str">
        <f t="shared" ca="1" si="39"/>
        <v>TA1604</v>
      </c>
      <c r="B87" s="1">
        <f t="shared" ca="1" si="35"/>
        <v>42110</v>
      </c>
      <c r="C87" s="1">
        <f t="shared" ca="1" si="38"/>
        <v>42474</v>
      </c>
      <c r="D87" s="1">
        <f t="shared" ca="1" si="36"/>
        <v>42444</v>
      </c>
      <c r="E87" s="1">
        <f t="shared" ca="1" si="37"/>
        <v>42460</v>
      </c>
    </row>
    <row r="88" spans="1:5" x14ac:dyDescent="0.15">
      <c r="A88" t="str">
        <f t="shared" ca="1" si="39"/>
        <v>TA1605</v>
      </c>
      <c r="B88" s="1">
        <f t="shared" ca="1" si="35"/>
        <v>42142</v>
      </c>
      <c r="C88" s="1">
        <f t="shared" ca="1" si="38"/>
        <v>42503</v>
      </c>
      <c r="D88" s="1">
        <f t="shared" ca="1" si="36"/>
        <v>42475</v>
      </c>
      <c r="E88" s="1">
        <f t="shared" ca="1" si="37"/>
        <v>42489</v>
      </c>
    </row>
    <row r="89" spans="1:5" x14ac:dyDescent="0.15">
      <c r="A89" t="str">
        <f t="shared" ca="1" si="39"/>
        <v>TA1606</v>
      </c>
      <c r="B89" s="1">
        <f t="shared" ca="1" si="35"/>
        <v>42170</v>
      </c>
      <c r="C89" s="1">
        <f t="shared" ca="1" si="38"/>
        <v>42535</v>
      </c>
      <c r="D89" s="1">
        <f t="shared" ca="1" si="36"/>
        <v>42503</v>
      </c>
      <c r="E89" s="1">
        <f t="shared" ca="1" si="37"/>
        <v>42521</v>
      </c>
    </row>
    <row r="90" spans="1:5" x14ac:dyDescent="0.15">
      <c r="A90" t="str">
        <f t="shared" ca="1" si="39"/>
        <v>TA1607</v>
      </c>
      <c r="B90" s="1">
        <f t="shared" ca="1" si="35"/>
        <v>42200</v>
      </c>
      <c r="C90" s="1">
        <f t="shared" ref="C90:C91" ca="1" si="40">WORKDAY(DATE("20"&amp;MID(A90,3,2),RIGHT(A90,2),0),10,Holiday)</f>
        <v>42565</v>
      </c>
      <c r="D90" s="1">
        <f t="shared" ca="1" si="36"/>
        <v>42536</v>
      </c>
      <c r="E90" s="1">
        <f t="shared" ca="1" si="37"/>
        <v>42551</v>
      </c>
    </row>
    <row r="91" spans="1:5" x14ac:dyDescent="0.15">
      <c r="A91" t="str">
        <f t="shared" ca="1" si="39"/>
        <v>TA1608</v>
      </c>
      <c r="B91" s="1">
        <f t="shared" ca="1" si="35"/>
        <v>42233</v>
      </c>
      <c r="C91" s="1">
        <f t="shared" ca="1" si="40"/>
        <v>42594</v>
      </c>
      <c r="D91" s="1">
        <f t="shared" ca="1" si="36"/>
        <v>42566</v>
      </c>
      <c r="E91" s="1">
        <f t="shared" ca="1" si="37"/>
        <v>42580</v>
      </c>
    </row>
    <row r="94" spans="1:5" x14ac:dyDescent="0.15">
      <c r="A94" t="s">
        <v>77</v>
      </c>
      <c r="D94" s="5">
        <v>0.1</v>
      </c>
      <c r="E94" s="5">
        <v>0.2</v>
      </c>
    </row>
    <row r="95" spans="1:5" x14ac:dyDescent="0.15">
      <c r="B95" s="32" t="s">
        <v>48</v>
      </c>
      <c r="C95" t="s">
        <v>1</v>
      </c>
      <c r="D95" s="47" t="s">
        <v>103</v>
      </c>
      <c r="E95" s="32" t="s">
        <v>102</v>
      </c>
    </row>
    <row r="96" spans="1:5" x14ac:dyDescent="0.15">
      <c r="A96" t="str">
        <f ca="1">IF(TEXT(DATE(YEAR(TODAY()),MONTH(TODAY())+IF(TODAY()&gt;WORKDAY(DATE(YEAR(TODAY()),MONTH(TODAY()),0),10,Holiday),1,0),1),"yymm")*1&gt;=1506,"MA","ME")&amp;TEXT(DATE(YEAR(TODAY()),MONTH(TODAY())+IF(TODAY()&gt;WORKDAY(DATE(YEAR(TODAY()),MONTH(TODAY()),0),10,Holiday),1,0),1),"yymm")</f>
        <v>MA1507</v>
      </c>
      <c r="B96" s="1">
        <f t="shared" ref="B96:B109" ca="1" si="41">WORKDAY(WORKDAY(DATE("20"&amp;MID(A96,3,2),RIGHT(A96,2)-12,0),10,Holiday),1,Holiday)</f>
        <v>41835</v>
      </c>
      <c r="C96" s="1">
        <f ca="1">WORKDAY(DATE("20"&amp;MID(A96,3,2),RIGHT(A96,2),0),10,Holiday)</f>
        <v>42199</v>
      </c>
      <c r="D96" s="1">
        <f t="shared" ref="D96:D109" ca="1" si="42">IF(NETWORKDAYS(DATE("20"&amp;MID(A96,3,2),RIGHT(A96,2)-1,15),DATE("20"&amp;MID(A96,3,2),RIGHT(A96,2)-1,15),Holiday)=0,WORKDAY(DATE("20"&amp;MID(A96,3,2),RIGHT(A96,2)-1,15),-1,Holiday),DATE("20"&amp;MID(A96,3,2),RIGHT(A96,2)-1,15))</f>
        <v>42170</v>
      </c>
      <c r="E96" s="1">
        <f t="shared" ref="E96:E109" ca="1" si="43">IF(NETWORKDAYS(DATE("20"&amp;MID(A96,3,2),RIGHT(A96,2),0),DATE("20"&amp;MID(A96,3,2),RIGHT(A96,2),0),Holiday)=0,WORKDAY(DATE("20"&amp;MID(A96,3,2),RIGHT(A96,2),0),-1,Holiday),DATE("20"&amp;MID(A96,3,2),RIGHT(A96,2),0))</f>
        <v>42185</v>
      </c>
    </row>
    <row r="97" spans="1:5" x14ac:dyDescent="0.15">
      <c r="A97" t="str">
        <f ca="1">IF(TEXT(DATE("20"&amp;MID(A96,LEN(A96)-3,2),RIGHT(A96,2)+1,"10"),"yymm")*1&gt;=1506,"MA","ME")&amp;TEXT(DATE("20"&amp;MID(A96,LEN(A96)-3,2),RIGHT(A96,2)+1,"10"),"yymm")</f>
        <v>MA1508</v>
      </c>
      <c r="B97" s="1">
        <f t="shared" ca="1" si="41"/>
        <v>41866</v>
      </c>
      <c r="C97" s="1">
        <f t="shared" ref="C97:C107" ca="1" si="44">WORKDAY(DATE("20"&amp;MID(A97,3,2),RIGHT(A97,2),0),10,Holiday)</f>
        <v>42230</v>
      </c>
      <c r="D97" s="1">
        <f t="shared" ca="1" si="42"/>
        <v>42200</v>
      </c>
      <c r="E97" s="1">
        <f t="shared" ca="1" si="43"/>
        <v>42216</v>
      </c>
    </row>
    <row r="98" spans="1:5" x14ac:dyDescent="0.15">
      <c r="A98" t="str">
        <f t="shared" ref="A98:A109" ca="1" si="45">IF(TEXT(DATE("20"&amp;MID(A97,LEN(A97)-3,2),RIGHT(A97,2)+1,"10"),"yymm")*1&gt;=1506,"MA","ME")&amp;TEXT(DATE("20"&amp;MID(A97,LEN(A97)-3,2),RIGHT(A97,2)+1,"10"),"yymm")</f>
        <v>MA1509</v>
      </c>
      <c r="B98" s="1">
        <f t="shared" ca="1" si="41"/>
        <v>41898</v>
      </c>
      <c r="C98" s="1">
        <f t="shared" ca="1" si="44"/>
        <v>42263</v>
      </c>
      <c r="D98" s="1">
        <f t="shared" ca="1" si="42"/>
        <v>42230</v>
      </c>
      <c r="E98" s="1">
        <f t="shared" ca="1" si="43"/>
        <v>42247</v>
      </c>
    </row>
    <row r="99" spans="1:5" x14ac:dyDescent="0.15">
      <c r="A99" t="str">
        <f t="shared" ca="1" si="45"/>
        <v>MA1510</v>
      </c>
      <c r="B99" s="1">
        <f t="shared" ca="1" si="41"/>
        <v>41934</v>
      </c>
      <c r="C99" s="1">
        <f t="shared" ca="1" si="44"/>
        <v>42298</v>
      </c>
      <c r="D99" s="1">
        <f t="shared" ca="1" si="42"/>
        <v>42262</v>
      </c>
      <c r="E99" s="1">
        <f t="shared" ca="1" si="43"/>
        <v>42277</v>
      </c>
    </row>
    <row r="100" spans="1:5" x14ac:dyDescent="0.15">
      <c r="A100" t="str">
        <f t="shared" ca="1" si="45"/>
        <v>MA1511</v>
      </c>
      <c r="B100" s="1">
        <f t="shared" ca="1" si="41"/>
        <v>41960</v>
      </c>
      <c r="C100" s="1">
        <f t="shared" ca="1" si="44"/>
        <v>42321</v>
      </c>
      <c r="D100" s="1">
        <f t="shared" ca="1" si="42"/>
        <v>42292</v>
      </c>
      <c r="E100" s="1">
        <f t="shared" ca="1" si="43"/>
        <v>42307</v>
      </c>
    </row>
    <row r="101" spans="1:5" x14ac:dyDescent="0.15">
      <c r="A101" t="str">
        <f t="shared" ca="1" si="45"/>
        <v>MA1512</v>
      </c>
      <c r="B101" s="1">
        <f t="shared" ca="1" si="41"/>
        <v>41988</v>
      </c>
      <c r="C101" s="1">
        <f t="shared" ca="1" si="44"/>
        <v>42352</v>
      </c>
      <c r="D101" s="1">
        <f t="shared" ca="1" si="42"/>
        <v>42321</v>
      </c>
      <c r="E101" s="1">
        <f t="shared" ca="1" si="43"/>
        <v>42338</v>
      </c>
    </row>
    <row r="102" spans="1:5" x14ac:dyDescent="0.15">
      <c r="A102" t="str">
        <f t="shared" ca="1" si="45"/>
        <v>MA1601</v>
      </c>
      <c r="B102" s="1">
        <f t="shared" ca="1" si="41"/>
        <v>42023</v>
      </c>
      <c r="C102" s="1">
        <f t="shared" ca="1" si="44"/>
        <v>42383</v>
      </c>
      <c r="D102" s="1">
        <f t="shared" ca="1" si="42"/>
        <v>42353</v>
      </c>
      <c r="E102" s="1">
        <f t="shared" ca="1" si="43"/>
        <v>42369</v>
      </c>
    </row>
    <row r="103" spans="1:5" x14ac:dyDescent="0.15">
      <c r="A103" t="str">
        <f t="shared" ca="1" si="45"/>
        <v>MA1602</v>
      </c>
      <c r="B103" s="1">
        <f t="shared" ca="1" si="41"/>
        <v>42051</v>
      </c>
      <c r="C103" s="1">
        <f t="shared" ca="1" si="44"/>
        <v>42412</v>
      </c>
      <c r="D103" s="1">
        <f t="shared" ca="1" si="42"/>
        <v>42384</v>
      </c>
      <c r="E103" s="1">
        <f t="shared" ca="1" si="43"/>
        <v>42398</v>
      </c>
    </row>
    <row r="104" spans="1:5" x14ac:dyDescent="0.15">
      <c r="A104" t="str">
        <f t="shared" ca="1" si="45"/>
        <v>MA1603</v>
      </c>
      <c r="B104" s="1">
        <f t="shared" ca="1" si="41"/>
        <v>42079</v>
      </c>
      <c r="C104" s="1">
        <f t="shared" ca="1" si="44"/>
        <v>42443</v>
      </c>
      <c r="D104" s="1">
        <f t="shared" ca="1" si="42"/>
        <v>42415</v>
      </c>
      <c r="E104" s="1">
        <f t="shared" ca="1" si="43"/>
        <v>42429</v>
      </c>
    </row>
    <row r="105" spans="1:5" x14ac:dyDescent="0.15">
      <c r="A105" t="str">
        <f t="shared" ca="1" si="45"/>
        <v>MA1604</v>
      </c>
      <c r="B105" s="1">
        <f t="shared" ca="1" si="41"/>
        <v>42110</v>
      </c>
      <c r="C105" s="1">
        <f t="shared" ca="1" si="44"/>
        <v>42474</v>
      </c>
      <c r="D105" s="1">
        <f t="shared" ca="1" si="42"/>
        <v>42444</v>
      </c>
      <c r="E105" s="1">
        <f t="shared" ca="1" si="43"/>
        <v>42460</v>
      </c>
    </row>
    <row r="106" spans="1:5" x14ac:dyDescent="0.15">
      <c r="A106" t="str">
        <f t="shared" ca="1" si="45"/>
        <v>MA1605</v>
      </c>
      <c r="B106" s="1">
        <f t="shared" ca="1" si="41"/>
        <v>42142</v>
      </c>
      <c r="C106" s="1">
        <f t="shared" ca="1" si="44"/>
        <v>42503</v>
      </c>
      <c r="D106" s="1">
        <f t="shared" ca="1" si="42"/>
        <v>42475</v>
      </c>
      <c r="E106" s="1">
        <f t="shared" ca="1" si="43"/>
        <v>42489</v>
      </c>
    </row>
    <row r="107" spans="1:5" x14ac:dyDescent="0.15">
      <c r="A107" t="str">
        <f t="shared" ca="1" si="45"/>
        <v>MA1606</v>
      </c>
      <c r="B107" s="1">
        <f t="shared" ca="1" si="41"/>
        <v>42170</v>
      </c>
      <c r="C107" s="1">
        <f t="shared" ca="1" si="44"/>
        <v>42535</v>
      </c>
      <c r="D107" s="1">
        <f t="shared" ca="1" si="42"/>
        <v>42503</v>
      </c>
      <c r="E107" s="1">
        <f t="shared" ca="1" si="43"/>
        <v>42521</v>
      </c>
    </row>
    <row r="108" spans="1:5" x14ac:dyDescent="0.15">
      <c r="A108" t="str">
        <f t="shared" ca="1" si="45"/>
        <v>MA1607</v>
      </c>
      <c r="B108" s="1">
        <f t="shared" ca="1" si="41"/>
        <v>42200</v>
      </c>
      <c r="C108" s="1">
        <f t="shared" ref="C108:C109" ca="1" si="46">WORKDAY(DATE("20"&amp;MID(A108,3,2),RIGHT(A108,2),0),10,Holiday)</f>
        <v>42565</v>
      </c>
      <c r="D108" s="1">
        <f t="shared" ca="1" si="42"/>
        <v>42536</v>
      </c>
      <c r="E108" s="1">
        <f t="shared" ca="1" si="43"/>
        <v>42551</v>
      </c>
    </row>
    <row r="109" spans="1:5" x14ac:dyDescent="0.15">
      <c r="A109" t="str">
        <f t="shared" ca="1" si="45"/>
        <v>MA1608</v>
      </c>
      <c r="B109" s="1">
        <f t="shared" ca="1" si="41"/>
        <v>42233</v>
      </c>
      <c r="C109" s="1">
        <f t="shared" ca="1" si="46"/>
        <v>42594</v>
      </c>
      <c r="D109" s="1">
        <f t="shared" ca="1" si="42"/>
        <v>42566</v>
      </c>
      <c r="E109" s="1">
        <f t="shared" ca="1" si="43"/>
        <v>42580</v>
      </c>
    </row>
    <row r="112" spans="1:5" x14ac:dyDescent="0.15">
      <c r="A112" t="s">
        <v>43</v>
      </c>
      <c r="D112" s="5">
        <v>0.1</v>
      </c>
      <c r="E112" s="5">
        <v>0.2</v>
      </c>
    </row>
    <row r="113" spans="1:5" x14ac:dyDescent="0.15">
      <c r="B113" s="32" t="s">
        <v>48</v>
      </c>
      <c r="C113" t="s">
        <v>1</v>
      </c>
      <c r="D113" s="47" t="s">
        <v>103</v>
      </c>
      <c r="E113" s="32" t="s">
        <v>102</v>
      </c>
    </row>
    <row r="114" spans="1:5" x14ac:dyDescent="0.15">
      <c r="A114" t="str">
        <f ca="1">"FG"&amp;IF(TODAY()&gt;WORKDAY(DATE("2013","03",0),10,Holiday),TEXT(DATE(YEAR(TODAY()),MONTH(TODAY())+IF(TODAY()&gt;WORKDAY(DATE(YEAR(TODAY()),MONTH(TODAY()),0),10,Holiday),1,0),1),"yymm"),TEXT(DATE("2013","03","10"),"YYMM"))</f>
        <v>FG1507</v>
      </c>
      <c r="B114" s="1">
        <f t="shared" ref="B114:B127" ca="1" si="47">WORKDAY(WORKDAY(DATE("20"&amp;MID(A114,3,2),RIGHT(A114,2)-12,0),10,Holiday),1,Holiday)</f>
        <v>41835</v>
      </c>
      <c r="C114" s="1">
        <f t="shared" ref="C114:C125" ca="1" si="48">WORKDAY(DATE("20"&amp;MID(A114,3,2),RIGHT(A114,2),0),10,Holiday)</f>
        <v>42199</v>
      </c>
      <c r="D114" s="1">
        <f t="shared" ref="D114:D127" ca="1" si="49">IF(NETWORKDAYS(DATE("20"&amp;MID(A114,3,2),RIGHT(A114,2)-1,15),DATE("20"&amp;MID(A114,3,2),RIGHT(A114,2)-1,15),Holiday)=0,WORKDAY(DATE("20"&amp;MID(A114,3,2),RIGHT(A114,2)-1,15),-1,Holiday),DATE("20"&amp;MID(A114,3,2),RIGHT(A114,2)-1,15))</f>
        <v>42170</v>
      </c>
      <c r="E114" s="1">
        <f t="shared" ref="E114:E127" ca="1" si="50">IF(NETWORKDAYS(DATE("20"&amp;MID(A114,3,2),RIGHT(A114,2),0),DATE("20"&amp;MID(A114,3,2),RIGHT(A114,2),0),Holiday)=0,WORKDAY(DATE("20"&amp;MID(A114,3,2),RIGHT(A114,2),0),-1,Holiday),DATE("20"&amp;MID(A114,3,2),RIGHT(A114,2),0))</f>
        <v>42185</v>
      </c>
    </row>
    <row r="115" spans="1:5" x14ac:dyDescent="0.15">
      <c r="A115" t="str">
        <f ca="1">"FG"&amp;TEXT(DATE("20"&amp;MID(A114,LEN(A114)-3,2),RIGHT(A114,2)+1,"10"),"yymm")</f>
        <v>FG1508</v>
      </c>
      <c r="B115" s="1">
        <f t="shared" ca="1" si="47"/>
        <v>41866</v>
      </c>
      <c r="C115" s="1">
        <f t="shared" ca="1" si="48"/>
        <v>42230</v>
      </c>
      <c r="D115" s="1">
        <f t="shared" ca="1" si="49"/>
        <v>42200</v>
      </c>
      <c r="E115" s="1">
        <f t="shared" ca="1" si="50"/>
        <v>42216</v>
      </c>
    </row>
    <row r="116" spans="1:5" x14ac:dyDescent="0.15">
      <c r="A116" t="str">
        <f t="shared" ref="A116:A127" ca="1" si="51">"FG"&amp;TEXT(DATE("20"&amp;MID(A115,LEN(A115)-3,2),RIGHT(A115,2)+1,"10"),"yymm")</f>
        <v>FG1509</v>
      </c>
      <c r="B116" s="1">
        <f t="shared" ca="1" si="47"/>
        <v>41898</v>
      </c>
      <c r="C116" s="1">
        <f t="shared" ca="1" si="48"/>
        <v>42263</v>
      </c>
      <c r="D116" s="1">
        <f t="shared" ca="1" si="49"/>
        <v>42230</v>
      </c>
      <c r="E116" s="1">
        <f t="shared" ca="1" si="50"/>
        <v>42247</v>
      </c>
    </row>
    <row r="117" spans="1:5" x14ac:dyDescent="0.15">
      <c r="A117" t="str">
        <f t="shared" ca="1" si="51"/>
        <v>FG1510</v>
      </c>
      <c r="B117" s="1">
        <f t="shared" ca="1" si="47"/>
        <v>41934</v>
      </c>
      <c r="C117" s="1">
        <f t="shared" ca="1" si="48"/>
        <v>42298</v>
      </c>
      <c r="D117" s="1">
        <f t="shared" ca="1" si="49"/>
        <v>42262</v>
      </c>
      <c r="E117" s="1">
        <f t="shared" ca="1" si="50"/>
        <v>42277</v>
      </c>
    </row>
    <row r="118" spans="1:5" x14ac:dyDescent="0.15">
      <c r="A118" t="str">
        <f t="shared" ca="1" si="51"/>
        <v>FG1511</v>
      </c>
      <c r="B118" s="1">
        <f t="shared" ca="1" si="47"/>
        <v>41960</v>
      </c>
      <c r="C118" s="1">
        <f t="shared" ca="1" si="48"/>
        <v>42321</v>
      </c>
      <c r="D118" s="1">
        <f t="shared" ca="1" si="49"/>
        <v>42292</v>
      </c>
      <c r="E118" s="1">
        <f t="shared" ca="1" si="50"/>
        <v>42307</v>
      </c>
    </row>
    <row r="119" spans="1:5" x14ac:dyDescent="0.15">
      <c r="A119" t="str">
        <f t="shared" ca="1" si="51"/>
        <v>FG1512</v>
      </c>
      <c r="B119" s="1">
        <f t="shared" ca="1" si="47"/>
        <v>41988</v>
      </c>
      <c r="C119" s="1">
        <f t="shared" ca="1" si="48"/>
        <v>42352</v>
      </c>
      <c r="D119" s="1">
        <f t="shared" ca="1" si="49"/>
        <v>42321</v>
      </c>
      <c r="E119" s="1">
        <f t="shared" ca="1" si="50"/>
        <v>42338</v>
      </c>
    </row>
    <row r="120" spans="1:5" x14ac:dyDescent="0.15">
      <c r="A120" t="str">
        <f t="shared" ca="1" si="51"/>
        <v>FG1601</v>
      </c>
      <c r="B120" s="1">
        <f t="shared" ca="1" si="47"/>
        <v>42023</v>
      </c>
      <c r="C120" s="1">
        <f t="shared" ca="1" si="48"/>
        <v>42383</v>
      </c>
      <c r="D120" s="1">
        <f t="shared" ca="1" si="49"/>
        <v>42353</v>
      </c>
      <c r="E120" s="1">
        <f t="shared" ca="1" si="50"/>
        <v>42369</v>
      </c>
    </row>
    <row r="121" spans="1:5" x14ac:dyDescent="0.15">
      <c r="A121" t="str">
        <f t="shared" ca="1" si="51"/>
        <v>FG1602</v>
      </c>
      <c r="B121" s="1">
        <f t="shared" ca="1" si="47"/>
        <v>42051</v>
      </c>
      <c r="C121" s="1">
        <f t="shared" ca="1" si="48"/>
        <v>42412</v>
      </c>
      <c r="D121" s="1">
        <f t="shared" ca="1" si="49"/>
        <v>42384</v>
      </c>
      <c r="E121" s="1">
        <f t="shared" ca="1" si="50"/>
        <v>42398</v>
      </c>
    </row>
    <row r="122" spans="1:5" x14ac:dyDescent="0.15">
      <c r="A122" t="str">
        <f t="shared" ca="1" si="51"/>
        <v>FG1603</v>
      </c>
      <c r="B122" s="1">
        <f t="shared" ca="1" si="47"/>
        <v>42079</v>
      </c>
      <c r="C122" s="1">
        <f t="shared" ca="1" si="48"/>
        <v>42443</v>
      </c>
      <c r="D122" s="1">
        <f t="shared" ca="1" si="49"/>
        <v>42415</v>
      </c>
      <c r="E122" s="1">
        <f t="shared" ca="1" si="50"/>
        <v>42429</v>
      </c>
    </row>
    <row r="123" spans="1:5" x14ac:dyDescent="0.15">
      <c r="A123" t="str">
        <f t="shared" ca="1" si="51"/>
        <v>FG1604</v>
      </c>
      <c r="B123" s="1">
        <f t="shared" ca="1" si="47"/>
        <v>42110</v>
      </c>
      <c r="C123" s="1">
        <f t="shared" ca="1" si="48"/>
        <v>42474</v>
      </c>
      <c r="D123" s="1">
        <f t="shared" ca="1" si="49"/>
        <v>42444</v>
      </c>
      <c r="E123" s="1">
        <f t="shared" ca="1" si="50"/>
        <v>42460</v>
      </c>
    </row>
    <row r="124" spans="1:5" x14ac:dyDescent="0.15">
      <c r="A124" t="str">
        <f t="shared" ca="1" si="51"/>
        <v>FG1605</v>
      </c>
      <c r="B124" s="1">
        <f t="shared" ca="1" si="47"/>
        <v>42142</v>
      </c>
      <c r="C124" s="1">
        <f t="shared" ca="1" si="48"/>
        <v>42503</v>
      </c>
      <c r="D124" s="1">
        <f t="shared" ca="1" si="49"/>
        <v>42475</v>
      </c>
      <c r="E124" s="1">
        <f t="shared" ca="1" si="50"/>
        <v>42489</v>
      </c>
    </row>
    <row r="125" spans="1:5" x14ac:dyDescent="0.15">
      <c r="A125" t="str">
        <f t="shared" ca="1" si="51"/>
        <v>FG1606</v>
      </c>
      <c r="B125" s="1">
        <f t="shared" ca="1" si="47"/>
        <v>42170</v>
      </c>
      <c r="C125" s="1">
        <f t="shared" ca="1" si="48"/>
        <v>42535</v>
      </c>
      <c r="D125" s="1">
        <f t="shared" ca="1" si="49"/>
        <v>42503</v>
      </c>
      <c r="E125" s="1">
        <f t="shared" ca="1" si="50"/>
        <v>42521</v>
      </c>
    </row>
    <row r="126" spans="1:5" x14ac:dyDescent="0.15">
      <c r="A126" t="str">
        <f t="shared" ca="1" si="51"/>
        <v>FG1607</v>
      </c>
      <c r="B126" s="1">
        <f t="shared" ca="1" si="47"/>
        <v>42200</v>
      </c>
      <c r="C126" s="1">
        <f t="shared" ref="C126:C127" ca="1" si="52">WORKDAY(DATE("20"&amp;MID(A126,3,2),RIGHT(A126,2),0),10,Holiday)</f>
        <v>42565</v>
      </c>
      <c r="D126" s="1">
        <f t="shared" ca="1" si="49"/>
        <v>42536</v>
      </c>
      <c r="E126" s="1">
        <f t="shared" ca="1" si="50"/>
        <v>42551</v>
      </c>
    </row>
    <row r="127" spans="1:5" x14ac:dyDescent="0.15">
      <c r="A127" t="str">
        <f t="shared" ca="1" si="51"/>
        <v>FG1608</v>
      </c>
      <c r="B127" s="1">
        <f t="shared" ca="1" si="47"/>
        <v>42233</v>
      </c>
      <c r="C127" s="1">
        <f t="shared" ca="1" si="52"/>
        <v>42594</v>
      </c>
      <c r="D127" s="1">
        <f t="shared" ca="1" si="49"/>
        <v>42566</v>
      </c>
      <c r="E127" s="1">
        <f t="shared" ca="1" si="50"/>
        <v>42580</v>
      </c>
    </row>
    <row r="130" spans="1:5" x14ac:dyDescent="0.15">
      <c r="A130" t="s">
        <v>50</v>
      </c>
      <c r="D130" s="5">
        <v>0.1</v>
      </c>
      <c r="E130" s="5">
        <v>0.2</v>
      </c>
    </row>
    <row r="131" spans="1:5" x14ac:dyDescent="0.15">
      <c r="B131" s="32" t="s">
        <v>48</v>
      </c>
      <c r="C131" t="s">
        <v>1</v>
      </c>
      <c r="D131" s="47" t="s">
        <v>103</v>
      </c>
      <c r="E131" s="32" t="s">
        <v>102</v>
      </c>
    </row>
    <row r="132" spans="1:5" x14ac:dyDescent="0.15">
      <c r="A132" t="str">
        <f ca="1">"RS"&amp;TEXT(IF(TODAY()&gt;WORKDAY(DATE(YEAR(TODAY()),VLOOKUP(MONTH(TODAY()),{1,7;2,7;3,7;4,7;5,7;6,7;7,7;8,8;9,9;10,11;11,11;12,19},2,FALSE),0),10,Holiday),WORKDAY(DATE(YEAR(TODAY()),VLOOKUP(MONTH(TODAY())+1,{1,7;2,7;3,7;4,7;5,7;6,7;7,7;8,8;9,9;10,11;11,11;12,19},2,FALSE),0),10,Holiday),WORKDAY(DATE(YEAR(TODAY()),VLOOKUP(MONTH(TODAY()),{1,7;2,7;3,7;4,7;5,7;6,7;7,7;8,8;9,9;10,11;11,11;12,19},2,FALSE),0),10,Holiday)),"yymm")</f>
        <v>RS1507</v>
      </c>
      <c r="B132" s="1">
        <f t="shared" ref="B132:B137" ca="1" si="53">WORKDAY(WORKDAY(DATE("20"&amp;MID(A132,3,2),RIGHT(A132,2)-12,0),10,Holiday),1,Holiday)</f>
        <v>41835</v>
      </c>
      <c r="C132" s="1">
        <f t="shared" ref="C132:C137" ca="1" si="54">WORKDAY(DATE("20"&amp;MID(A132,3,2),RIGHT(A132,2),0),10,Holiday)</f>
        <v>42199</v>
      </c>
      <c r="D132" s="1">
        <f t="shared" ref="D132:D137" ca="1" si="55">IF(NETWORKDAYS(DATE("20"&amp;MID(A132,3,2),RIGHT(A132,2)-1,15),DATE("20"&amp;MID(A132,3,2),RIGHT(A132,2)-1,15),Holiday)=0,WORKDAY(DATE("20"&amp;MID(A132,3,2),RIGHT(A132,2)-1,15),-1,Holiday),DATE("20"&amp;MID(A132,3,2),RIGHT(A132,2)-1,15))</f>
        <v>42170</v>
      </c>
      <c r="E132" s="1">
        <f t="shared" ref="E132:E137" ca="1" si="56">IF(NETWORKDAYS(DATE("20"&amp;MID(A132,3,2),RIGHT(A132,2),0),DATE("20"&amp;MID(A132,3,2),RIGHT(A132,2),0),Holiday)=0,WORKDAY(DATE("20"&amp;MID(A132,3,2),RIGHT(A132,2),0),-1,Holiday),DATE("20"&amp;MID(A132,3,2),RIGHT(A132,2),0))</f>
        <v>42185</v>
      </c>
    </row>
    <row r="133" spans="1:5" x14ac:dyDescent="0.15">
      <c r="A133" t="str">
        <f ca="1">"RS"&amp;TEXT(DATE(LEFT(TEXT(YEAR(TODAY()),"yyyy"),2)&amp;MID(A132,3,2),VLOOKUP(RIGHT(A132,2)*1,{7,8;8,9;9,11;11,19},2,FALSE),10),"yymm")</f>
        <v>RS1508</v>
      </c>
      <c r="B133" s="1">
        <f t="shared" ca="1" si="53"/>
        <v>41866</v>
      </c>
      <c r="C133" s="1">
        <f t="shared" ca="1" si="54"/>
        <v>42230</v>
      </c>
      <c r="D133" s="1">
        <f t="shared" ca="1" si="55"/>
        <v>42200</v>
      </c>
      <c r="E133" s="1">
        <f t="shared" ca="1" si="56"/>
        <v>42216</v>
      </c>
    </row>
    <row r="134" spans="1:5" x14ac:dyDescent="0.15">
      <c r="A134" t="str">
        <f ca="1">"RS"&amp;TEXT(DATE(LEFT(TEXT(YEAR(TODAY()),"yyyy"),2)&amp;MID(A133,3,2),VLOOKUP(RIGHT(A133,2)*1,{7,8;8,9;9,11;11,19},2,FALSE),10),"yymm")</f>
        <v>RS1509</v>
      </c>
      <c r="B134" s="1">
        <f t="shared" ca="1" si="53"/>
        <v>41898</v>
      </c>
      <c r="C134" s="1">
        <f t="shared" ca="1" si="54"/>
        <v>42263</v>
      </c>
      <c r="D134" s="1">
        <f t="shared" ca="1" si="55"/>
        <v>42230</v>
      </c>
      <c r="E134" s="1">
        <f t="shared" ca="1" si="56"/>
        <v>42247</v>
      </c>
    </row>
    <row r="135" spans="1:5" x14ac:dyDescent="0.15">
      <c r="A135" t="str">
        <f ca="1">"RS"&amp;TEXT(DATE(LEFT(TEXT(YEAR(TODAY()),"yyyy"),2)&amp;MID(A134,3,2),VLOOKUP(RIGHT(A134,2)*1,{7,8;8,9;9,11;11,19},2,FALSE),10),"yymm")</f>
        <v>RS1511</v>
      </c>
      <c r="B135" s="1">
        <f t="shared" ca="1" si="53"/>
        <v>41960</v>
      </c>
      <c r="C135" s="1">
        <f t="shared" ca="1" si="54"/>
        <v>42321</v>
      </c>
      <c r="D135" s="1">
        <f t="shared" ca="1" si="55"/>
        <v>42292</v>
      </c>
      <c r="E135" s="1">
        <f t="shared" ca="1" si="56"/>
        <v>42307</v>
      </c>
    </row>
    <row r="136" spans="1:5" x14ac:dyDescent="0.15">
      <c r="A136" t="str">
        <f ca="1">"RS"&amp;TEXT(DATE(LEFT(TEXT(YEAR(TODAY()),"yyyy"),2)&amp;MID(A135,3,2),VLOOKUP(RIGHT(A135,2)*1,{7,8;8,9;9,11;11,19},2,FALSE),10),"yymm")</f>
        <v>RS1607</v>
      </c>
      <c r="B136" s="1">
        <f t="shared" ca="1" si="53"/>
        <v>42200</v>
      </c>
      <c r="C136" s="1">
        <f t="shared" ca="1" si="54"/>
        <v>42565</v>
      </c>
      <c r="D136" s="1">
        <f t="shared" ca="1" si="55"/>
        <v>42536</v>
      </c>
      <c r="E136" s="1">
        <f t="shared" ca="1" si="56"/>
        <v>42551</v>
      </c>
    </row>
    <row r="137" spans="1:5" x14ac:dyDescent="0.15">
      <c r="A137" t="str">
        <f ca="1">"RS"&amp;TEXT(DATE(LEFT(TEXT(YEAR(TODAY()),"yyyy"),2)&amp;MID(A136,3,2),VLOOKUP(RIGHT(A136,2)*1,{7,8;8,9;9,11;11,19},2,FALSE),10),"yymm")</f>
        <v>RS1608</v>
      </c>
      <c r="B137" s="1">
        <f t="shared" ca="1" si="53"/>
        <v>42233</v>
      </c>
      <c r="C137" s="1">
        <f t="shared" ca="1" si="54"/>
        <v>42594</v>
      </c>
      <c r="D137" s="1">
        <f t="shared" ca="1" si="55"/>
        <v>42566</v>
      </c>
      <c r="E137" s="1">
        <f t="shared" ca="1" si="56"/>
        <v>42580</v>
      </c>
    </row>
    <row r="140" spans="1:5" x14ac:dyDescent="0.15">
      <c r="A140" t="s">
        <v>51</v>
      </c>
      <c r="D140" s="5">
        <v>0.1</v>
      </c>
      <c r="E140" s="5">
        <v>0.2</v>
      </c>
    </row>
    <row r="141" spans="1:5" x14ac:dyDescent="0.15">
      <c r="B141" s="32" t="s">
        <v>48</v>
      </c>
      <c r="C141" t="s">
        <v>52</v>
      </c>
      <c r="D141" s="47" t="s">
        <v>103</v>
      </c>
      <c r="E141" s="32" t="s">
        <v>102</v>
      </c>
    </row>
    <row r="142" spans="1:5" x14ac:dyDescent="0.15">
      <c r="A142" t="str">
        <f ca="1">"RM"&amp;TEXT(IF(TODAY()&gt;DATE(2013,5,15),IF(TODAY()&gt;WORKDAY(DATE(YEAR(TODAY()),VLOOKUP(MONTH(TODAY())*1,{1,1;2,3;3,3;4,5;5,5;6,7;7,7;8,8;9,9;10,11;11,11;12,13},2,FALSE),0),10,Holiday),WORKDAY(DATE(YEAR(TODAY()),VLOOKUP(MONTH(TODAY())+1,{1,1;2,3;3,3;4,5;5,5;6,7;7,7;8,8;9,9;10,11;11,11;12,13},2,FALSE),0),10,Holiday),WORKDAY(DATE(YEAR(TODAY()),VLOOKUP(MONTH(TODAY())*1,{1,1;2,3;3,3;4,5;5,5;6,7;7,7;8,8;9,9;10,11;11,11;12,13},2,FALSE),0),10,Holiday)),DATE(2013,5,15)),"yymm")</f>
        <v>RM1507</v>
      </c>
      <c r="B142" s="1">
        <f t="shared" ref="B142:B150" ca="1" si="57">WORKDAY(WORKDAY(DATE("20"&amp;MID(A142,3,2),RIGHT(A142,2)-12,0),10,Holiday),1,Holiday)</f>
        <v>41835</v>
      </c>
      <c r="C142" s="1">
        <f t="shared" ref="C142:C144" ca="1" si="58">WORKDAY(DATE("20"&amp;MID(A142,3,2),RIGHT(A142,2),0),10,Holiday)</f>
        <v>42199</v>
      </c>
      <c r="D142" s="1">
        <f t="shared" ref="D142:D150" ca="1" si="59">IF(NETWORKDAYS(DATE("20"&amp;MID(A142,3,2),RIGHT(A142,2)-1,15),DATE("20"&amp;MID(A142,3,2),RIGHT(A142,2)-1,15),Holiday)=0,WORKDAY(DATE("20"&amp;MID(A142,3,2),RIGHT(A142,2)-1,15),-1,Holiday),DATE("20"&amp;MID(A142,3,2),RIGHT(A142,2)-1,15))</f>
        <v>42170</v>
      </c>
      <c r="E142" s="1">
        <f t="shared" ref="E142:E150" ca="1" si="60">IF(NETWORKDAYS(DATE("20"&amp;MID(A142,3,2),RIGHT(A142,2),0),DATE("20"&amp;MID(A142,3,2),RIGHT(A142,2),0),Holiday)=0,WORKDAY(DATE("20"&amp;MID(A142,3,2),RIGHT(A142,2),0),-1,Holiday),DATE("20"&amp;MID(A142,3,2),RIGHT(A142,2),0))</f>
        <v>42185</v>
      </c>
    </row>
    <row r="143" spans="1:5" x14ac:dyDescent="0.15">
      <c r="A143" t="str">
        <f ca="1">"RM"&amp;TEXT(DATE(LEFT(TEXT(YEAR(TODAY()),"yyyy"),2)&amp;MID(A142,3,2),VLOOKUP(RIGHT(A142,2)*1,{1,3;3,5;5,7;7,8;8,9;9,11;11,13},2,FALSE),10),"yymm")</f>
        <v>RM1508</v>
      </c>
      <c r="B143" s="1">
        <f t="shared" ca="1" si="57"/>
        <v>41866</v>
      </c>
      <c r="C143" s="1">
        <f t="shared" ca="1" si="58"/>
        <v>42230</v>
      </c>
      <c r="D143" s="1">
        <f t="shared" ca="1" si="59"/>
        <v>42200</v>
      </c>
      <c r="E143" s="1">
        <f t="shared" ca="1" si="60"/>
        <v>42216</v>
      </c>
    </row>
    <row r="144" spans="1:5" x14ac:dyDescent="0.15">
      <c r="A144" t="str">
        <f ca="1">"RM"&amp;TEXT(DATE(LEFT(TEXT(YEAR(TODAY()),"yyyy"),2)&amp;MID(A143,3,2),VLOOKUP(RIGHT(A143,2)*1,{1,3;3,5;5,7;7,8;8,9;9,11;11,13},2,FALSE),10),"yymm")</f>
        <v>RM1509</v>
      </c>
      <c r="B144" s="1">
        <f t="shared" ca="1" si="57"/>
        <v>41898</v>
      </c>
      <c r="C144" s="1">
        <f t="shared" ca="1" si="58"/>
        <v>42263</v>
      </c>
      <c r="D144" s="1">
        <f t="shared" ca="1" si="59"/>
        <v>42230</v>
      </c>
      <c r="E144" s="1">
        <f t="shared" ca="1" si="60"/>
        <v>42247</v>
      </c>
    </row>
    <row r="145" spans="1:5" x14ac:dyDescent="0.15">
      <c r="A145" t="str">
        <f ca="1">"RM"&amp;TEXT(DATE(LEFT(TEXT(YEAR(TODAY()),"yyyy"),2)&amp;MID(A144,3,2),VLOOKUP(RIGHT(A144,2)*1,{1,3;3,5;5,7;7,8;8,9;9,11;11,13},2,FALSE),10),"yymm")</f>
        <v>RM1511</v>
      </c>
      <c r="B145" s="1">
        <f t="shared" ca="1" si="57"/>
        <v>41960</v>
      </c>
      <c r="C145" s="1">
        <f t="shared" ref="C145:C150" ca="1" si="61">WORKDAY(DATE("20"&amp;MID(A145,3,2),RIGHT(A145,2),0),10,Holiday)</f>
        <v>42321</v>
      </c>
      <c r="D145" s="1">
        <f t="shared" ca="1" si="59"/>
        <v>42292</v>
      </c>
      <c r="E145" s="1">
        <f t="shared" ca="1" si="60"/>
        <v>42307</v>
      </c>
    </row>
    <row r="146" spans="1:5" x14ac:dyDescent="0.15">
      <c r="A146" t="str">
        <f ca="1">"RM"&amp;TEXT(DATE(LEFT(TEXT(YEAR(TODAY()),"yyyy"),2)&amp;MID(A145,3,2),VLOOKUP(RIGHT(A145,2)*1,{1,3;3,5;5,7;7,8;8,9;9,11;11,13},2,FALSE),10),"yymm")</f>
        <v>RM1601</v>
      </c>
      <c r="B146" s="1">
        <f t="shared" ca="1" si="57"/>
        <v>42023</v>
      </c>
      <c r="C146" s="1">
        <f t="shared" ca="1" si="61"/>
        <v>42383</v>
      </c>
      <c r="D146" s="1">
        <f t="shared" ca="1" si="59"/>
        <v>42353</v>
      </c>
      <c r="E146" s="1">
        <f t="shared" ca="1" si="60"/>
        <v>42369</v>
      </c>
    </row>
    <row r="147" spans="1:5" x14ac:dyDescent="0.15">
      <c r="A147" t="str">
        <f ca="1">"RM"&amp;TEXT(DATE(LEFT(TEXT(YEAR(TODAY()),"yyyy"),2)&amp;MID(A146,3,2),VLOOKUP(RIGHT(A146,2)*1,{1,3;3,5;5,7;7,8;8,9;9,11;11,13},2,FALSE),10),"yymm")</f>
        <v>RM1603</v>
      </c>
      <c r="B147" s="1">
        <f t="shared" ca="1" si="57"/>
        <v>42079</v>
      </c>
      <c r="C147" s="1">
        <f t="shared" ca="1" si="61"/>
        <v>42443</v>
      </c>
      <c r="D147" s="1">
        <f t="shared" ca="1" si="59"/>
        <v>42415</v>
      </c>
      <c r="E147" s="1">
        <f t="shared" ca="1" si="60"/>
        <v>42429</v>
      </c>
    </row>
    <row r="148" spans="1:5" x14ac:dyDescent="0.15">
      <c r="A148" t="str">
        <f ca="1">"RM"&amp;TEXT(DATE(LEFT(TEXT(YEAR(TODAY()),"yyyy"),2)&amp;MID(A147,3,2),VLOOKUP(RIGHT(A147,2)*1,{1,3;3,5;5,7;7,8;8,9;9,11;11,13},2,FALSE),10),"yymm")</f>
        <v>RM1605</v>
      </c>
      <c r="B148" s="1">
        <f t="shared" ca="1" si="57"/>
        <v>42142</v>
      </c>
      <c r="C148" s="1">
        <f t="shared" ca="1" si="61"/>
        <v>42503</v>
      </c>
      <c r="D148" s="1">
        <f t="shared" ca="1" si="59"/>
        <v>42475</v>
      </c>
      <c r="E148" s="1">
        <f t="shared" ca="1" si="60"/>
        <v>42489</v>
      </c>
    </row>
    <row r="149" spans="1:5" x14ac:dyDescent="0.15">
      <c r="A149" t="str">
        <f ca="1">"RM"&amp;TEXT(DATE(LEFT(TEXT(YEAR(TODAY()),"yyyy"),2)&amp;MID(A148,3,2),VLOOKUP(RIGHT(A148,2)*1,{1,3;3,5;5,7;7,8;8,9;9,11;11,13},2,FALSE),10),"yymm")</f>
        <v>RM1607</v>
      </c>
      <c r="B149" s="1">
        <f t="shared" ca="1" si="57"/>
        <v>42200</v>
      </c>
      <c r="C149" s="1">
        <f t="shared" ca="1" si="61"/>
        <v>42565</v>
      </c>
      <c r="D149" s="1">
        <f t="shared" ca="1" si="59"/>
        <v>42536</v>
      </c>
      <c r="E149" s="1">
        <f t="shared" ca="1" si="60"/>
        <v>42551</v>
      </c>
    </row>
    <row r="150" spans="1:5" x14ac:dyDescent="0.15">
      <c r="A150" t="str">
        <f ca="1">"RM"&amp;TEXT(DATE(LEFT(TEXT(YEAR(TODAY()),"yyyy"),2)&amp;MID(A149,3,2),VLOOKUP(RIGHT(A149,2)*1,{1,3;3,5;5,7;7,8;8,9;9,11;11,13},2,FALSE),10),"yymm")</f>
        <v>RM1608</v>
      </c>
      <c r="B150" s="1">
        <f t="shared" ca="1" si="57"/>
        <v>42233</v>
      </c>
      <c r="C150" s="1">
        <f t="shared" ca="1" si="61"/>
        <v>42594</v>
      </c>
      <c r="D150" s="1">
        <f t="shared" ca="1" si="59"/>
        <v>42566</v>
      </c>
      <c r="E150" s="1">
        <f t="shared" ca="1" si="60"/>
        <v>42580</v>
      </c>
    </row>
    <row r="153" spans="1:5" x14ac:dyDescent="0.15">
      <c r="A153" t="s">
        <v>100</v>
      </c>
      <c r="D153" s="5">
        <v>0.1</v>
      </c>
      <c r="E153" s="5">
        <v>0.2</v>
      </c>
    </row>
    <row r="154" spans="1:5" x14ac:dyDescent="0.15">
      <c r="B154" s="32" t="s">
        <v>48</v>
      </c>
      <c r="C154" t="s">
        <v>52</v>
      </c>
      <c r="D154" s="47" t="s">
        <v>103</v>
      </c>
      <c r="E154" s="32" t="s">
        <v>102</v>
      </c>
    </row>
    <row r="155" spans="1:5" x14ac:dyDescent="0.15">
      <c r="A155" s="37" t="str">
        <f ca="1">IF(TEXT(DATE(YEAR(TODAY()),MONTH(TODAY())+IF(TODAY()&gt;WORKDAY(DATE(YEAR(TODAY()),MONTH(TODAY()),0),5,Holiday),1,0),1),"yymm")+0&gt;=1605,"ZC","TC")&amp;IF(TODAY()&lt;=DATE(2013,12,6),"1312",TEXT(DATE(YEAR(TODAY()),MONTH(TODAY())+IF(TODAY()&gt;WORKDAY(DATE(YEAR(TODAY()),MONTH(TODAY()),0),5,Holiday),1,0),1),"yymm"))</f>
        <v>TC1507</v>
      </c>
      <c r="B155" s="1">
        <f t="shared" ref="B155:B168" ca="1" si="62">IF(RIGHT(A155,4)="1605",DATE(2015,5,18),IF(RIGHT(A155,4)*1&lt;=1409,DATE(2013,9,26),WORKDAY(WORKDAY(DATE("20"&amp;MID(A155,3,2),RIGHT(A155,2)-12,0),5,Holiday),1,Holiday)))</f>
        <v>41828</v>
      </c>
      <c r="C155" s="1">
        <f t="shared" ref="C155:C168" ca="1" si="63">WORKDAY(DATE("20"&amp;MID(A155,3,2),RIGHT(A155,2),0),5,Holiday)</f>
        <v>42192</v>
      </c>
      <c r="D155" s="1">
        <f t="shared" ref="D155:D168" ca="1" si="64">IF(NETWORKDAYS(DATE("20"&amp;MID(A155,3,2),RIGHT(A155,2)-1,15),DATE("20"&amp;MID(A155,3,2),RIGHT(A155,2)-1,15),Holiday)=0,WORKDAY(DATE("20"&amp;MID(A155,3,2),RIGHT(A155,2)-1,15),-1,Holiday),DATE("20"&amp;MID(A155,3,2),RIGHT(A155,2)-1,15))</f>
        <v>42170</v>
      </c>
      <c r="E155" s="1">
        <f t="shared" ref="E155:E168" ca="1" si="65">IF(NETWORKDAYS(DATE("20"&amp;MID(A155,3,2),RIGHT(A155,2),0),DATE("20"&amp;MID(A155,3,2),RIGHT(A155,2),0),Holiday)=0,WORKDAY(DATE("20"&amp;MID(A155,3,2),RIGHT(A155,2),0),-1,Holiday),DATE("20"&amp;MID(A155,3,2),RIGHT(A155,2),0))</f>
        <v>42185</v>
      </c>
    </row>
    <row r="156" spans="1:5" x14ac:dyDescent="0.15">
      <c r="A156" s="37" t="str">
        <f ca="1">IF(TEXT(DATE("20"&amp;MID(A155,LEN(A155)-3,2),RIGHT(A155,2)+1,"10"),"yymm")+0&gt;=1605,"ZC","TC")&amp;TEXT(DATE("20"&amp;MID(A155,LEN(A155)-3,2),RIGHT(A155,2)+1,"10"),"yymm")</f>
        <v>TC1508</v>
      </c>
      <c r="B156" s="1">
        <f t="shared" ca="1" si="62"/>
        <v>41859</v>
      </c>
      <c r="C156" s="1">
        <f t="shared" ca="1" si="63"/>
        <v>42223</v>
      </c>
      <c r="D156" s="1">
        <f t="shared" ca="1" si="64"/>
        <v>42200</v>
      </c>
      <c r="E156" s="1">
        <f t="shared" ca="1" si="65"/>
        <v>42216</v>
      </c>
    </row>
    <row r="157" spans="1:5" x14ac:dyDescent="0.15">
      <c r="A157" s="37" t="str">
        <f t="shared" ref="A157:A168" ca="1" si="66">IF(TEXT(DATE("20"&amp;MID(A156,LEN(A156)-3,2),RIGHT(A156,2)+1,"10"),"yymm")+0&gt;=1605,"ZC","TC")&amp;TEXT(DATE("20"&amp;MID(A156,LEN(A156)-3,2),RIGHT(A156,2)+1,"10"),"yymm")</f>
        <v>TC1509</v>
      </c>
      <c r="B157" s="1">
        <f t="shared" ca="1" si="62"/>
        <v>41891</v>
      </c>
      <c r="C157" s="1">
        <f t="shared" ca="1" si="63"/>
        <v>42256</v>
      </c>
      <c r="D157" s="1">
        <f t="shared" ca="1" si="64"/>
        <v>42230</v>
      </c>
      <c r="E157" s="1">
        <f t="shared" ca="1" si="65"/>
        <v>42247</v>
      </c>
    </row>
    <row r="158" spans="1:5" x14ac:dyDescent="0.15">
      <c r="A158" s="37" t="str">
        <f t="shared" ca="1" si="66"/>
        <v>TC1510</v>
      </c>
      <c r="B158" s="1">
        <f t="shared" ca="1" si="62"/>
        <v>41927</v>
      </c>
      <c r="C158" s="1">
        <f t="shared" ca="1" si="63"/>
        <v>42291</v>
      </c>
      <c r="D158" s="1">
        <f t="shared" ca="1" si="64"/>
        <v>42262</v>
      </c>
      <c r="E158" s="1">
        <f t="shared" ca="1" si="65"/>
        <v>42277</v>
      </c>
    </row>
    <row r="159" spans="1:5" x14ac:dyDescent="0.15">
      <c r="A159" s="37" t="str">
        <f t="shared" ca="1" si="66"/>
        <v>TC1511</v>
      </c>
      <c r="B159" s="1">
        <f t="shared" ca="1" si="62"/>
        <v>41953</v>
      </c>
      <c r="C159" s="1">
        <f t="shared" ca="1" si="63"/>
        <v>42314</v>
      </c>
      <c r="D159" s="1">
        <f t="shared" ca="1" si="64"/>
        <v>42292</v>
      </c>
      <c r="E159" s="1">
        <f t="shared" ca="1" si="65"/>
        <v>42307</v>
      </c>
    </row>
    <row r="160" spans="1:5" x14ac:dyDescent="0.15">
      <c r="A160" s="37" t="str">
        <f t="shared" ca="1" si="66"/>
        <v>TC1512</v>
      </c>
      <c r="B160" s="1">
        <f t="shared" ca="1" si="62"/>
        <v>41981</v>
      </c>
      <c r="C160" s="1">
        <f t="shared" ca="1" si="63"/>
        <v>42345</v>
      </c>
      <c r="D160" s="1">
        <f t="shared" ca="1" si="64"/>
        <v>42321</v>
      </c>
      <c r="E160" s="1">
        <f t="shared" ca="1" si="65"/>
        <v>42338</v>
      </c>
    </row>
    <row r="161" spans="1:5" x14ac:dyDescent="0.15">
      <c r="A161" s="37" t="str">
        <f t="shared" ca="1" si="66"/>
        <v>TC1601</v>
      </c>
      <c r="B161" s="1">
        <f t="shared" ca="1" si="62"/>
        <v>42016</v>
      </c>
      <c r="C161" s="1">
        <f t="shared" ca="1" si="63"/>
        <v>42376</v>
      </c>
      <c r="D161" s="1">
        <f t="shared" ca="1" si="64"/>
        <v>42353</v>
      </c>
      <c r="E161" s="1">
        <f t="shared" ca="1" si="65"/>
        <v>42369</v>
      </c>
    </row>
    <row r="162" spans="1:5" x14ac:dyDescent="0.15">
      <c r="A162" s="37" t="str">
        <f t="shared" ca="1" si="66"/>
        <v>TC1602</v>
      </c>
      <c r="B162" s="1">
        <f t="shared" ca="1" si="62"/>
        <v>42044</v>
      </c>
      <c r="C162" s="1">
        <f t="shared" ca="1" si="63"/>
        <v>42405</v>
      </c>
      <c r="D162" s="1">
        <f t="shared" ca="1" si="64"/>
        <v>42384</v>
      </c>
      <c r="E162" s="1">
        <f t="shared" ca="1" si="65"/>
        <v>42398</v>
      </c>
    </row>
    <row r="163" spans="1:5" x14ac:dyDescent="0.15">
      <c r="A163" s="37" t="str">
        <f t="shared" ca="1" si="66"/>
        <v>TC1603</v>
      </c>
      <c r="B163" s="1">
        <f t="shared" ca="1" si="62"/>
        <v>42072</v>
      </c>
      <c r="C163" s="1">
        <f t="shared" ca="1" si="63"/>
        <v>42436</v>
      </c>
      <c r="D163" s="1">
        <f t="shared" ca="1" si="64"/>
        <v>42415</v>
      </c>
      <c r="E163" s="1">
        <f t="shared" ca="1" si="65"/>
        <v>42429</v>
      </c>
    </row>
    <row r="164" spans="1:5" x14ac:dyDescent="0.15">
      <c r="A164" s="37" t="str">
        <f t="shared" ca="1" si="66"/>
        <v>TC1604</v>
      </c>
      <c r="B164" s="1">
        <f t="shared" ca="1" si="62"/>
        <v>42103</v>
      </c>
      <c r="C164" s="1">
        <f t="shared" ca="1" si="63"/>
        <v>42467</v>
      </c>
      <c r="D164" s="1">
        <f t="shared" ca="1" si="64"/>
        <v>42444</v>
      </c>
      <c r="E164" s="1">
        <f t="shared" ca="1" si="65"/>
        <v>42460</v>
      </c>
    </row>
    <row r="165" spans="1:5" x14ac:dyDescent="0.15">
      <c r="A165" s="37" t="str">
        <f t="shared" ca="1" si="66"/>
        <v>ZC1605</v>
      </c>
      <c r="B165" s="1">
        <f t="shared" ca="1" si="62"/>
        <v>42142</v>
      </c>
      <c r="C165" s="1">
        <f t="shared" ca="1" si="63"/>
        <v>42496</v>
      </c>
      <c r="D165" s="1">
        <f t="shared" ca="1" si="64"/>
        <v>42475</v>
      </c>
      <c r="E165" s="1">
        <f t="shared" ca="1" si="65"/>
        <v>42489</v>
      </c>
    </row>
    <row r="166" spans="1:5" x14ac:dyDescent="0.15">
      <c r="A166" s="37" t="str">
        <f t="shared" ca="1" si="66"/>
        <v>ZC1606</v>
      </c>
      <c r="B166" s="1">
        <f t="shared" ca="1" si="62"/>
        <v>42163</v>
      </c>
      <c r="C166" s="1">
        <f t="shared" ca="1" si="63"/>
        <v>42528</v>
      </c>
      <c r="D166" s="1">
        <f t="shared" ca="1" si="64"/>
        <v>42503</v>
      </c>
      <c r="E166" s="1">
        <f t="shared" ca="1" si="65"/>
        <v>42521</v>
      </c>
    </row>
    <row r="167" spans="1:5" x14ac:dyDescent="0.15">
      <c r="A167" s="37" t="str">
        <f t="shared" ca="1" si="66"/>
        <v>ZC1607</v>
      </c>
      <c r="B167" s="1">
        <f t="shared" ca="1" si="62"/>
        <v>42193</v>
      </c>
      <c r="C167" s="1">
        <f t="shared" ca="1" si="63"/>
        <v>42558</v>
      </c>
      <c r="D167" s="1">
        <f t="shared" ca="1" si="64"/>
        <v>42536</v>
      </c>
      <c r="E167" s="1">
        <f t="shared" ca="1" si="65"/>
        <v>42551</v>
      </c>
    </row>
    <row r="168" spans="1:5" x14ac:dyDescent="0.15">
      <c r="A168" s="37" t="str">
        <f t="shared" ca="1" si="66"/>
        <v>ZC1608</v>
      </c>
      <c r="B168" s="1">
        <f t="shared" ca="1" si="62"/>
        <v>42226</v>
      </c>
      <c r="C168" s="1">
        <f t="shared" ca="1" si="63"/>
        <v>42587</v>
      </c>
      <c r="D168" s="1">
        <f t="shared" ca="1" si="64"/>
        <v>42566</v>
      </c>
      <c r="E168" s="1">
        <f t="shared" ca="1" si="65"/>
        <v>42580</v>
      </c>
    </row>
    <row r="171" spans="1:5" x14ac:dyDescent="0.15">
      <c r="A171" t="s">
        <v>70</v>
      </c>
      <c r="D171" s="5">
        <v>0.1</v>
      </c>
      <c r="E171" s="5">
        <v>0.2</v>
      </c>
    </row>
    <row r="172" spans="1:5" x14ac:dyDescent="0.15">
      <c r="B172" s="32" t="s">
        <v>48</v>
      </c>
      <c r="C172" t="s">
        <v>1</v>
      </c>
      <c r="D172" s="47" t="s">
        <v>103</v>
      </c>
      <c r="E172" s="32" t="s">
        <v>102</v>
      </c>
    </row>
    <row r="173" spans="1:5" x14ac:dyDescent="0.15">
      <c r="A173" t="str">
        <f ca="1">"JR"&amp;IF(TEXT(DATE(YEAR(TODAY()),ODD(MONTH(TODAY())+IF(TODAY()&gt;WORKDAY(DATE(YEAR(TODAY()),ODD(MONTH(TODAY())),0),10,Holiday),1,0)),DAY(TODAY())),"yymm")*1&lt;=1403,"1403",TEXT(DATE(YEAR(TODAY()),ODD(MONTH(TODAY())+IF(TODAY()&gt;WORKDAY(DATE(YEAR(TODAY()),ODD(MONTH(TODAY())),0),10,Holiday),1,0)),1),"yymm"))</f>
        <v>JR1507</v>
      </c>
      <c r="B173" s="1">
        <f t="shared" ref="B173:B180" ca="1" si="67">IF(RIGHT(A173,4)*1&lt;=1411,DATE(2013,11,18),WORKDAY(WORKDAY(DATE("20"&amp;MID(A173,3,2),RIGHT(A173,2)-12,0),10,Holiday),1,Holiday))</f>
        <v>41835</v>
      </c>
      <c r="C173" s="1">
        <f t="shared" ref="C173" ca="1" si="68">WORKDAY(DATE("20"&amp;MID(A173,3,2),RIGHT(A173,2),0),10,Holiday)</f>
        <v>42199</v>
      </c>
      <c r="D173" s="1">
        <f t="shared" ref="D173:D180" ca="1" si="69">IF(NETWORKDAYS(DATE("20"&amp;MID(A173,3,2),RIGHT(A173,2)-1,15),DATE("20"&amp;MID(A173,3,2),RIGHT(A173,2)-1,15),Holiday)=0,WORKDAY(DATE("20"&amp;MID(A173,3,2),RIGHT(A173,2)-1,15),-1,Holiday),DATE("20"&amp;MID(A173,3,2),RIGHT(A173,2)-1,15))</f>
        <v>42170</v>
      </c>
      <c r="E173" s="1">
        <f t="shared" ref="E173:E180" ca="1" si="70">IF(NETWORKDAYS(DATE("20"&amp;MID(A173,3,2),RIGHT(A173,2),0),DATE("20"&amp;MID(A173,3,2),RIGHT(A173,2),0),Holiday)=0,WORKDAY(DATE("20"&amp;MID(A173,3,2),RIGHT(A173,2),0),-1,Holiday),DATE("20"&amp;MID(A173,3,2),RIGHT(A173,2),0))</f>
        <v>42185</v>
      </c>
    </row>
    <row r="174" spans="1:5" x14ac:dyDescent="0.15">
      <c r="A174" t="str">
        <f ca="1">"JR"&amp;TEXT(DATE("20"&amp;MID(A173,3,2),RIGHT(A173,2)+2,10),"yymm")</f>
        <v>JR1509</v>
      </c>
      <c r="B174" s="1">
        <f t="shared" ca="1" si="67"/>
        <v>41898</v>
      </c>
      <c r="C174" s="1">
        <f t="shared" ref="C174:C180" ca="1" si="71">WORKDAY(DATE("20"&amp;MID(A174,3,2),RIGHT(A174,2),0),10,Holiday)</f>
        <v>42263</v>
      </c>
      <c r="D174" s="1">
        <f t="shared" ca="1" si="69"/>
        <v>42230</v>
      </c>
      <c r="E174" s="1">
        <f t="shared" ca="1" si="70"/>
        <v>42247</v>
      </c>
    </row>
    <row r="175" spans="1:5" x14ac:dyDescent="0.15">
      <c r="A175" t="str">
        <f t="shared" ref="A175:A180" ca="1" si="72">"JR"&amp;TEXT(DATE("20"&amp;MID(A174,3,2),RIGHT(A174,2)+2,10),"yymm")</f>
        <v>JR1511</v>
      </c>
      <c r="B175" s="1">
        <f t="shared" ca="1" si="67"/>
        <v>41960</v>
      </c>
      <c r="C175" s="1">
        <f t="shared" ca="1" si="71"/>
        <v>42321</v>
      </c>
      <c r="D175" s="1">
        <f t="shared" ca="1" si="69"/>
        <v>42292</v>
      </c>
      <c r="E175" s="1">
        <f t="shared" ca="1" si="70"/>
        <v>42307</v>
      </c>
    </row>
    <row r="176" spans="1:5" x14ac:dyDescent="0.15">
      <c r="A176" t="str">
        <f t="shared" ca="1" si="72"/>
        <v>JR1601</v>
      </c>
      <c r="B176" s="1">
        <f t="shared" ca="1" si="67"/>
        <v>42023</v>
      </c>
      <c r="C176" s="1">
        <f t="shared" ca="1" si="71"/>
        <v>42383</v>
      </c>
      <c r="D176" s="1">
        <f t="shared" ca="1" si="69"/>
        <v>42353</v>
      </c>
      <c r="E176" s="1">
        <f t="shared" ca="1" si="70"/>
        <v>42369</v>
      </c>
    </row>
    <row r="177" spans="1:5" x14ac:dyDescent="0.15">
      <c r="A177" t="str">
        <f t="shared" ca="1" si="72"/>
        <v>JR1603</v>
      </c>
      <c r="B177" s="1">
        <f t="shared" ca="1" si="67"/>
        <v>42079</v>
      </c>
      <c r="C177" s="1">
        <f t="shared" ca="1" si="71"/>
        <v>42443</v>
      </c>
      <c r="D177" s="1">
        <f t="shared" ca="1" si="69"/>
        <v>42415</v>
      </c>
      <c r="E177" s="1">
        <f t="shared" ca="1" si="70"/>
        <v>42429</v>
      </c>
    </row>
    <row r="178" spans="1:5" x14ac:dyDescent="0.15">
      <c r="A178" t="str">
        <f t="shared" ca="1" si="72"/>
        <v>JR1605</v>
      </c>
      <c r="B178" s="1">
        <f t="shared" ca="1" si="67"/>
        <v>42142</v>
      </c>
      <c r="C178" s="1">
        <f t="shared" ca="1" si="71"/>
        <v>42503</v>
      </c>
      <c r="D178" s="1">
        <f t="shared" ca="1" si="69"/>
        <v>42475</v>
      </c>
      <c r="E178" s="1">
        <f t="shared" ca="1" si="70"/>
        <v>42489</v>
      </c>
    </row>
    <row r="179" spans="1:5" x14ac:dyDescent="0.15">
      <c r="A179" t="str">
        <f t="shared" ca="1" si="72"/>
        <v>JR1607</v>
      </c>
      <c r="B179" s="1">
        <f t="shared" ca="1" si="67"/>
        <v>42200</v>
      </c>
      <c r="C179" s="1">
        <f t="shared" ca="1" si="71"/>
        <v>42565</v>
      </c>
      <c r="D179" s="1">
        <f t="shared" ca="1" si="69"/>
        <v>42536</v>
      </c>
      <c r="E179" s="1">
        <f t="shared" ca="1" si="70"/>
        <v>42551</v>
      </c>
    </row>
    <row r="180" spans="1:5" x14ac:dyDescent="0.15">
      <c r="A180" t="str">
        <f t="shared" ca="1" si="72"/>
        <v>JR1609</v>
      </c>
      <c r="B180" s="1">
        <f t="shared" ca="1" si="67"/>
        <v>42264</v>
      </c>
      <c r="C180" s="1">
        <f t="shared" ca="1" si="71"/>
        <v>42627</v>
      </c>
      <c r="D180" s="1">
        <f t="shared" ca="1" si="69"/>
        <v>42597</v>
      </c>
      <c r="E180" s="1">
        <f t="shared" ca="1" si="70"/>
        <v>42613</v>
      </c>
    </row>
    <row r="183" spans="1:5" x14ac:dyDescent="0.15">
      <c r="A183" t="s">
        <v>82</v>
      </c>
      <c r="D183" s="5">
        <v>0.1</v>
      </c>
      <c r="E183" s="5">
        <v>0.2</v>
      </c>
    </row>
    <row r="184" spans="1:5" x14ac:dyDescent="0.15">
      <c r="B184" s="32" t="s">
        <v>46</v>
      </c>
      <c r="C184" t="s">
        <v>1</v>
      </c>
      <c r="D184" s="47" t="s">
        <v>103</v>
      </c>
      <c r="E184" s="32" t="s">
        <v>102</v>
      </c>
    </row>
    <row r="185" spans="1:5" x14ac:dyDescent="0.15">
      <c r="A185" t="str">
        <f ca="1">"LR"&amp;IF(TEXT(DATE(YEAR(TODAY()),ODD(MONTH(TODAY())+IF(TODAY()&gt;WORKDAY(DATE(YEAR(TODAY()),ODD(MONTH(TODAY())),0),10,Holiday),1,0)),DAY(TODAY())),"yymm")*1&lt;=1411,"1411",TEXT(DATE(YEAR(TODAY()),ODD(MONTH(TODAY())+IF(TODAY()&gt;WORKDAY(DATE(YEAR(TODAY()),ODD(MONTH(TODAY())),0),10,Holiday),1,0)),1),"yymm"))</f>
        <v>LR1507</v>
      </c>
      <c r="B185" s="1">
        <f t="shared" ref="B185:B192" ca="1" si="73">IF(RIGHT(A185,4)*1&lt;=1505,DATE(2014,7,8),WORKDAY(WORKDAY(DATE("20"&amp;MID(A185,3,2),RIGHT(A185,2)-12,0),10,Holiday),1,Holiday))</f>
        <v>41835</v>
      </c>
      <c r="C185" s="1">
        <f t="shared" ref="C185:C192" ca="1" si="74">WORKDAY(DATE("20"&amp;MID(A185,3,2),RIGHT(A185,2),0),10,Holiday)</f>
        <v>42199</v>
      </c>
      <c r="D185" s="1">
        <f t="shared" ref="D185:D192" ca="1" si="75">IF(NETWORKDAYS(DATE("20"&amp;MID(A185,3,2),RIGHT(A185,2)-1,15),DATE("20"&amp;MID(A185,3,2),RIGHT(A185,2)-1,15),Holiday)=0,WORKDAY(DATE("20"&amp;MID(A185,3,2),RIGHT(A185,2)-1,15),-1,Holiday),DATE("20"&amp;MID(A185,3,2),RIGHT(A185,2)-1,15))</f>
        <v>42170</v>
      </c>
      <c r="E185" s="1">
        <f t="shared" ref="E185:E192" ca="1" si="76">IF(NETWORKDAYS(DATE("20"&amp;MID(A185,3,2),RIGHT(A185,2),0),DATE("20"&amp;MID(A185,3,2),RIGHT(A185,2),0),Holiday)=0,WORKDAY(DATE("20"&amp;MID(A185,3,2),RIGHT(A185,2),0),-1,Holiday),DATE("20"&amp;MID(A185,3,2),RIGHT(A185,2),0))</f>
        <v>42185</v>
      </c>
    </row>
    <row r="186" spans="1:5" x14ac:dyDescent="0.15">
      <c r="A186" t="str">
        <f ca="1">"LR"&amp;TEXT(DATE("20"&amp;MID(A185,3,2),RIGHT(A185,2)+2,10),"yymm")</f>
        <v>LR1509</v>
      </c>
      <c r="B186" s="1">
        <f t="shared" ca="1" si="73"/>
        <v>41898</v>
      </c>
      <c r="C186" s="1">
        <f t="shared" ca="1" si="74"/>
        <v>42263</v>
      </c>
      <c r="D186" s="1">
        <f t="shared" ca="1" si="75"/>
        <v>42230</v>
      </c>
      <c r="E186" s="1">
        <f t="shared" ca="1" si="76"/>
        <v>42247</v>
      </c>
    </row>
    <row r="187" spans="1:5" x14ac:dyDescent="0.15">
      <c r="A187" t="str">
        <f t="shared" ref="A187:A192" ca="1" si="77">"LR"&amp;TEXT(DATE("20"&amp;MID(A186,3,2),RIGHT(A186,2)+2,10),"yymm")</f>
        <v>LR1511</v>
      </c>
      <c r="B187" s="1">
        <f t="shared" ca="1" si="73"/>
        <v>41960</v>
      </c>
      <c r="C187" s="1">
        <f t="shared" ca="1" si="74"/>
        <v>42321</v>
      </c>
      <c r="D187" s="1">
        <f t="shared" ca="1" si="75"/>
        <v>42292</v>
      </c>
      <c r="E187" s="1">
        <f t="shared" ca="1" si="76"/>
        <v>42307</v>
      </c>
    </row>
    <row r="188" spans="1:5" x14ac:dyDescent="0.15">
      <c r="A188" t="str">
        <f t="shared" ca="1" si="77"/>
        <v>LR1601</v>
      </c>
      <c r="B188" s="1">
        <f t="shared" ca="1" si="73"/>
        <v>42023</v>
      </c>
      <c r="C188" s="1">
        <f t="shared" ca="1" si="74"/>
        <v>42383</v>
      </c>
      <c r="D188" s="1">
        <f t="shared" ca="1" si="75"/>
        <v>42353</v>
      </c>
      <c r="E188" s="1">
        <f t="shared" ca="1" si="76"/>
        <v>42369</v>
      </c>
    </row>
    <row r="189" spans="1:5" x14ac:dyDescent="0.15">
      <c r="A189" t="str">
        <f t="shared" ca="1" si="77"/>
        <v>LR1603</v>
      </c>
      <c r="B189" s="1">
        <f t="shared" ca="1" si="73"/>
        <v>42079</v>
      </c>
      <c r="C189" s="1">
        <f t="shared" ca="1" si="74"/>
        <v>42443</v>
      </c>
      <c r="D189" s="1">
        <f t="shared" ca="1" si="75"/>
        <v>42415</v>
      </c>
      <c r="E189" s="1">
        <f t="shared" ca="1" si="76"/>
        <v>42429</v>
      </c>
    </row>
    <row r="190" spans="1:5" x14ac:dyDescent="0.15">
      <c r="A190" t="str">
        <f t="shared" ca="1" si="77"/>
        <v>LR1605</v>
      </c>
      <c r="B190" s="1">
        <f t="shared" ca="1" si="73"/>
        <v>42142</v>
      </c>
      <c r="C190" s="1">
        <f t="shared" ca="1" si="74"/>
        <v>42503</v>
      </c>
      <c r="D190" s="1">
        <f t="shared" ca="1" si="75"/>
        <v>42475</v>
      </c>
      <c r="E190" s="1">
        <f t="shared" ca="1" si="76"/>
        <v>42489</v>
      </c>
    </row>
    <row r="191" spans="1:5" x14ac:dyDescent="0.15">
      <c r="A191" t="str">
        <f t="shared" ca="1" si="77"/>
        <v>LR1607</v>
      </c>
      <c r="B191" s="1">
        <f t="shared" ca="1" si="73"/>
        <v>42200</v>
      </c>
      <c r="C191" s="1">
        <f t="shared" ca="1" si="74"/>
        <v>42565</v>
      </c>
      <c r="D191" s="1">
        <f t="shared" ca="1" si="75"/>
        <v>42536</v>
      </c>
      <c r="E191" s="1">
        <f t="shared" ca="1" si="76"/>
        <v>42551</v>
      </c>
    </row>
    <row r="192" spans="1:5" x14ac:dyDescent="0.15">
      <c r="A192" t="str">
        <f t="shared" ca="1" si="77"/>
        <v>LR1609</v>
      </c>
      <c r="B192" s="1">
        <f t="shared" ca="1" si="73"/>
        <v>42264</v>
      </c>
      <c r="C192" s="1">
        <f t="shared" ca="1" si="74"/>
        <v>42627</v>
      </c>
      <c r="D192" s="1">
        <f t="shared" ca="1" si="75"/>
        <v>42597</v>
      </c>
      <c r="E192" s="1">
        <f t="shared" ca="1" si="76"/>
        <v>42613</v>
      </c>
    </row>
    <row r="195" spans="1:5" x14ac:dyDescent="0.15">
      <c r="A195" t="s">
        <v>83</v>
      </c>
      <c r="D195" s="5">
        <v>0.1</v>
      </c>
      <c r="E195" s="5">
        <v>0.2</v>
      </c>
    </row>
    <row r="196" spans="1:5" x14ac:dyDescent="0.15">
      <c r="B196" s="32" t="s">
        <v>46</v>
      </c>
      <c r="C196" t="s">
        <v>1</v>
      </c>
      <c r="D196" s="47" t="s">
        <v>103</v>
      </c>
      <c r="E196" s="32" t="s">
        <v>102</v>
      </c>
    </row>
    <row r="197" spans="1:5" x14ac:dyDescent="0.15">
      <c r="A197" t="str">
        <f ca="1">"SF"&amp;IF(TODAY()&lt;=WORKDAY(DATE(2014,11,0),10,Holiday),"1411",TEXT(DATE(YEAR(TODAY()),MONTH(TODAY())+IF(TODAY()&gt;WORKDAY(DATE(YEAR(TODAY()),MONTH(TODAY()),0),10,Holiday),1,0),1),"yymm"))</f>
        <v>SF1507</v>
      </c>
      <c r="B197" s="1">
        <f t="shared" ref="B197:B210" ca="1" si="78">IF(RIGHT(A197,4)*1&lt;=1507,DATE(2014,8,8),WORKDAY(WORKDAY(DATE("20"&amp;MID(A197,3,2),RIGHT(A197,2)-12,0),10,Holiday),1,Holiday))</f>
        <v>41859</v>
      </c>
      <c r="C197" s="1">
        <f t="shared" ref="C197" ca="1" si="79">WORKDAY(DATE("20"&amp;MID(A197,3,2),RIGHT(A197,2),0),10,Holiday)</f>
        <v>42199</v>
      </c>
      <c r="D197" s="1">
        <f t="shared" ref="D197:D210" ca="1" si="80">IF(NETWORKDAYS(DATE("20"&amp;MID(A197,3,2),RIGHT(A197,2)-1,15),DATE("20"&amp;MID(A197,3,2),RIGHT(A197,2)-1,15),Holiday)=0,WORKDAY(DATE("20"&amp;MID(A197,3,2),RIGHT(A197,2)-1,15),-1,Holiday),DATE("20"&amp;MID(A197,3,2),RIGHT(A197,2)-1,15))</f>
        <v>42170</v>
      </c>
      <c r="E197" s="1">
        <f t="shared" ref="E197:E210" ca="1" si="81">IF(NETWORKDAYS(DATE("20"&amp;MID(A197,3,2),RIGHT(A197,2),0),DATE("20"&amp;MID(A197,3,2),RIGHT(A197,2),0),Holiday)=0,WORKDAY(DATE("20"&amp;MID(A197,3,2),RIGHT(A197,2),0),-1,Holiday),DATE("20"&amp;MID(A197,3,2),RIGHT(A197,2),0))</f>
        <v>42185</v>
      </c>
    </row>
    <row r="198" spans="1:5" x14ac:dyDescent="0.15">
      <c r="A198" t="str">
        <f ca="1">"SF"&amp;TEXT(DATE("20"&amp;MID(A197,LEN(A197)-3,2),RIGHT(A197,2)+1,"10"),"yymm")</f>
        <v>SF1508</v>
      </c>
      <c r="B198" s="1">
        <f t="shared" ca="1" si="78"/>
        <v>41866</v>
      </c>
      <c r="C198" s="1">
        <f t="shared" ref="C198:C210" ca="1" si="82">WORKDAY(DATE("20"&amp;MID(A198,3,2),RIGHT(A198,2),0),10,Holiday)</f>
        <v>42230</v>
      </c>
      <c r="D198" s="1">
        <f t="shared" ca="1" si="80"/>
        <v>42200</v>
      </c>
      <c r="E198" s="1">
        <f t="shared" ca="1" si="81"/>
        <v>42216</v>
      </c>
    </row>
    <row r="199" spans="1:5" x14ac:dyDescent="0.15">
      <c r="A199" t="str">
        <f t="shared" ref="A199:A210" ca="1" si="83">"SF"&amp;TEXT(DATE("20"&amp;MID(A198,LEN(A198)-3,2),RIGHT(A198,2)+1,"10"),"yymm")</f>
        <v>SF1509</v>
      </c>
      <c r="B199" s="1">
        <f t="shared" ca="1" si="78"/>
        <v>41898</v>
      </c>
      <c r="C199" s="1">
        <f t="shared" ca="1" si="82"/>
        <v>42263</v>
      </c>
      <c r="D199" s="1">
        <f t="shared" ca="1" si="80"/>
        <v>42230</v>
      </c>
      <c r="E199" s="1">
        <f t="shared" ca="1" si="81"/>
        <v>42247</v>
      </c>
    </row>
    <row r="200" spans="1:5" x14ac:dyDescent="0.15">
      <c r="A200" t="str">
        <f t="shared" ca="1" si="83"/>
        <v>SF1510</v>
      </c>
      <c r="B200" s="1">
        <f t="shared" ca="1" si="78"/>
        <v>41934</v>
      </c>
      <c r="C200" s="1">
        <f t="shared" ca="1" si="82"/>
        <v>42298</v>
      </c>
      <c r="D200" s="1">
        <f t="shared" ca="1" si="80"/>
        <v>42262</v>
      </c>
      <c r="E200" s="1">
        <f t="shared" ca="1" si="81"/>
        <v>42277</v>
      </c>
    </row>
    <row r="201" spans="1:5" x14ac:dyDescent="0.15">
      <c r="A201" t="str">
        <f t="shared" ca="1" si="83"/>
        <v>SF1511</v>
      </c>
      <c r="B201" s="1">
        <f t="shared" ca="1" si="78"/>
        <v>41960</v>
      </c>
      <c r="C201" s="1">
        <f t="shared" ca="1" si="82"/>
        <v>42321</v>
      </c>
      <c r="D201" s="1">
        <f t="shared" ca="1" si="80"/>
        <v>42292</v>
      </c>
      <c r="E201" s="1">
        <f t="shared" ca="1" si="81"/>
        <v>42307</v>
      </c>
    </row>
    <row r="202" spans="1:5" x14ac:dyDescent="0.15">
      <c r="A202" t="str">
        <f t="shared" ca="1" si="83"/>
        <v>SF1512</v>
      </c>
      <c r="B202" s="1">
        <f t="shared" ca="1" si="78"/>
        <v>41988</v>
      </c>
      <c r="C202" s="1">
        <f t="shared" ca="1" si="82"/>
        <v>42352</v>
      </c>
      <c r="D202" s="1">
        <f t="shared" ca="1" si="80"/>
        <v>42321</v>
      </c>
      <c r="E202" s="1">
        <f t="shared" ca="1" si="81"/>
        <v>42338</v>
      </c>
    </row>
    <row r="203" spans="1:5" x14ac:dyDescent="0.15">
      <c r="A203" t="str">
        <f t="shared" ca="1" si="83"/>
        <v>SF1601</v>
      </c>
      <c r="B203" s="1">
        <f t="shared" ca="1" si="78"/>
        <v>42023</v>
      </c>
      <c r="C203" s="1">
        <f t="shared" ca="1" si="82"/>
        <v>42383</v>
      </c>
      <c r="D203" s="1">
        <f t="shared" ca="1" si="80"/>
        <v>42353</v>
      </c>
      <c r="E203" s="1">
        <f t="shared" ca="1" si="81"/>
        <v>42369</v>
      </c>
    </row>
    <row r="204" spans="1:5" x14ac:dyDescent="0.15">
      <c r="A204" t="str">
        <f t="shared" ca="1" si="83"/>
        <v>SF1602</v>
      </c>
      <c r="B204" s="1">
        <f t="shared" ca="1" si="78"/>
        <v>42051</v>
      </c>
      <c r="C204" s="1">
        <f t="shared" ca="1" si="82"/>
        <v>42412</v>
      </c>
      <c r="D204" s="1">
        <f t="shared" ca="1" si="80"/>
        <v>42384</v>
      </c>
      <c r="E204" s="1">
        <f t="shared" ca="1" si="81"/>
        <v>42398</v>
      </c>
    </row>
    <row r="205" spans="1:5" x14ac:dyDescent="0.15">
      <c r="A205" t="str">
        <f t="shared" ca="1" si="83"/>
        <v>SF1603</v>
      </c>
      <c r="B205" s="1">
        <f t="shared" ca="1" si="78"/>
        <v>42079</v>
      </c>
      <c r="C205" s="1">
        <f t="shared" ca="1" si="82"/>
        <v>42443</v>
      </c>
      <c r="D205" s="1">
        <f t="shared" ca="1" si="80"/>
        <v>42415</v>
      </c>
      <c r="E205" s="1">
        <f t="shared" ca="1" si="81"/>
        <v>42429</v>
      </c>
    </row>
    <row r="206" spans="1:5" x14ac:dyDescent="0.15">
      <c r="A206" t="str">
        <f t="shared" ca="1" si="83"/>
        <v>SF1604</v>
      </c>
      <c r="B206" s="1">
        <f t="shared" ca="1" si="78"/>
        <v>42110</v>
      </c>
      <c r="C206" s="1">
        <f t="shared" ca="1" si="82"/>
        <v>42474</v>
      </c>
      <c r="D206" s="1">
        <f t="shared" ca="1" si="80"/>
        <v>42444</v>
      </c>
      <c r="E206" s="1">
        <f t="shared" ca="1" si="81"/>
        <v>42460</v>
      </c>
    </row>
    <row r="207" spans="1:5" x14ac:dyDescent="0.15">
      <c r="A207" t="str">
        <f t="shared" ca="1" si="83"/>
        <v>SF1605</v>
      </c>
      <c r="B207" s="1">
        <f t="shared" ca="1" si="78"/>
        <v>42142</v>
      </c>
      <c r="C207" s="1">
        <f t="shared" ca="1" si="82"/>
        <v>42503</v>
      </c>
      <c r="D207" s="1">
        <f t="shared" ca="1" si="80"/>
        <v>42475</v>
      </c>
      <c r="E207" s="1">
        <f t="shared" ca="1" si="81"/>
        <v>42489</v>
      </c>
    </row>
    <row r="208" spans="1:5" x14ac:dyDescent="0.15">
      <c r="A208" t="str">
        <f t="shared" ca="1" si="83"/>
        <v>SF1606</v>
      </c>
      <c r="B208" s="1">
        <f t="shared" ca="1" si="78"/>
        <v>42170</v>
      </c>
      <c r="C208" s="1">
        <f t="shared" ca="1" si="82"/>
        <v>42535</v>
      </c>
      <c r="D208" s="1">
        <f t="shared" ca="1" si="80"/>
        <v>42503</v>
      </c>
      <c r="E208" s="1">
        <f t="shared" ca="1" si="81"/>
        <v>42521</v>
      </c>
    </row>
    <row r="209" spans="1:5" x14ac:dyDescent="0.15">
      <c r="A209" t="str">
        <f t="shared" ca="1" si="83"/>
        <v>SF1607</v>
      </c>
      <c r="B209" s="1">
        <f t="shared" ca="1" si="78"/>
        <v>42200</v>
      </c>
      <c r="C209" s="1">
        <f t="shared" ca="1" si="82"/>
        <v>42565</v>
      </c>
      <c r="D209" s="1">
        <f t="shared" ca="1" si="80"/>
        <v>42536</v>
      </c>
      <c r="E209" s="1">
        <f t="shared" ca="1" si="81"/>
        <v>42551</v>
      </c>
    </row>
    <row r="210" spans="1:5" x14ac:dyDescent="0.15">
      <c r="A210" t="str">
        <f t="shared" ca="1" si="83"/>
        <v>SF1608</v>
      </c>
      <c r="B210" s="1">
        <f t="shared" ca="1" si="78"/>
        <v>42233</v>
      </c>
      <c r="C210" s="1">
        <f t="shared" ca="1" si="82"/>
        <v>42594</v>
      </c>
      <c r="D210" s="1">
        <f t="shared" ca="1" si="80"/>
        <v>42566</v>
      </c>
      <c r="E210" s="1">
        <f t="shared" ca="1" si="81"/>
        <v>42580</v>
      </c>
    </row>
    <row r="213" spans="1:5" x14ac:dyDescent="0.15">
      <c r="A213" t="s">
        <v>84</v>
      </c>
      <c r="D213" s="5">
        <v>0.1</v>
      </c>
      <c r="E213" s="5">
        <v>0.2</v>
      </c>
    </row>
    <row r="214" spans="1:5" x14ac:dyDescent="0.15">
      <c r="B214" s="32" t="s">
        <v>46</v>
      </c>
      <c r="C214" t="s">
        <v>1</v>
      </c>
      <c r="D214" s="47" t="s">
        <v>103</v>
      </c>
      <c r="E214" s="32" t="s">
        <v>102</v>
      </c>
    </row>
    <row r="215" spans="1:5" x14ac:dyDescent="0.15">
      <c r="A215" t="str">
        <f ca="1">"SM"&amp;IF(TODAY()&lt;=WORKDAY(DATE(2014,11,0),10,Holiday),"1411",TEXT(DATE(YEAR(TODAY()),MONTH(TODAY())+IF(TODAY()&gt;WORKDAY(DATE(YEAR(TODAY()),MONTH(TODAY()),0),10,Holiday),1,0),1),"yymm"))</f>
        <v>SM1507</v>
      </c>
      <c r="B215" s="1">
        <f t="shared" ref="B215:B228" ca="1" si="84">IF(RIGHT(A215,4)*1&lt;=1507,DATE(2014,8,8),WORKDAY(WORKDAY(DATE("20"&amp;MID(A215,3,2),RIGHT(A215,2)-12,0),10,Holiday),1,Holiday))</f>
        <v>41859</v>
      </c>
      <c r="C215" s="1">
        <f t="shared" ref="C215:C228" ca="1" si="85">WORKDAY(DATE("20"&amp;MID(A215,3,2),RIGHT(A215,2),0),10,Holiday)</f>
        <v>42199</v>
      </c>
      <c r="D215" s="1">
        <f t="shared" ref="D215:D228" ca="1" si="86">IF(NETWORKDAYS(DATE("20"&amp;MID(A215,3,2),RIGHT(A215,2)-1,15),DATE("20"&amp;MID(A215,3,2),RIGHT(A215,2)-1,15),Holiday)=0,WORKDAY(DATE("20"&amp;MID(A215,3,2),RIGHT(A215,2)-1,15),-1,Holiday),DATE("20"&amp;MID(A215,3,2),RIGHT(A215,2)-1,15))</f>
        <v>42170</v>
      </c>
      <c r="E215" s="1">
        <f t="shared" ref="E215:E228" ca="1" si="87">IF(NETWORKDAYS(DATE("20"&amp;MID(A215,3,2),RIGHT(A215,2),0),DATE("20"&amp;MID(A215,3,2),RIGHT(A215,2),0),Holiday)=0,WORKDAY(DATE("20"&amp;MID(A215,3,2),RIGHT(A215,2),0),-1,Holiday),DATE("20"&amp;MID(A215,3,2),RIGHT(A215,2),0))</f>
        <v>42185</v>
      </c>
    </row>
    <row r="216" spans="1:5" x14ac:dyDescent="0.15">
      <c r="A216" t="str">
        <f ca="1">"SM"&amp;TEXT(DATE("20"&amp;MID(A215,LEN(A215)-3,2),RIGHT(A215,2)+1,"10"),"yymm")</f>
        <v>SM1508</v>
      </c>
      <c r="B216" s="1">
        <f t="shared" ca="1" si="84"/>
        <v>41866</v>
      </c>
      <c r="C216" s="1">
        <f t="shared" ca="1" si="85"/>
        <v>42230</v>
      </c>
      <c r="D216" s="1">
        <f t="shared" ca="1" si="86"/>
        <v>42200</v>
      </c>
      <c r="E216" s="1">
        <f t="shared" ca="1" si="87"/>
        <v>42216</v>
      </c>
    </row>
    <row r="217" spans="1:5" x14ac:dyDescent="0.15">
      <c r="A217" t="str">
        <f t="shared" ref="A217:A228" ca="1" si="88">"SM"&amp;TEXT(DATE("20"&amp;MID(A216,LEN(A216)-3,2),RIGHT(A216,2)+1,"10"),"yymm")</f>
        <v>SM1509</v>
      </c>
      <c r="B217" s="1">
        <f t="shared" ca="1" si="84"/>
        <v>41898</v>
      </c>
      <c r="C217" s="1">
        <f t="shared" ca="1" si="85"/>
        <v>42263</v>
      </c>
      <c r="D217" s="1">
        <f t="shared" ca="1" si="86"/>
        <v>42230</v>
      </c>
      <c r="E217" s="1">
        <f t="shared" ca="1" si="87"/>
        <v>42247</v>
      </c>
    </row>
    <row r="218" spans="1:5" x14ac:dyDescent="0.15">
      <c r="A218" t="str">
        <f t="shared" ca="1" si="88"/>
        <v>SM1510</v>
      </c>
      <c r="B218" s="1">
        <f t="shared" ca="1" si="84"/>
        <v>41934</v>
      </c>
      <c r="C218" s="1">
        <f t="shared" ca="1" si="85"/>
        <v>42298</v>
      </c>
      <c r="D218" s="1">
        <f t="shared" ca="1" si="86"/>
        <v>42262</v>
      </c>
      <c r="E218" s="1">
        <f t="shared" ca="1" si="87"/>
        <v>42277</v>
      </c>
    </row>
    <row r="219" spans="1:5" x14ac:dyDescent="0.15">
      <c r="A219" t="str">
        <f t="shared" ca="1" si="88"/>
        <v>SM1511</v>
      </c>
      <c r="B219" s="1">
        <f t="shared" ca="1" si="84"/>
        <v>41960</v>
      </c>
      <c r="C219" s="1">
        <f t="shared" ca="1" si="85"/>
        <v>42321</v>
      </c>
      <c r="D219" s="1">
        <f t="shared" ca="1" si="86"/>
        <v>42292</v>
      </c>
      <c r="E219" s="1">
        <f t="shared" ca="1" si="87"/>
        <v>42307</v>
      </c>
    </row>
    <row r="220" spans="1:5" x14ac:dyDescent="0.15">
      <c r="A220" t="str">
        <f t="shared" ca="1" si="88"/>
        <v>SM1512</v>
      </c>
      <c r="B220" s="1">
        <f t="shared" ca="1" si="84"/>
        <v>41988</v>
      </c>
      <c r="C220" s="1">
        <f t="shared" ca="1" si="85"/>
        <v>42352</v>
      </c>
      <c r="D220" s="1">
        <f t="shared" ca="1" si="86"/>
        <v>42321</v>
      </c>
      <c r="E220" s="1">
        <f t="shared" ca="1" si="87"/>
        <v>42338</v>
      </c>
    </row>
    <row r="221" spans="1:5" x14ac:dyDescent="0.15">
      <c r="A221" t="str">
        <f t="shared" ca="1" si="88"/>
        <v>SM1601</v>
      </c>
      <c r="B221" s="1">
        <f t="shared" ca="1" si="84"/>
        <v>42023</v>
      </c>
      <c r="C221" s="1">
        <f t="shared" ca="1" si="85"/>
        <v>42383</v>
      </c>
      <c r="D221" s="1">
        <f t="shared" ca="1" si="86"/>
        <v>42353</v>
      </c>
      <c r="E221" s="1">
        <f t="shared" ca="1" si="87"/>
        <v>42369</v>
      </c>
    </row>
    <row r="222" spans="1:5" x14ac:dyDescent="0.15">
      <c r="A222" t="str">
        <f t="shared" ca="1" si="88"/>
        <v>SM1602</v>
      </c>
      <c r="B222" s="1">
        <f t="shared" ca="1" si="84"/>
        <v>42051</v>
      </c>
      <c r="C222" s="1">
        <f t="shared" ca="1" si="85"/>
        <v>42412</v>
      </c>
      <c r="D222" s="1">
        <f t="shared" ca="1" si="86"/>
        <v>42384</v>
      </c>
      <c r="E222" s="1">
        <f t="shared" ca="1" si="87"/>
        <v>42398</v>
      </c>
    </row>
    <row r="223" spans="1:5" x14ac:dyDescent="0.15">
      <c r="A223" t="str">
        <f t="shared" ca="1" si="88"/>
        <v>SM1603</v>
      </c>
      <c r="B223" s="1">
        <f t="shared" ca="1" si="84"/>
        <v>42079</v>
      </c>
      <c r="C223" s="1">
        <f t="shared" ca="1" si="85"/>
        <v>42443</v>
      </c>
      <c r="D223" s="1">
        <f t="shared" ca="1" si="86"/>
        <v>42415</v>
      </c>
      <c r="E223" s="1">
        <f t="shared" ca="1" si="87"/>
        <v>42429</v>
      </c>
    </row>
    <row r="224" spans="1:5" x14ac:dyDescent="0.15">
      <c r="A224" t="str">
        <f t="shared" ca="1" si="88"/>
        <v>SM1604</v>
      </c>
      <c r="B224" s="1">
        <f t="shared" ca="1" si="84"/>
        <v>42110</v>
      </c>
      <c r="C224" s="1">
        <f t="shared" ca="1" si="85"/>
        <v>42474</v>
      </c>
      <c r="D224" s="1">
        <f t="shared" ca="1" si="86"/>
        <v>42444</v>
      </c>
      <c r="E224" s="1">
        <f t="shared" ca="1" si="87"/>
        <v>42460</v>
      </c>
    </row>
    <row r="225" spans="1:5" x14ac:dyDescent="0.15">
      <c r="A225" t="str">
        <f t="shared" ca="1" si="88"/>
        <v>SM1605</v>
      </c>
      <c r="B225" s="1">
        <f t="shared" ca="1" si="84"/>
        <v>42142</v>
      </c>
      <c r="C225" s="1">
        <f t="shared" ca="1" si="85"/>
        <v>42503</v>
      </c>
      <c r="D225" s="1">
        <f t="shared" ca="1" si="86"/>
        <v>42475</v>
      </c>
      <c r="E225" s="1">
        <f t="shared" ca="1" si="87"/>
        <v>42489</v>
      </c>
    </row>
    <row r="226" spans="1:5" x14ac:dyDescent="0.15">
      <c r="A226" t="str">
        <f t="shared" ca="1" si="88"/>
        <v>SM1606</v>
      </c>
      <c r="B226" s="1">
        <f t="shared" ca="1" si="84"/>
        <v>42170</v>
      </c>
      <c r="C226" s="1">
        <f t="shared" ca="1" si="85"/>
        <v>42535</v>
      </c>
      <c r="D226" s="1">
        <f t="shared" ca="1" si="86"/>
        <v>42503</v>
      </c>
      <c r="E226" s="1">
        <f t="shared" ca="1" si="87"/>
        <v>42521</v>
      </c>
    </row>
    <row r="227" spans="1:5" x14ac:dyDescent="0.15">
      <c r="A227" t="str">
        <f t="shared" ca="1" si="88"/>
        <v>SM1607</v>
      </c>
      <c r="B227" s="1">
        <f t="shared" ca="1" si="84"/>
        <v>42200</v>
      </c>
      <c r="C227" s="1">
        <f t="shared" ca="1" si="85"/>
        <v>42565</v>
      </c>
      <c r="D227" s="1">
        <f t="shared" ca="1" si="86"/>
        <v>42536</v>
      </c>
      <c r="E227" s="1">
        <f t="shared" ca="1" si="87"/>
        <v>42551</v>
      </c>
    </row>
    <row r="228" spans="1:5" x14ac:dyDescent="0.15">
      <c r="A228" t="str">
        <f t="shared" ca="1" si="88"/>
        <v>SM1608</v>
      </c>
      <c r="B228" s="1">
        <f t="shared" ca="1" si="84"/>
        <v>42233</v>
      </c>
      <c r="C228" s="1">
        <f t="shared" ca="1" si="85"/>
        <v>42594</v>
      </c>
      <c r="D228" s="1">
        <f t="shared" ca="1" si="86"/>
        <v>42566</v>
      </c>
      <c r="E228" s="1">
        <f t="shared" ca="1" si="87"/>
        <v>42580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64"/>
  <sheetViews>
    <sheetView zoomScale="80" zoomScaleNormal="80" workbookViewId="0">
      <selection activeCell="D26" sqref="D26"/>
    </sheetView>
  </sheetViews>
  <sheetFormatPr defaultRowHeight="16.5" x14ac:dyDescent="0.15"/>
  <cols>
    <col min="1" max="1" width="9" style="7"/>
    <col min="2" max="2" width="21.25" style="7" customWidth="1"/>
    <col min="3" max="3" width="19.625" style="7" customWidth="1"/>
    <col min="4" max="4" width="28" style="7" bestFit="1" customWidth="1"/>
    <col min="5" max="5" width="28.75" style="7" bestFit="1" customWidth="1"/>
    <col min="6" max="6" width="21.125" style="7" customWidth="1"/>
    <col min="7" max="7" width="9" style="7"/>
    <col min="8" max="8" width="11.625" style="7" bestFit="1" customWidth="1"/>
    <col min="9" max="9" width="25.125" style="7" bestFit="1" customWidth="1"/>
    <col min="10" max="26" width="9" style="7"/>
    <col min="27" max="27" width="9" style="7" hidden="1" customWidth="1"/>
    <col min="28" max="16384" width="9" style="7"/>
  </cols>
  <sheetData>
    <row r="1" spans="1:27" x14ac:dyDescent="0.15">
      <c r="A1" s="48" t="str">
        <f>"沪深300股指期货IF"&amp;TEXT(沪深300股指期货IF,"#%")</f>
        <v>沪深300股指期货IF10%</v>
      </c>
      <c r="B1" s="49"/>
      <c r="C1" s="50"/>
      <c r="AA1" s="7" t="str">
        <f ca="1">IFERROR(IF(AND(B1+0&gt;TODAY(),B1+0&lt;DATE(YEAR(TODAY()),MONTH(TODAY())+1,DAY(TODAY()))),ROW(),""),"")</f>
        <v/>
      </c>
    </row>
    <row r="2" spans="1:27" ht="17.25" thickBot="1" x14ac:dyDescent="0.2">
      <c r="A2" s="20"/>
      <c r="B2" s="33" t="s">
        <v>58</v>
      </c>
      <c r="C2" s="33" t="s">
        <v>59</v>
      </c>
      <c r="AA2" s="7" t="str">
        <f t="shared" ref="AA2:AA64" ca="1" si="0">IFERROR(IF(AND(B2+0&gt;TODAY(),B2+0&lt;DATE(YEAR(TODAY()),MONTH(TODAY())+1,DAY(TODAY()))),ROW(),""),"")</f>
        <v/>
      </c>
    </row>
    <row r="3" spans="1:27" x14ac:dyDescent="0.15">
      <c r="A3" s="21" t="str">
        <f ca="1">"IF"&amp;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</f>
        <v>IF1506</v>
      </c>
      <c r="B3" s="11">
        <f t="shared" ref="B3:B14" ca="1" si="1">WORKDAY(IF(NETWORKDAYS(DATE("20"&amp;MID(A3,3,2),RIGHT(A3,2)+IF(MOD(RIGHT(A3,2)*1,3)=0,-8,-2),1+(INT(WEEKDAY(DATE("20"&amp;MID(A3,3,2),RIGHT(A3,2)+IF(MOD(RIGHT(A3,2)*1,3)=0,-8,-2),1),2)/6)+2)*7+5-WEEKDAY(DATE("20"&amp;MID(A3,3,2),RIGHT(A3,2)+IF(MOD(RIGHT(A3,2)*1,3)=0,-8,-2),1),2)),DATE("20"&amp;MID(A3,3,2),RIGHT(A3,2)+IF(MOD(RIGHT(A3,2)*1,3)=0,-8,-2),1+(INT(WEEKDAY(DATE("20"&amp;MID(A3,3,2),RIGHT(A3,2)+IF(MOD(RIGHT(A3,2)*1,3)=0,-8,-2),1),2)/6)+2)*7+5-WEEKDAY(DATE("20"&amp;MID(A3,3,2),RIGHT(A3,2)+IF(MOD(RIGHT(A3,2)*1,3)=0,-8,-2),1),2)),Holiday)=0,WORKDAY(DATE("20"&amp;MID(A3,3,2),RIGHT(A3,2)+IF(MOD(RIGHT(A3,2)*1,3)=0,-8,-2),1+(INT(WEEKDAY(DATE("20"&amp;MID(A3,3,2),RIGHT(A3,2)+IF(MOD(RIGHT(A3,2)*1,3)=0,-8,-2),1),2)/6)+2)*7+5-WEEKDAY(DATE("20"&amp;MID(A3,3,2),RIGHT(A3,2)+IF(MOD(RIGHT(A3,2)*1,3)=0,-8,-2),1),2)),1,Holiday),DATE("20"&amp;MID(A3,3,2),RIGHT(A3,2)+IF(MOD(RIGHT(A3,2)*1,3)=0,-8,-2),1+(INT(WEEKDAY(DATE("20"&amp;MID(A3,3,2),RIGHT(A3,2)+IF(MOD(RIGHT(A3,2)*1,3)=0,-8,-2),1),2)/6)+2)*7+5-WEEKDAY(DATE("20"&amp;MID(A3,3,2),RIGHT(A3,2)+IF(MOD(RIGHT(A3,2)*1,3)=0,-8,-2),1),2))),1,Holiday)</f>
        <v>41932</v>
      </c>
      <c r="C3" s="11">
        <f t="shared" ref="C3:C14" ca="1" si="2">IF(NETWORKDAYS(DATE("20"&amp;MID(A3,3,2),RIGHT(A3,2),1+(INT(WEEKDAY(DATE("20"&amp;MID(A3,3,2),RIGHT(A3,2),1),2)/6)+2)*7+5-WEEKDAY(DATE("20"&amp;MID(A3,3,2),RIGHT(A3,2),1),2)),DATE("20"&amp;MID(A3,3,2),RIGHT(A3,2),1+(INT(WEEKDAY(DATE("20"&amp;MID(A3,3,2),RIGHT(A3,2),1),2)/6)+2)*7+5-WEEKDAY(DATE("20"&amp;MID(A3,3,2),RIGHT(A3,2),1),2)),Holiday)=0,WORKDAY(DATE("20"&amp;MID(A3,3,2),RIGHT(A3,2),1+(INT(WEEKDAY(DATE("20"&amp;MID(A3,3,2),RIGHT(A3,2),1),2)/6)+2)*7+5-WEEKDAY(DATE("20"&amp;MID(A3,3,2),RIGHT(A3,2),1),2)),1,Holiday),DATE("20"&amp;MID(A3,3,2),RIGHT(A3,2),1+(INT(WEEKDAY(DATE("20"&amp;MID(A3,3,2),RIGHT(A3,2),1),2)/6)+2)*7+5-WEEKDAY(DATE("20"&amp;MID(A3,3,2),RIGHT(A3,2),1),2)))</f>
        <v>42174</v>
      </c>
      <c r="D3" s="35"/>
      <c r="AA3" s="7" t="str">
        <f t="shared" ca="1" si="0"/>
        <v/>
      </c>
    </row>
    <row r="4" spans="1:27" x14ac:dyDescent="0.15">
      <c r="A4" s="22" t="str">
        <f ca="1">"IF"&amp;TEXT(DATE("20"&amp;MID(A3,3,2),RIGHT(A3,2)+1,10),"yymm")</f>
        <v>IF1507</v>
      </c>
      <c r="B4" s="12">
        <f t="shared" ca="1" si="1"/>
        <v>42142</v>
      </c>
      <c r="C4" s="12">
        <f t="shared" ca="1" si="2"/>
        <v>42202</v>
      </c>
      <c r="AA4" s="7" t="str">
        <f t="shared" ca="1" si="0"/>
        <v/>
      </c>
    </row>
    <row r="5" spans="1:27" x14ac:dyDescent="0.15">
      <c r="A5" s="21" t="str">
        <f t="shared" ref="A5:A14" ca="1" si="3">"IF"&amp;TEXT(DATE("20"&amp;MID(A4,3,2),RIGHT(A4,2)+1,10),"yymm")</f>
        <v>IF1508</v>
      </c>
      <c r="B5" s="11">
        <f t="shared" ca="1" si="1"/>
        <v>42178</v>
      </c>
      <c r="C5" s="11">
        <f t="shared" ca="1" si="2"/>
        <v>42237</v>
      </c>
      <c r="AA5" s="7">
        <f t="shared" ca="1" si="0"/>
        <v>5</v>
      </c>
    </row>
    <row r="6" spans="1:27" x14ac:dyDescent="0.15">
      <c r="A6" s="22" t="str">
        <f t="shared" ca="1" si="3"/>
        <v>IF1509</v>
      </c>
      <c r="B6" s="12">
        <f t="shared" ca="1" si="1"/>
        <v>42023</v>
      </c>
      <c r="C6" s="12">
        <f t="shared" ca="1" si="2"/>
        <v>42265</v>
      </c>
      <c r="H6" s="35"/>
      <c r="AA6" s="7" t="str">
        <f t="shared" ca="1" si="0"/>
        <v/>
      </c>
    </row>
    <row r="7" spans="1:27" x14ac:dyDescent="0.15">
      <c r="A7" s="21" t="str">
        <f t="shared" ca="1" si="3"/>
        <v>IF1510</v>
      </c>
      <c r="B7" s="11">
        <f t="shared" ca="1" si="1"/>
        <v>42240</v>
      </c>
      <c r="C7" s="11">
        <f t="shared" ca="1" si="2"/>
        <v>42293</v>
      </c>
      <c r="H7" s="51" t="s">
        <v>60</v>
      </c>
      <c r="I7" s="53" t="s">
        <v>76</v>
      </c>
      <c r="J7" s="7" t="s">
        <v>61</v>
      </c>
      <c r="AA7" s="7" t="str">
        <f t="shared" ca="1" si="0"/>
        <v/>
      </c>
    </row>
    <row r="8" spans="1:27" x14ac:dyDescent="0.15">
      <c r="A8" s="22" t="str">
        <f t="shared" ca="1" si="3"/>
        <v>IF1511</v>
      </c>
      <c r="B8" s="12">
        <f t="shared" ca="1" si="1"/>
        <v>42268</v>
      </c>
      <c r="C8" s="12">
        <f t="shared" ca="1" si="2"/>
        <v>42328</v>
      </c>
      <c r="H8" s="52"/>
      <c r="I8" s="54"/>
      <c r="J8" s="7" t="s">
        <v>62</v>
      </c>
      <c r="AA8" s="7" t="str">
        <f t="shared" ca="1" si="0"/>
        <v/>
      </c>
    </row>
    <row r="9" spans="1:27" x14ac:dyDescent="0.15">
      <c r="A9" s="21" t="str">
        <f t="shared" ca="1" si="3"/>
        <v>IF1512</v>
      </c>
      <c r="B9" s="11">
        <f t="shared" ca="1" si="1"/>
        <v>42114</v>
      </c>
      <c r="C9" s="11">
        <f t="shared" ca="1" si="2"/>
        <v>42356</v>
      </c>
      <c r="J9" s="7" t="s">
        <v>63</v>
      </c>
      <c r="AA9" s="7" t="str">
        <f t="shared" ca="1" si="0"/>
        <v/>
      </c>
    </row>
    <row r="10" spans="1:27" x14ac:dyDescent="0.15">
      <c r="A10" s="22" t="str">
        <f t="shared" ca="1" si="3"/>
        <v>IF1601</v>
      </c>
      <c r="B10" s="12">
        <f t="shared" ca="1" si="1"/>
        <v>42331</v>
      </c>
      <c r="C10" s="12">
        <f t="shared" ca="1" si="2"/>
        <v>42384</v>
      </c>
      <c r="J10" s="36" t="s">
        <v>64</v>
      </c>
      <c r="AA10" s="7" t="str">
        <f t="shared" ca="1" si="0"/>
        <v/>
      </c>
    </row>
    <row r="11" spans="1:27" x14ac:dyDescent="0.15">
      <c r="A11" s="21" t="str">
        <f t="shared" ca="1" si="3"/>
        <v>IF1602</v>
      </c>
      <c r="B11" s="11">
        <f t="shared" ca="1" si="1"/>
        <v>42359</v>
      </c>
      <c r="C11" s="11">
        <f t="shared" ca="1" si="2"/>
        <v>42419</v>
      </c>
      <c r="AA11" s="7" t="str">
        <f t="shared" ca="1" si="0"/>
        <v/>
      </c>
    </row>
    <row r="12" spans="1:27" x14ac:dyDescent="0.15">
      <c r="A12" s="22" t="str">
        <f t="shared" ca="1" si="3"/>
        <v>IF1603</v>
      </c>
      <c r="B12" s="12">
        <f t="shared" ca="1" si="1"/>
        <v>42205</v>
      </c>
      <c r="C12" s="12">
        <f t="shared" ca="1" si="2"/>
        <v>42447</v>
      </c>
      <c r="AA12" s="7" t="str">
        <f t="shared" ca="1" si="0"/>
        <v/>
      </c>
    </row>
    <row r="13" spans="1:27" x14ac:dyDescent="0.15">
      <c r="A13" s="21" t="str">
        <f t="shared" ca="1" si="3"/>
        <v>IF1604</v>
      </c>
      <c r="B13" s="11">
        <f t="shared" ca="1" si="1"/>
        <v>42422</v>
      </c>
      <c r="C13" s="11">
        <f t="shared" ca="1" si="2"/>
        <v>42475</v>
      </c>
      <c r="AA13" s="7" t="str">
        <f t="shared" ca="1" si="0"/>
        <v/>
      </c>
    </row>
    <row r="14" spans="1:27" x14ac:dyDescent="0.15">
      <c r="A14" s="22" t="str">
        <f t="shared" ca="1" si="3"/>
        <v>IF1605</v>
      </c>
      <c r="B14" s="12">
        <f t="shared" ca="1" si="1"/>
        <v>42450</v>
      </c>
      <c r="C14" s="12">
        <f t="shared" ca="1" si="2"/>
        <v>42510</v>
      </c>
      <c r="AA14" s="7" t="str">
        <f t="shared" ca="1" si="0"/>
        <v/>
      </c>
    </row>
    <row r="15" spans="1:27" x14ac:dyDescent="0.15">
      <c r="A15" s="38"/>
      <c r="B15" s="15"/>
      <c r="C15" s="15"/>
      <c r="AA15" s="7" t="str">
        <f t="shared" ca="1" si="0"/>
        <v/>
      </c>
    </row>
    <row r="16" spans="1:27" x14ac:dyDescent="0.15">
      <c r="A16" s="38"/>
      <c r="B16" s="15"/>
      <c r="C16" s="15"/>
      <c r="AA16" s="7" t="str">
        <f t="shared" ca="1" si="0"/>
        <v/>
      </c>
    </row>
    <row r="17" spans="1:27" x14ac:dyDescent="0.15">
      <c r="A17" s="48" t="str">
        <f>"上证50股指期货IH"&amp;TEXT(上证50股指期货IH,"#%")</f>
        <v>上证50股指期货IH10%</v>
      </c>
      <c r="B17" s="49"/>
      <c r="C17" s="50"/>
      <c r="AA17" s="7" t="str">
        <f t="shared" ca="1" si="0"/>
        <v/>
      </c>
    </row>
    <row r="18" spans="1:27" ht="17.25" thickBot="1" x14ac:dyDescent="0.2">
      <c r="A18" s="20"/>
      <c r="B18" s="33" t="s">
        <v>46</v>
      </c>
      <c r="C18" s="33" t="s">
        <v>1</v>
      </c>
      <c r="AA18" s="7" t="str">
        <f t="shared" ca="1" si="0"/>
        <v/>
      </c>
    </row>
    <row r="19" spans="1:27" x14ac:dyDescent="0.15">
      <c r="A19" s="21" t="str">
        <f ca="1">"IH"&amp;IF(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="1504","1505",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)</f>
        <v>IH1506</v>
      </c>
      <c r="B19" s="11">
        <f t="shared" ref="B19:B30" ca="1" si="4">IF(OR(RIGHT(A19,4)="1505",RIGHT(A19,4)="1506",RIGHT(A19,4)="1509",RIGHT(A19,4)="1512"),DATE("2015","04","16"),WORKDAY(IF(NETWORKDAYS(DATE("20"&amp;MID(A19,3,2),RIGHT(A19,2)+IF(MOD(RIGHT(A19,2)*1,3)=0,-8,-2),1+(INT(WEEKDAY(DATE("20"&amp;MID(A19,3,2),RIGHT(A19,2)+IF(MOD(RIGHT(A19,2)*1,3)=0,-8,-2),1),2)/6)+2)*7+5-WEEKDAY(DATE("20"&amp;MID(A19,3,2),RIGHT(A19,2)+IF(MOD(RIGHT(A19,2)*1,3)=0,-8,-2),1),2)),DATE("20"&amp;MID(A19,3,2),RIGHT(A19,2)+IF(MOD(RIGHT(A19,2)*1,3)=0,-8,-2),1+(INT(WEEKDAY(DATE("20"&amp;MID(A19,3,2),RIGHT(A19,2)+IF(MOD(RIGHT(A19,2)*1,3)=0,-8,-2),1),2)/6)+2)*7+5-WEEKDAY(DATE("20"&amp;MID(A19,3,2),RIGHT(A19,2)+IF(MOD(RIGHT(A19,2)*1,3)=0,-8,-2),1),2)),Holiday)=0,WORKDAY(DATE("20"&amp;MID(A19,3,2),RIGHT(A19,2)+IF(MOD(RIGHT(A19,2)*1,3)=0,-8,-2),1+(INT(WEEKDAY(DATE("20"&amp;MID(A19,3,2),RIGHT(A19,2)+IF(MOD(RIGHT(A19,2)*1,3)=0,-8,-2),1),2)/6)+2)*7+5-WEEKDAY(DATE("20"&amp;MID(A19,3,2),RIGHT(A19,2)+IF(MOD(RIGHT(A19,2)*1,3)=0,-8,-2),1),2)),1,Holiday),DATE("20"&amp;MID(A19,3,2),RIGHT(A19,2)+IF(MOD(RIGHT(A19,2)*1,3)=0,-8,-2),1+(INT(WEEKDAY(DATE("20"&amp;MID(A19,3,2),RIGHT(A19,2)+IF(MOD(RIGHT(A19,2)*1,3)=0,-8,-2),1),2)/6)+2)*7+5-WEEKDAY(DATE("20"&amp;MID(A19,3,2),RIGHT(A19,2)+IF(MOD(RIGHT(A19,2)*1,3)=0,-8,-2),1),2))),1,Holiday))</f>
        <v>42110</v>
      </c>
      <c r="C19" s="11">
        <f t="shared" ref="C19:C30" ca="1" si="5">IF(NETWORKDAYS(DATE("20"&amp;MID(A19,3,2),RIGHT(A19,2),1+(INT(WEEKDAY(DATE("20"&amp;MID(A19,3,2),RIGHT(A19,2),1),2)/6)+2)*7+5-WEEKDAY(DATE("20"&amp;MID(A19,3,2),RIGHT(A19,2),1),2)),DATE("20"&amp;MID(A19,3,2),RIGHT(A19,2),1+(INT(WEEKDAY(DATE("20"&amp;MID(A19,3,2),RIGHT(A19,2),1),2)/6)+2)*7+5-WEEKDAY(DATE("20"&amp;MID(A19,3,2),RIGHT(A19,2),1),2)),Holiday)=0,WORKDAY(DATE("20"&amp;MID(A19,3,2),RIGHT(A19,2),1+(INT(WEEKDAY(DATE("20"&amp;MID(A19,3,2),RIGHT(A19,2),1),2)/6)+2)*7+5-WEEKDAY(DATE("20"&amp;MID(A19,3,2),RIGHT(A19,2),1),2)),1,Holiday),DATE("20"&amp;MID(A19,3,2),RIGHT(A19,2),1+(INT(WEEKDAY(DATE("20"&amp;MID(A19,3,2),RIGHT(A19,2),1),2)/6)+2)*7+5-WEEKDAY(DATE("20"&amp;MID(A19,3,2),RIGHT(A19,2),1),2)))</f>
        <v>42174</v>
      </c>
      <c r="AA19" s="7" t="str">
        <f t="shared" ca="1" si="0"/>
        <v/>
      </c>
    </row>
    <row r="20" spans="1:27" x14ac:dyDescent="0.15">
      <c r="A20" s="22" t="str">
        <f ca="1">"IH"&amp;TEXT(DATE("20"&amp;MID(A19,3,2),RIGHT(A19,2)+1,10),"yymm")</f>
        <v>IH1507</v>
      </c>
      <c r="B20" s="12">
        <f t="shared" ca="1" si="4"/>
        <v>42142</v>
      </c>
      <c r="C20" s="12">
        <f t="shared" ca="1" si="5"/>
        <v>42202</v>
      </c>
      <c r="AA20" s="7" t="str">
        <f t="shared" ca="1" si="0"/>
        <v/>
      </c>
    </row>
    <row r="21" spans="1:27" x14ac:dyDescent="0.15">
      <c r="A21" s="21" t="str">
        <f t="shared" ref="A21:A30" ca="1" si="6">"IH"&amp;TEXT(DATE("20"&amp;MID(A20,3,2),RIGHT(A20,2)+1,10),"yymm")</f>
        <v>IH1508</v>
      </c>
      <c r="B21" s="11">
        <f t="shared" ca="1" si="4"/>
        <v>42178</v>
      </c>
      <c r="C21" s="11">
        <f t="shared" ca="1" si="5"/>
        <v>42237</v>
      </c>
      <c r="AA21" s="7">
        <f t="shared" ca="1" si="0"/>
        <v>21</v>
      </c>
    </row>
    <row r="22" spans="1:27" x14ac:dyDescent="0.15">
      <c r="A22" s="22" t="str">
        <f t="shared" ca="1" si="6"/>
        <v>IH1509</v>
      </c>
      <c r="B22" s="12">
        <f t="shared" ca="1" si="4"/>
        <v>42110</v>
      </c>
      <c r="C22" s="12">
        <f t="shared" ca="1" si="5"/>
        <v>42265</v>
      </c>
      <c r="AA22" s="7" t="str">
        <f t="shared" ca="1" si="0"/>
        <v/>
      </c>
    </row>
    <row r="23" spans="1:27" x14ac:dyDescent="0.15">
      <c r="A23" s="21" t="str">
        <f t="shared" ca="1" si="6"/>
        <v>IH1510</v>
      </c>
      <c r="B23" s="11">
        <f t="shared" ca="1" si="4"/>
        <v>42240</v>
      </c>
      <c r="C23" s="11">
        <f t="shared" ca="1" si="5"/>
        <v>42293</v>
      </c>
      <c r="AA23" s="7" t="str">
        <f t="shared" ca="1" si="0"/>
        <v/>
      </c>
    </row>
    <row r="24" spans="1:27" x14ac:dyDescent="0.15">
      <c r="A24" s="22" t="str">
        <f t="shared" ca="1" si="6"/>
        <v>IH1511</v>
      </c>
      <c r="B24" s="12">
        <f t="shared" ca="1" si="4"/>
        <v>42268</v>
      </c>
      <c r="C24" s="12">
        <f t="shared" ca="1" si="5"/>
        <v>42328</v>
      </c>
      <c r="AA24" s="7" t="str">
        <f t="shared" ca="1" si="0"/>
        <v/>
      </c>
    </row>
    <row r="25" spans="1:27" x14ac:dyDescent="0.15">
      <c r="A25" s="21" t="str">
        <f t="shared" ca="1" si="6"/>
        <v>IH1512</v>
      </c>
      <c r="B25" s="11">
        <f t="shared" ca="1" si="4"/>
        <v>42110</v>
      </c>
      <c r="C25" s="11">
        <f t="shared" ca="1" si="5"/>
        <v>42356</v>
      </c>
      <c r="AA25" s="7" t="str">
        <f t="shared" ca="1" si="0"/>
        <v/>
      </c>
    </row>
    <row r="26" spans="1:27" x14ac:dyDescent="0.15">
      <c r="A26" s="22" t="str">
        <f t="shared" ca="1" si="6"/>
        <v>IH1601</v>
      </c>
      <c r="B26" s="12">
        <f t="shared" ca="1" si="4"/>
        <v>42331</v>
      </c>
      <c r="C26" s="12">
        <f t="shared" ca="1" si="5"/>
        <v>42384</v>
      </c>
      <c r="AA26" s="7" t="str">
        <f t="shared" ca="1" si="0"/>
        <v/>
      </c>
    </row>
    <row r="27" spans="1:27" x14ac:dyDescent="0.15">
      <c r="A27" s="21" t="str">
        <f t="shared" ca="1" si="6"/>
        <v>IH1602</v>
      </c>
      <c r="B27" s="11">
        <f t="shared" ca="1" si="4"/>
        <v>42359</v>
      </c>
      <c r="C27" s="11">
        <f t="shared" ca="1" si="5"/>
        <v>42419</v>
      </c>
      <c r="AA27" s="7" t="str">
        <f t="shared" ca="1" si="0"/>
        <v/>
      </c>
    </row>
    <row r="28" spans="1:27" x14ac:dyDescent="0.15">
      <c r="A28" s="22" t="str">
        <f t="shared" ca="1" si="6"/>
        <v>IH1603</v>
      </c>
      <c r="B28" s="12">
        <f t="shared" ca="1" si="4"/>
        <v>42205</v>
      </c>
      <c r="C28" s="12">
        <f t="shared" ca="1" si="5"/>
        <v>42447</v>
      </c>
      <c r="AA28" s="7" t="str">
        <f t="shared" ca="1" si="0"/>
        <v/>
      </c>
    </row>
    <row r="29" spans="1:27" x14ac:dyDescent="0.15">
      <c r="A29" s="21" t="str">
        <f t="shared" ca="1" si="6"/>
        <v>IH1604</v>
      </c>
      <c r="B29" s="11">
        <f t="shared" ca="1" si="4"/>
        <v>42422</v>
      </c>
      <c r="C29" s="11">
        <f t="shared" ca="1" si="5"/>
        <v>42475</v>
      </c>
      <c r="AA29" s="7" t="str">
        <f t="shared" ca="1" si="0"/>
        <v/>
      </c>
    </row>
    <row r="30" spans="1:27" x14ac:dyDescent="0.15">
      <c r="A30" s="22" t="str">
        <f t="shared" ca="1" si="6"/>
        <v>IH1605</v>
      </c>
      <c r="B30" s="12">
        <f t="shared" ca="1" si="4"/>
        <v>42450</v>
      </c>
      <c r="C30" s="12">
        <f t="shared" ca="1" si="5"/>
        <v>42510</v>
      </c>
      <c r="AA30" s="7" t="str">
        <f t="shared" ca="1" si="0"/>
        <v/>
      </c>
    </row>
    <row r="31" spans="1:27" x14ac:dyDescent="0.15">
      <c r="A31" s="38"/>
      <c r="B31" s="15"/>
      <c r="C31" s="15"/>
      <c r="AA31" s="7" t="str">
        <f t="shared" ca="1" si="0"/>
        <v/>
      </c>
    </row>
    <row r="32" spans="1:27" x14ac:dyDescent="0.15">
      <c r="A32" s="38"/>
      <c r="B32" s="15"/>
      <c r="C32" s="15"/>
      <c r="AA32" s="7" t="str">
        <f t="shared" ca="1" si="0"/>
        <v/>
      </c>
    </row>
    <row r="33" spans="1:27" x14ac:dyDescent="0.15">
      <c r="A33" s="48" t="str">
        <f>"中证500股指期货IC"&amp;TEXT(中证500股指期货IC,"#%")</f>
        <v>中证500股指期货IC10%</v>
      </c>
      <c r="B33" s="49"/>
      <c r="C33" s="50"/>
      <c r="AA33" s="7" t="str">
        <f t="shared" ca="1" si="0"/>
        <v/>
      </c>
    </row>
    <row r="34" spans="1:27" ht="17.25" thickBot="1" x14ac:dyDescent="0.2">
      <c r="A34" s="20"/>
      <c r="B34" s="33" t="s">
        <v>46</v>
      </c>
      <c r="C34" s="33" t="s">
        <v>1</v>
      </c>
      <c r="AA34" s="7" t="str">
        <f t="shared" ca="1" si="0"/>
        <v/>
      </c>
    </row>
    <row r="35" spans="1:27" x14ac:dyDescent="0.15">
      <c r="A35" s="21" t="str">
        <f ca="1">"IC"&amp;IF(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="1504","1505",IF(TODAY()&gt;IF(WEEKDAY(DATE(YEAR(TODAY()),MONTH(TODAY()),1),2)&lt;=5,WORKDAY(DATE(YEAR(TODAY()),MONTH(TODAY()),14+(5-WEEKDAY(DATE(YEAR(TODAY()),MONTH(TODAY()),1),2))),1,Holiday),WORKDAY(DATE(YEAR(TODAY()),MONTH(TODAY()),26-WEEKDAY(DATE(YEAR(TODAY()),MONTH(TODAY()),1),2)),1,Holiday)),TEXT(DATE(YEAR(TODAY()),MONTH(TODAY())+1,1),"yymm"),TEXT(DATE(YEAR(TODAY()),MONTH(TODAY()),1),"yymm")))</f>
        <v>IC1506</v>
      </c>
      <c r="B35" s="11">
        <f t="shared" ref="B35:B46" ca="1" si="7">IF(OR(RIGHT(A19,4)="1505",RIGHT(A19,4)="1506",RIGHT(A19,4)="1509",RIGHT(A19,4)="1512"),DATE("2015","04","16"),WORKDAY(IF(NETWORKDAYS(DATE("20"&amp;MID(A35,3,2),RIGHT(A35,2)+IF(MOD(RIGHT(A35,2)*1,3)=0,-8,-2),1+(INT(WEEKDAY(DATE("20"&amp;MID(A35,3,2),RIGHT(A35,2)+IF(MOD(RIGHT(A35,2)*1,3)=0,-8,-2),1),2)/6)+2)*7+5-WEEKDAY(DATE("20"&amp;MID(A35,3,2),RIGHT(A35,2)+IF(MOD(RIGHT(A35,2)*1,3)=0,-8,-2),1),2)),DATE("20"&amp;MID(A35,3,2),RIGHT(A35,2)+IF(MOD(RIGHT(A35,2)*1,3)=0,-8,-2),1+(INT(WEEKDAY(DATE("20"&amp;MID(A35,3,2),RIGHT(A35,2)+IF(MOD(RIGHT(A35,2)*1,3)=0,-8,-2),1),2)/6)+2)*7+5-WEEKDAY(DATE("20"&amp;MID(A35,3,2),RIGHT(A35,2)+IF(MOD(RIGHT(A35,2)*1,3)=0,-8,-2),1),2)),Holiday)=0,WORKDAY(DATE("20"&amp;MID(A35,3,2),RIGHT(A35,2)+IF(MOD(RIGHT(A35,2)*1,3)=0,-8,-2),1+(INT(WEEKDAY(DATE("20"&amp;MID(A35,3,2),RIGHT(A35,2)+IF(MOD(RIGHT(A35,2)*1,3)=0,-8,-2),1),2)/6)+2)*7+5-WEEKDAY(DATE("20"&amp;MID(A35,3,2),RIGHT(A35,2)+IF(MOD(RIGHT(A35,2)*1,3)=0,-8,-2),1),2)),1,Holiday),DATE("20"&amp;MID(A35,3,2),RIGHT(A35,2)+IF(MOD(RIGHT(A35,2)*1,3)=0,-8,-2),1+(INT(WEEKDAY(DATE("20"&amp;MID(A35,3,2),RIGHT(A35,2)+IF(MOD(RIGHT(A35,2)*1,3)=0,-8,-2),1),2)/6)+2)*7+5-WEEKDAY(DATE("20"&amp;MID(A35,3,2),RIGHT(A35,2)+IF(MOD(RIGHT(A35,2)*1,3)=0,-8,-2),1),2))),1,Holiday))</f>
        <v>42110</v>
      </c>
      <c r="C35" s="11">
        <f t="shared" ref="C35:C46" ca="1" si="8">IF(NETWORKDAYS(DATE("20"&amp;MID(A35,3,2),RIGHT(A35,2),1+(INT(WEEKDAY(DATE("20"&amp;MID(A35,3,2),RIGHT(A35,2),1),2)/6)+2)*7+5-WEEKDAY(DATE("20"&amp;MID(A35,3,2),RIGHT(A35,2),1),2)),DATE("20"&amp;MID(A35,3,2),RIGHT(A35,2),1+(INT(WEEKDAY(DATE("20"&amp;MID(A35,3,2),RIGHT(A35,2),1),2)/6)+2)*7+5-WEEKDAY(DATE("20"&amp;MID(A35,3,2),RIGHT(A35,2),1),2)),Holiday)=0,WORKDAY(DATE("20"&amp;MID(A35,3,2),RIGHT(A35,2),1+(INT(WEEKDAY(DATE("20"&amp;MID(A35,3,2),RIGHT(A35,2),1),2)/6)+2)*7+5-WEEKDAY(DATE("20"&amp;MID(A35,3,2),RIGHT(A35,2),1),2)),1,Holiday),DATE("20"&amp;MID(A35,3,2),RIGHT(A35,2),1+(INT(WEEKDAY(DATE("20"&amp;MID(A35,3,2),RIGHT(A35,2),1),2)/6)+2)*7+5-WEEKDAY(DATE("20"&amp;MID(A35,3,2),RIGHT(A35,2),1),2)))</f>
        <v>42174</v>
      </c>
      <c r="AA35" s="7" t="str">
        <f t="shared" ca="1" si="0"/>
        <v/>
      </c>
    </row>
    <row r="36" spans="1:27" x14ac:dyDescent="0.15">
      <c r="A36" s="22" t="str">
        <f ca="1">"IC"&amp;TEXT(DATE("20"&amp;MID(A35,3,2),RIGHT(A35,2)+1,10),"yymm")</f>
        <v>IC1507</v>
      </c>
      <c r="B36" s="12">
        <f t="shared" ca="1" si="7"/>
        <v>42142</v>
      </c>
      <c r="C36" s="12">
        <f t="shared" ca="1" si="8"/>
        <v>42202</v>
      </c>
      <c r="AA36" s="7" t="str">
        <f t="shared" ca="1" si="0"/>
        <v/>
      </c>
    </row>
    <row r="37" spans="1:27" x14ac:dyDescent="0.15">
      <c r="A37" s="21" t="str">
        <f t="shared" ref="A37:A46" ca="1" si="9">"IC"&amp;TEXT(DATE("20"&amp;MID(A36,3,2),RIGHT(A36,2)+1,10),"yymm")</f>
        <v>IC1508</v>
      </c>
      <c r="B37" s="11">
        <f t="shared" ca="1" si="7"/>
        <v>42178</v>
      </c>
      <c r="C37" s="11">
        <f t="shared" ca="1" si="8"/>
        <v>42237</v>
      </c>
      <c r="AA37" s="7">
        <f t="shared" ca="1" si="0"/>
        <v>37</v>
      </c>
    </row>
    <row r="38" spans="1:27" x14ac:dyDescent="0.15">
      <c r="A38" s="22" t="str">
        <f t="shared" ca="1" si="9"/>
        <v>IC1509</v>
      </c>
      <c r="B38" s="12">
        <f t="shared" ca="1" si="7"/>
        <v>42110</v>
      </c>
      <c r="C38" s="12">
        <f t="shared" ca="1" si="8"/>
        <v>42265</v>
      </c>
      <c r="AA38" s="7" t="str">
        <f t="shared" ca="1" si="0"/>
        <v/>
      </c>
    </row>
    <row r="39" spans="1:27" x14ac:dyDescent="0.15">
      <c r="A39" s="21" t="str">
        <f t="shared" ca="1" si="9"/>
        <v>IC1510</v>
      </c>
      <c r="B39" s="11">
        <f t="shared" ca="1" si="7"/>
        <v>42240</v>
      </c>
      <c r="C39" s="11">
        <f t="shared" ca="1" si="8"/>
        <v>42293</v>
      </c>
      <c r="AA39" s="7" t="str">
        <f t="shared" ca="1" si="0"/>
        <v/>
      </c>
    </row>
    <row r="40" spans="1:27" x14ac:dyDescent="0.15">
      <c r="A40" s="22" t="str">
        <f t="shared" ca="1" si="9"/>
        <v>IC1511</v>
      </c>
      <c r="B40" s="12">
        <f t="shared" ca="1" si="7"/>
        <v>42268</v>
      </c>
      <c r="C40" s="12">
        <f t="shared" ca="1" si="8"/>
        <v>42328</v>
      </c>
      <c r="AA40" s="7" t="str">
        <f t="shared" ca="1" si="0"/>
        <v/>
      </c>
    </row>
    <row r="41" spans="1:27" x14ac:dyDescent="0.15">
      <c r="A41" s="21" t="str">
        <f t="shared" ca="1" si="9"/>
        <v>IC1512</v>
      </c>
      <c r="B41" s="11">
        <f t="shared" ca="1" si="7"/>
        <v>42110</v>
      </c>
      <c r="C41" s="11">
        <f t="shared" ca="1" si="8"/>
        <v>42356</v>
      </c>
      <c r="AA41" s="7" t="str">
        <f t="shared" ca="1" si="0"/>
        <v/>
      </c>
    </row>
    <row r="42" spans="1:27" x14ac:dyDescent="0.15">
      <c r="A42" s="22" t="str">
        <f t="shared" ca="1" si="9"/>
        <v>IC1601</v>
      </c>
      <c r="B42" s="12">
        <f t="shared" ca="1" si="7"/>
        <v>42331</v>
      </c>
      <c r="C42" s="12">
        <f t="shared" ca="1" si="8"/>
        <v>42384</v>
      </c>
      <c r="AA42" s="7" t="str">
        <f t="shared" ca="1" si="0"/>
        <v/>
      </c>
    </row>
    <row r="43" spans="1:27" x14ac:dyDescent="0.15">
      <c r="A43" s="21" t="str">
        <f t="shared" ca="1" si="9"/>
        <v>IC1602</v>
      </c>
      <c r="B43" s="11">
        <f t="shared" ca="1" si="7"/>
        <v>42359</v>
      </c>
      <c r="C43" s="11">
        <f t="shared" ca="1" si="8"/>
        <v>42419</v>
      </c>
      <c r="AA43" s="7" t="str">
        <f t="shared" ca="1" si="0"/>
        <v/>
      </c>
    </row>
    <row r="44" spans="1:27" x14ac:dyDescent="0.15">
      <c r="A44" s="22" t="str">
        <f t="shared" ca="1" si="9"/>
        <v>IC1603</v>
      </c>
      <c r="B44" s="12">
        <f t="shared" ca="1" si="7"/>
        <v>42205</v>
      </c>
      <c r="C44" s="12">
        <f t="shared" ca="1" si="8"/>
        <v>42447</v>
      </c>
      <c r="AA44" s="7" t="str">
        <f t="shared" ca="1" si="0"/>
        <v/>
      </c>
    </row>
    <row r="45" spans="1:27" x14ac:dyDescent="0.15">
      <c r="A45" s="21" t="str">
        <f t="shared" ca="1" si="9"/>
        <v>IC1604</v>
      </c>
      <c r="B45" s="11">
        <f t="shared" ca="1" si="7"/>
        <v>42422</v>
      </c>
      <c r="C45" s="11">
        <f t="shared" ca="1" si="8"/>
        <v>42475</v>
      </c>
      <c r="AA45" s="7" t="str">
        <f t="shared" ca="1" si="0"/>
        <v/>
      </c>
    </row>
    <row r="46" spans="1:27" x14ac:dyDescent="0.15">
      <c r="A46" s="22" t="str">
        <f t="shared" ca="1" si="9"/>
        <v>IC1605</v>
      </c>
      <c r="B46" s="12">
        <f t="shared" ca="1" si="7"/>
        <v>42450</v>
      </c>
      <c r="C46" s="12">
        <f t="shared" ca="1" si="8"/>
        <v>42510</v>
      </c>
      <c r="AA46" s="7" t="str">
        <f t="shared" ca="1" si="0"/>
        <v/>
      </c>
    </row>
    <row r="47" spans="1:27" x14ac:dyDescent="0.15">
      <c r="A47" s="23"/>
      <c r="B47" s="15"/>
      <c r="C47" s="15"/>
      <c r="AA47" s="7" t="str">
        <f t="shared" ca="1" si="0"/>
        <v/>
      </c>
    </row>
    <row r="48" spans="1:27" x14ac:dyDescent="0.15">
      <c r="AA48" s="7" t="str">
        <f t="shared" ca="1" si="0"/>
        <v/>
      </c>
    </row>
    <row r="49" spans="1:27" x14ac:dyDescent="0.15">
      <c r="A49" s="48" t="str">
        <f>"5年期国债TF"&amp;TEXT(国债TF,"#.0%")&amp;"/TF1509及之前合约1.5%"</f>
        <v>5年期国债TF1.2%/TF1509及之前合约1.5%</v>
      </c>
      <c r="B49" s="49"/>
      <c r="C49" s="49"/>
      <c r="D49" s="49"/>
      <c r="E49" s="49"/>
      <c r="F49" s="50"/>
      <c r="AA49" s="7" t="str">
        <f t="shared" ca="1" si="0"/>
        <v/>
      </c>
    </row>
    <row r="50" spans="1:27" ht="17.25" thickBot="1" x14ac:dyDescent="0.2">
      <c r="A50" s="34"/>
      <c r="B50" s="34" t="s">
        <v>58</v>
      </c>
      <c r="C50" s="34" t="s">
        <v>59</v>
      </c>
      <c r="D50" s="46" t="str">
        <f>TEXT(MAX(1.5%,国债TF),"0.0%")&amp;"/TF1509及之前合约2%"</f>
        <v>1.5%/TF1509及之前合约2%</v>
      </c>
      <c r="E50" s="46" t="str">
        <f>TEXT(2%,"0.0%")&amp;"/TF1509及之前合约3%"</f>
        <v>2.0%/TF1509及之前合约3%</v>
      </c>
      <c r="F50" s="20" t="s">
        <v>73</v>
      </c>
      <c r="AA50" s="7" t="str">
        <f t="shared" ca="1" si="0"/>
        <v/>
      </c>
    </row>
    <row r="51" spans="1:27" x14ac:dyDescent="0.15">
      <c r="A51" s="21" t="str">
        <f ca="1">"TF"&amp;TEXT(IF(TODAY()&lt;DATE(2013,9,14),DATE(2013,12,1),IF(TODAY()&gt;IF(NETWORKDAYS(DATE(YEAR(TODAY()),CEILING(MONTH(TODAY()),3),CEILING(WEEKDAY(DATE(YEAR(TODAY()),CEILING(MONTH(TODAY()),3),1),2)/5,1)*7+(6-WEEKDAY(DATE(YEAR(TODAY()),CEILING(MONTH(TODAY()),3),1),2))),DATE(YEAR(TODAY()),CEILING(MONTH(TODAY()),3),CEILING(WEEKDAY(DATE(YEAR(TODAY()),CEILING(MONTH(TODAY()),3),1),2)/5,1)*7+(6-WEEKDAY(DATE(YEAR(TODAY()),CEILING(MONTH(TODAY()),3),1),2))),Holiday)=1,DATE(YEAR(TODAY()),CEILING(MONTH(TODAY()),3),CEILING(WEEKDAY(DATE(YEAR(TODAY()),CEILING(MONTH(TODAY()),3),1),2)/5,1)*7+(6-WEEKDAY(DATE(YEAR(TODAY()),CEILING(MONTH(TODAY()),3),1),2))),WORKDAY(DATE(YEAR(TODAY()),CEILING(MONTH(TODAY()),3),CEILING(WEEKDAY(DATE(YEAR(TODAY()),CEILING(MONTH(TODAY()),3),1),2)/5,1)*7+(6-WEEKDAY(DATE(YEAR(TODAY()),CEILING(MONTH(TODAY()),3),1),2))),1,Holiday)),IF(NETWORKDAYS(DATE(YEAR(TODAY()),CEILING(MONTH(TODAY()),3)+3,1),DATE(YEAR(TODAY()),CEILING(MONTH(TODAY()),3)+3,1),Holiday)=1,DATE(YEAR(TODAY()),CEILING(MONTH(TODAY()),3)+3,1),WORKDAY(DATE(YEAR(TODAY()),CEILING(MONTH(TODAY()),3)+3,1),1,Holiday)),IF(NETWORKDAYS(DATE(YEAR(TODAY()),CEILING(MONTH(TODAY()),3),1),DATE(YEAR(TODAY()),CEILING(MONTH(TODAY()),3),1),Holiday)=1,DATE(YEAR(TODAY()),CEILING(MONTH(TODAY()),3),1),WORKDAY(DATE(YEAR(TODAY()),CEILING(MONTH(TODAY()),3),1),1,Holiday)))),"yymm")</f>
        <v>TF1509</v>
      </c>
      <c r="B51" s="11">
        <f ca="1">IF(OR(RIGHT(A51,4)*1=1312,RIGHT(A51,4)*1=1403,RIGHT(A51,4)*1=1406),DATE(2013,9,6),WORKDAY(IF(NETWORKDAYS(DATE("20"&amp;MID(A51,3,2),RIGHT(A51,2)-9,CEILING(WEEKDAY(DATE("20"&amp;MID(A51,3,2),RIGHT(A51,2)-9,1),2)/5,1)*7+(6-WEEKDAY(DATE("20"&amp;MID(A51,3,2),RIGHT(A51,2)-9,1),2))),DATE("20"&amp;MID(A51,3,2),RIGHT(A51,2)-9,CEILING(WEEKDAY(DATE("20"&amp;MID(A51,3,2),RIGHT(A51,2)-9,1),2)/5,1)*7+(6-WEEKDAY(DATE("20"&amp;MID(A51,3,2),RIGHT(A51,2)-9,1),2))),Holiday)=1,DATE("20"&amp;MID(A51,3,2),RIGHT(A51,2)-9,CEILING(WEEKDAY(DATE("20"&amp;MID(A51,3,2),RIGHT(A51,2)-9,1),2)/5,1)*7+(6-WEEKDAY(DATE("20"&amp;MID(A51,3,2),RIGHT(A51,2)-9,1),2))),WORKDAY(DATE("20"&amp;MID(A51,3,2),RIGHT(A51,2)-9,CEILING(WEEKDAY(DATE("20"&amp;MID(A51,3,2),RIGHT(A51,2)-9,1),2)/5,1)*7+(6-WEEKDAY(DATE("20"&amp;MID(A51,3,2),RIGHT(A51,2)-9,1),2))),1,Holiday)),1,Holiday))</f>
        <v>41988</v>
      </c>
      <c r="C51" s="11">
        <f ca="1">IF(NETWORKDAYS(DATE("20"&amp;MID(A51,3,2),RIGHT(A51,2),CEILING(WEEKDAY(DATE("20"&amp;MID(A51,3,2),RIGHT(A51,2),1),2)/5,1)*7+(6-WEEKDAY(DATE("20"&amp;MID(A51,3,2),RIGHT(A51,2),1),2))),DATE("20"&amp;MID(A51,3,2),RIGHT(A51,2),CEILING(WEEKDAY(DATE("20"&amp;MID(A51,3,2),RIGHT(A51,2),1),2)/5,1)*7+(6-WEEKDAY(DATE("20"&amp;MID(A51,3,2),RIGHT(A51,2),1),2))),Holiday)=1,DATE("20"&amp;MID(A51,3,2),RIGHT(A51,2),CEILING(WEEKDAY(DATE("20"&amp;MID(A51,3,2),RIGHT(A51,2),1),2)/5,1)*7+(6-WEEKDAY(DATE("20"&amp;MID(A51,3,2),RIGHT(A51,2),1),2))),WORKDAY(DATE("20"&amp;MID(A51,3,2),RIGHT(A51,2),CEILING(WEEKDAY(DATE("20"&amp;MID(A51,3,2),RIGHT(A51,2),1),2)/5,1)*7+(6-WEEKDAY(DATE("20"&amp;MID(A51,3,2),RIGHT(A51,2),1),2))),1,Holiday))</f>
        <v>42258</v>
      </c>
      <c r="D51" s="11">
        <f ca="1">IF(CTP=1,中国金融期货交易所!D51+1,WORKDAY(中国金融期货交易所!D51,1-全局参数,Holiday))</f>
        <v>42236</v>
      </c>
      <c r="E51" s="11">
        <f ca="1">IF(CTP=1,中国金融期货交易所!E51+1,WORKDAY(中国金融期货交易所!E51,1-全局参数,Holiday))</f>
        <v>42247</v>
      </c>
      <c r="F51" s="11">
        <f ca="1">WORKDAY(DATE(YEAR(C51),MONTH(C51),1),-1,Holiday)</f>
        <v>42247</v>
      </c>
      <c r="AA51" s="7" t="str">
        <f t="shared" ca="1" si="0"/>
        <v/>
      </c>
    </row>
    <row r="52" spans="1:27" x14ac:dyDescent="0.15">
      <c r="A52" s="22" t="str">
        <f ca="1">"TF"&amp;TEXT(DATE("20"&amp;MID(A51,3,2),RIGHT(A51,2)+3,10),"yymm")</f>
        <v>TF1512</v>
      </c>
      <c r="B52" s="12">
        <f ca="1">IF(OR(RIGHT(A52,4)*1=1312,RIGHT(A52,4)*1=1403,RIGHT(A52,4)*1=1406),DATE(2013,9,6),WORKDAY(IF(NETWORKDAYS(DATE("20"&amp;MID(A52,3,2),RIGHT(A52,2)-9,CEILING(WEEKDAY(DATE("20"&amp;MID(A52,3,2),RIGHT(A52,2)-9,1),2)/5,1)*7+(6-WEEKDAY(DATE("20"&amp;MID(A52,3,2),RIGHT(A52,2)-9,1),2))),DATE("20"&amp;MID(A52,3,2),RIGHT(A52,2)-9,CEILING(WEEKDAY(DATE("20"&amp;MID(A52,3,2),RIGHT(A52,2)-9,1),2)/5,1)*7+(6-WEEKDAY(DATE("20"&amp;MID(A52,3,2),RIGHT(A52,2)-9,1),2))),Holiday)=1,DATE("20"&amp;MID(A52,3,2),RIGHT(A52,2)-9,CEILING(WEEKDAY(DATE("20"&amp;MID(A52,3,2),RIGHT(A52,2)-9,1),2)/5,1)*7+(6-WEEKDAY(DATE("20"&amp;MID(A52,3,2),RIGHT(A52,2)-9,1),2))),WORKDAY(DATE("20"&amp;MID(A52,3,2),RIGHT(A52,2)-9,CEILING(WEEKDAY(DATE("20"&amp;MID(A52,3,2),RIGHT(A52,2)-9,1),2)/5,1)*7+(6-WEEKDAY(DATE("20"&amp;MID(A52,3,2),RIGHT(A52,2)-9,1),2))),1,Holiday)),1,Holiday))</f>
        <v>42079</v>
      </c>
      <c r="C52" s="12">
        <f ca="1">IF(NETWORKDAYS(DATE("20"&amp;MID(A52,3,2),RIGHT(A52,2),CEILING(WEEKDAY(DATE("20"&amp;MID(A52,3,2),RIGHT(A52,2),1),2)/5,1)*7+(6-WEEKDAY(DATE("20"&amp;MID(A52,3,2),RIGHT(A52,2),1),2))),DATE("20"&amp;MID(A52,3,2),RIGHT(A52,2),CEILING(WEEKDAY(DATE("20"&amp;MID(A52,3,2),RIGHT(A52,2),1),2)/5,1)*7+(6-WEEKDAY(DATE("20"&amp;MID(A52,3,2),RIGHT(A52,2),1),2))),Holiday)=1,DATE("20"&amp;MID(A52,3,2),RIGHT(A52,2),CEILING(WEEKDAY(DATE("20"&amp;MID(A52,3,2),RIGHT(A52,2),1),2)/5,1)*7+(6-WEEKDAY(DATE("20"&amp;MID(A52,3,2),RIGHT(A52,2),1),2))),WORKDAY(DATE("20"&amp;MID(A52,3,2),RIGHT(A52,2),CEILING(WEEKDAY(DATE("20"&amp;MID(A52,3,2),RIGHT(A52,2),1),2)/5,1)*7+(6-WEEKDAY(DATE("20"&amp;MID(A52,3,2),RIGHT(A52,2),1),2))),1,Holiday))</f>
        <v>42349</v>
      </c>
      <c r="D52" s="12">
        <f ca="1">IF(CTP=1,中国金融期货交易所!D52+1,WORKDAY(中国金融期货交易所!D52,1-全局参数,Holiday))</f>
        <v>42328</v>
      </c>
      <c r="E52" s="12">
        <f ca="1">IF(CTP=1,中国金融期货交易所!E52+1,WORKDAY(中国金融期货交易所!E52,1-全局参数,Holiday))</f>
        <v>42338</v>
      </c>
      <c r="F52" s="12">
        <f ca="1">WORKDAY(DATE(YEAR(C52),MONTH(C52),1),-1,Holiday)</f>
        <v>42338</v>
      </c>
      <c r="AA52" s="7" t="str">
        <f t="shared" ca="1" si="0"/>
        <v/>
      </c>
    </row>
    <row r="53" spans="1:27" x14ac:dyDescent="0.15">
      <c r="A53" s="21" t="str">
        <f t="shared" ref="A53:A55" ca="1" si="10">"TF"&amp;TEXT(DATE("20"&amp;MID(A52,3,2),RIGHT(A52,2)+3,10),"yymm")</f>
        <v>TF1603</v>
      </c>
      <c r="B53" s="11">
        <f ca="1">IF(OR(RIGHT(A53,4)*1=1312,RIGHT(A53,4)*1=1403,RIGHT(A53,4)*1=1406),DATE(2013,9,6),WORKDAY(IF(NETWORKDAYS(DATE("20"&amp;MID(A53,3,2),RIGHT(A53,2)-9,CEILING(WEEKDAY(DATE("20"&amp;MID(A53,3,2),RIGHT(A53,2)-9,1),2)/5,1)*7+(6-WEEKDAY(DATE("20"&amp;MID(A53,3,2),RIGHT(A53,2)-9,1),2))),DATE("20"&amp;MID(A53,3,2),RIGHT(A53,2)-9,CEILING(WEEKDAY(DATE("20"&amp;MID(A53,3,2),RIGHT(A53,2)-9,1),2)/5,1)*7+(6-WEEKDAY(DATE("20"&amp;MID(A53,3,2),RIGHT(A53,2)-9,1),2))),Holiday)=1,DATE("20"&amp;MID(A53,3,2),RIGHT(A53,2)-9,CEILING(WEEKDAY(DATE("20"&amp;MID(A53,3,2),RIGHT(A53,2)-9,1),2)/5,1)*7+(6-WEEKDAY(DATE("20"&amp;MID(A53,3,2),RIGHT(A53,2)-9,1),2))),WORKDAY(DATE("20"&amp;MID(A53,3,2),RIGHT(A53,2)-9,CEILING(WEEKDAY(DATE("20"&amp;MID(A53,3,2),RIGHT(A53,2)-9,1),2)/5,1)*7+(6-WEEKDAY(DATE("20"&amp;MID(A53,3,2),RIGHT(A53,2)-9,1),2))),1,Holiday)),1,Holiday))</f>
        <v>42170</v>
      </c>
      <c r="C53" s="11">
        <f ca="1">IF(NETWORKDAYS(DATE("20"&amp;MID(A53,3,2),RIGHT(A53,2),CEILING(WEEKDAY(DATE("20"&amp;MID(A53,3,2),RIGHT(A53,2),1),2)/5,1)*7+(6-WEEKDAY(DATE("20"&amp;MID(A53,3,2),RIGHT(A53,2),1),2))),DATE("20"&amp;MID(A53,3,2),RIGHT(A53,2),CEILING(WEEKDAY(DATE("20"&amp;MID(A53,3,2),RIGHT(A53,2),1),2)/5,1)*7+(6-WEEKDAY(DATE("20"&amp;MID(A53,3,2),RIGHT(A53,2),1),2))),Holiday)=1,DATE("20"&amp;MID(A53,3,2),RIGHT(A53,2),CEILING(WEEKDAY(DATE("20"&amp;MID(A53,3,2),RIGHT(A53,2),1),2)/5,1)*7+(6-WEEKDAY(DATE("20"&amp;MID(A53,3,2),RIGHT(A53,2),1),2))),WORKDAY(DATE("20"&amp;MID(A53,3,2),RIGHT(A53,2),CEILING(WEEKDAY(DATE("20"&amp;MID(A53,3,2),RIGHT(A53,2),1),2)/5,1)*7+(6-WEEKDAY(DATE("20"&amp;MID(A53,3,2),RIGHT(A53,2),1),2))),1,Holiday))</f>
        <v>42440</v>
      </c>
      <c r="D53" s="11">
        <f ca="1">IF(CTP=1,中国金融期货交易所!D53+1,WORKDAY(中国金融期货交易所!D53,1-全局参数,Holiday))</f>
        <v>42419</v>
      </c>
      <c r="E53" s="11">
        <f ca="1">IF(CTP=1,中国金融期货交易所!E53+1,WORKDAY(中国金融期货交易所!E53,1-全局参数,Holiday))</f>
        <v>42429</v>
      </c>
      <c r="F53" s="11">
        <f ca="1">WORKDAY(DATE(YEAR(C53),MONTH(C53),1),-1,Holiday)</f>
        <v>42429</v>
      </c>
      <c r="AA53" s="7" t="str">
        <f t="shared" ca="1" si="0"/>
        <v/>
      </c>
    </row>
    <row r="54" spans="1:27" x14ac:dyDescent="0.15">
      <c r="A54" s="22" t="str">
        <f t="shared" ca="1" si="10"/>
        <v>TF1606</v>
      </c>
      <c r="B54" s="12">
        <f ca="1">IF(OR(RIGHT(A54,4)*1=1312,RIGHT(A54,4)*1=1403,RIGHT(A54,4)*1=1406),DATE(2013,9,6),WORKDAY(IF(NETWORKDAYS(DATE("20"&amp;MID(A54,3,2),RIGHT(A54,2)-9,CEILING(WEEKDAY(DATE("20"&amp;MID(A54,3,2),RIGHT(A54,2)-9,1),2)/5,1)*7+(6-WEEKDAY(DATE("20"&amp;MID(A54,3,2),RIGHT(A54,2)-9,1),2))),DATE("20"&amp;MID(A54,3,2),RIGHT(A54,2)-9,CEILING(WEEKDAY(DATE("20"&amp;MID(A54,3,2),RIGHT(A54,2)-9,1),2)/5,1)*7+(6-WEEKDAY(DATE("20"&amp;MID(A54,3,2),RIGHT(A54,2)-9,1),2))),Holiday)=1,DATE("20"&amp;MID(A54,3,2),RIGHT(A54,2)-9,CEILING(WEEKDAY(DATE("20"&amp;MID(A54,3,2),RIGHT(A54,2)-9,1),2)/5,1)*7+(6-WEEKDAY(DATE("20"&amp;MID(A54,3,2),RIGHT(A54,2)-9,1),2))),WORKDAY(DATE("20"&amp;MID(A54,3,2),RIGHT(A54,2)-9,CEILING(WEEKDAY(DATE("20"&amp;MID(A54,3,2),RIGHT(A54,2)-9,1),2)/5,1)*7+(6-WEEKDAY(DATE("20"&amp;MID(A54,3,2),RIGHT(A54,2)-9,1),2))),1,Holiday)),1,Holiday))</f>
        <v>42261</v>
      </c>
      <c r="C54" s="12">
        <f ca="1">IF(NETWORKDAYS(DATE("20"&amp;MID(A54,3,2),RIGHT(A54,2),CEILING(WEEKDAY(DATE("20"&amp;MID(A54,3,2),RIGHT(A54,2),1),2)/5,1)*7+(6-WEEKDAY(DATE("20"&amp;MID(A54,3,2),RIGHT(A54,2),1),2))),DATE("20"&amp;MID(A54,3,2),RIGHT(A54,2),CEILING(WEEKDAY(DATE("20"&amp;MID(A54,3,2),RIGHT(A54,2),1),2)/5,1)*7+(6-WEEKDAY(DATE("20"&amp;MID(A54,3,2),RIGHT(A54,2),1),2))),Holiday)=1,DATE("20"&amp;MID(A54,3,2),RIGHT(A54,2),CEILING(WEEKDAY(DATE("20"&amp;MID(A54,3,2),RIGHT(A54,2),1),2)/5,1)*7+(6-WEEKDAY(DATE("20"&amp;MID(A54,3,2),RIGHT(A54,2),1),2))),WORKDAY(DATE("20"&amp;MID(A54,3,2),RIGHT(A54,2),CEILING(WEEKDAY(DATE("20"&amp;MID(A54,3,2),RIGHT(A54,2),1),2)/5,1)*7+(6-WEEKDAY(DATE("20"&amp;MID(A54,3,2),RIGHT(A54,2),1),2))),1,Holiday))</f>
        <v>42531</v>
      </c>
      <c r="D54" s="12">
        <f ca="1">IF(CTP=1,中国金融期货交易所!D54+1,WORKDAY(中国金融期货交易所!D54,1-全局参数,Holiday))</f>
        <v>42510</v>
      </c>
      <c r="E54" s="12">
        <f ca="1">IF(CTP=1,中国金融期货交易所!E54+1,WORKDAY(中国金融期货交易所!E54,1-全局参数,Holiday))</f>
        <v>42521</v>
      </c>
      <c r="F54" s="12">
        <f ca="1">WORKDAY(DATE(YEAR(C54),MONTH(C54),1),-1,Holiday)</f>
        <v>42521</v>
      </c>
      <c r="AA54" s="7" t="str">
        <f t="shared" ca="1" si="0"/>
        <v/>
      </c>
    </row>
    <row r="55" spans="1:27" x14ac:dyDescent="0.15">
      <c r="A55" s="21" t="str">
        <f t="shared" ca="1" si="10"/>
        <v>TF1609</v>
      </c>
      <c r="B55" s="11">
        <f ca="1">IF(OR(RIGHT(A55,4)*1=1312,RIGHT(A55,4)*1=1403,RIGHT(A55,4)*1=1406),DATE(2013,9,6),WORKDAY(IF(NETWORKDAYS(DATE("20"&amp;MID(A55,3,2),RIGHT(A55,2)-9,CEILING(WEEKDAY(DATE("20"&amp;MID(A55,3,2),RIGHT(A55,2)-9,1),2)/5,1)*7+(6-WEEKDAY(DATE("20"&amp;MID(A55,3,2),RIGHT(A55,2)-9,1),2))),DATE("20"&amp;MID(A55,3,2),RIGHT(A55,2)-9,CEILING(WEEKDAY(DATE("20"&amp;MID(A55,3,2),RIGHT(A55,2)-9,1),2)/5,1)*7+(6-WEEKDAY(DATE("20"&amp;MID(A55,3,2),RIGHT(A55,2)-9,1),2))),Holiday)=1,DATE("20"&amp;MID(A55,3,2),RIGHT(A55,2)-9,CEILING(WEEKDAY(DATE("20"&amp;MID(A55,3,2),RIGHT(A55,2)-9,1),2)/5,1)*7+(6-WEEKDAY(DATE("20"&amp;MID(A55,3,2),RIGHT(A55,2)-9,1),2))),WORKDAY(DATE("20"&amp;MID(A55,3,2),RIGHT(A55,2)-9,CEILING(WEEKDAY(DATE("20"&amp;MID(A55,3,2),RIGHT(A55,2)-9,1),2)/5,1)*7+(6-WEEKDAY(DATE("20"&amp;MID(A55,3,2),RIGHT(A55,2)-9,1),2))),1,Holiday)),1,Holiday))</f>
        <v>42352</v>
      </c>
      <c r="C55" s="11">
        <f ca="1">IF(NETWORKDAYS(DATE("20"&amp;MID(A55,3,2),RIGHT(A55,2),CEILING(WEEKDAY(DATE("20"&amp;MID(A55,3,2),RIGHT(A55,2),1),2)/5,1)*7+(6-WEEKDAY(DATE("20"&amp;MID(A55,3,2),RIGHT(A55,2),1),2))),DATE("20"&amp;MID(A55,3,2),RIGHT(A55,2),CEILING(WEEKDAY(DATE("20"&amp;MID(A55,3,2),RIGHT(A55,2),1),2)/5,1)*7+(6-WEEKDAY(DATE("20"&amp;MID(A55,3,2),RIGHT(A55,2),1),2))),Holiday)=1,DATE("20"&amp;MID(A55,3,2),RIGHT(A55,2),CEILING(WEEKDAY(DATE("20"&amp;MID(A55,3,2),RIGHT(A55,2),1),2)/5,1)*7+(6-WEEKDAY(DATE("20"&amp;MID(A55,3,2),RIGHT(A55,2),1),2))),WORKDAY(DATE("20"&amp;MID(A55,3,2),RIGHT(A55,2),CEILING(WEEKDAY(DATE("20"&amp;MID(A55,3,2),RIGHT(A55,2),1),2)/5,1)*7+(6-WEEKDAY(DATE("20"&amp;MID(A55,3,2),RIGHT(A55,2),1),2))),1,Holiday))</f>
        <v>42622</v>
      </c>
      <c r="D55" s="11">
        <f ca="1">IF(CTP=1,中国金融期货交易所!D55+1,WORKDAY(中国金融期货交易所!D55,1-全局参数,Holiday))</f>
        <v>42601</v>
      </c>
      <c r="E55" s="11">
        <f ca="1">IF(CTP=1,中国金融期货交易所!E55+1,WORKDAY(中国金融期货交易所!E55,1-全局参数,Holiday))</f>
        <v>42613</v>
      </c>
      <c r="F55" s="11">
        <f ca="1">WORKDAY(DATE(YEAR(C55),MONTH(C55),1),-1,Holiday)</f>
        <v>42613</v>
      </c>
      <c r="AA55" s="7" t="str">
        <f t="shared" ca="1" si="0"/>
        <v/>
      </c>
    </row>
    <row r="56" spans="1:27" x14ac:dyDescent="0.15">
      <c r="AA56" s="7" t="str">
        <f t="shared" ca="1" si="0"/>
        <v/>
      </c>
    </row>
    <row r="57" spans="1:27" x14ac:dyDescent="0.15">
      <c r="AA57" s="7" t="str">
        <f t="shared" ca="1" si="0"/>
        <v/>
      </c>
    </row>
    <row r="58" spans="1:27" x14ac:dyDescent="0.15">
      <c r="A58" s="48" t="str">
        <f>"10年期国债T"&amp;TEXT(国债T,"#%")</f>
        <v>10年期国债T2%</v>
      </c>
      <c r="B58" s="49"/>
      <c r="C58" s="49"/>
      <c r="D58" s="49"/>
      <c r="E58" s="49"/>
      <c r="F58" s="50"/>
      <c r="AA58" s="7" t="str">
        <f t="shared" ca="1" si="0"/>
        <v/>
      </c>
    </row>
    <row r="59" spans="1:27" ht="17.25" thickBot="1" x14ac:dyDescent="0.2">
      <c r="A59" s="34"/>
      <c r="B59" s="34" t="s">
        <v>46</v>
      </c>
      <c r="C59" s="34" t="s">
        <v>1</v>
      </c>
      <c r="D59" s="46" t="str">
        <f>TEXT(MAX(3%,国债T),"#%")</f>
        <v>3%</v>
      </c>
      <c r="E59" s="46" t="str">
        <f>TEXT(MAX(4%,国债T),"#%")</f>
        <v>4%</v>
      </c>
      <c r="F59" s="20" t="s">
        <v>73</v>
      </c>
      <c r="AA59" s="7" t="str">
        <f t="shared" ca="1" si="0"/>
        <v/>
      </c>
    </row>
    <row r="60" spans="1:27" x14ac:dyDescent="0.15">
      <c r="A60" s="21" t="str">
        <f ca="1">"T"&amp;TEXT(IF(TODAY()&lt;DATE(2015,9,12),DATE(2015,9,1),IF(TODAY()&gt;IF(NETWORKDAYS(DATE(YEAR(TODAY()),CEILING(MONTH(TODAY()),3),CEILING(WEEKDAY(DATE(YEAR(TODAY()),CEILING(MONTH(TODAY()),3),1),2)/5,1)*7+(6-WEEKDAY(DATE(YEAR(TODAY()),CEILING(MONTH(TODAY()),3),1),2))),DATE(YEAR(TODAY()),CEILING(MONTH(TODAY()),3),CEILING(WEEKDAY(DATE(YEAR(TODAY()),CEILING(MONTH(TODAY()),3),1),2)/5,1)*7+(6-WEEKDAY(DATE(YEAR(TODAY()),CEILING(MONTH(TODAY()),3),1),2))),Holiday)=1,DATE(YEAR(TODAY()),CEILING(MONTH(TODAY()),3),CEILING(WEEKDAY(DATE(YEAR(TODAY()),CEILING(MONTH(TODAY()),3),1),2)/5,1)*7+(6-WEEKDAY(DATE(YEAR(TODAY()),CEILING(MONTH(TODAY()),3),1),2))),WORKDAY(DATE(YEAR(TODAY()),CEILING(MONTH(TODAY()),3),CEILING(WEEKDAY(DATE(YEAR(TODAY()),CEILING(MONTH(TODAY()),3),1),2)/5,1)*7+(6-WEEKDAY(DATE(YEAR(TODAY()),CEILING(MONTH(TODAY()),3),1),2))),1,Holiday)),IF(NETWORKDAYS(DATE(YEAR(TODAY()),CEILING(MONTH(TODAY()),3)+3,1),DATE(YEAR(TODAY()),CEILING(MONTH(TODAY()),3)+3,1),Holiday)=1,DATE(YEAR(TODAY()),CEILING(MONTH(TODAY()),3)+3,1),WORKDAY(DATE(YEAR(TODAY()),CEILING(MONTH(TODAY()),3)+3,1),1,Holiday)),IF(NETWORKDAYS(DATE(YEAR(TODAY()),CEILING(MONTH(TODAY()),3),1),DATE(YEAR(TODAY()),CEILING(MONTH(TODAY()),3),1),Holiday)=1,DATE(YEAR(TODAY()),CEILING(MONTH(TODAY()),3),1),WORKDAY(DATE(YEAR(TODAY()),CEILING(MONTH(TODAY()),3),1),1,Holiday)))),"yymm")</f>
        <v>T1509</v>
      </c>
      <c r="B60" s="11">
        <f ca="1">IF(OR(RIGHT(A60,4)*1=1509,RIGHT(A60,4)*1=1512,RIGHT(A60,4)*1=1603),DATE(2015,3,20),WORKDAY(IF(NETWORKDAYS(DATE("20"&amp;MID(A60,2,2),RIGHT(A60,2)-9,CEILING(WEEKDAY(DATE("20"&amp;MID(A60,2,2),RIGHT(A60,2)-9,1),2)/5,1)*7+(6-WEEKDAY(DATE("20"&amp;MID(A60,2,2),RIGHT(A60,2)-9,1),2))),DATE("20"&amp;MID(A60,2,2),RIGHT(A60,2)-9,CEILING(WEEKDAY(DATE("20"&amp;MID(A60,2,2),RIGHT(A60,2)-9,1),2)/5,1)*7+(6-WEEKDAY(DATE("20"&amp;MID(A60,2,2),RIGHT(A60,2)-9,1),2))),Holiday)=1,DATE("20"&amp;MID(A60,2,2),RIGHT(A60,2)-9,CEILING(WEEKDAY(DATE("20"&amp;MID(A60,2,2),RIGHT(A60,2)-9,1),2)/5,1)*7+(6-WEEKDAY(DATE("20"&amp;MID(A60,2,2),RIGHT(A60,2)-9,1),2))),WORKDAY(DATE("20"&amp;MID(A60,2,2),RIGHT(A60,2)-9,CEILING(WEEKDAY(DATE("20"&amp;MID(A60,2,2),RIGHT(A60,2)-9,1),2)/5,1)*7+(6-WEEKDAY(DATE("20"&amp;MID(A60,2,2),RIGHT(A60,2)-9,1),2))),1,Holiday)),1,Holiday))</f>
        <v>42083</v>
      </c>
      <c r="C60" s="11">
        <f ca="1">IF(NETWORKDAYS(DATE("20"&amp;MID(A60,2,2),RIGHT(A60,2),CEILING(WEEKDAY(DATE("20"&amp;MID(A60,2,2),RIGHT(A60,2),1),2)/5,1)*7+(6-WEEKDAY(DATE("20"&amp;MID(A60,2,2),RIGHT(A60,2),1),2))),DATE("20"&amp;MID(A60,2,2),RIGHT(A60,2),CEILING(WEEKDAY(DATE("20"&amp;MID(A60,2,2),RIGHT(A60,2),1),2)/5,1)*7+(6-WEEKDAY(DATE("20"&amp;MID(A60,2,2),RIGHT(A60,2),1),2))),Holiday)=1,DATE("20"&amp;MID(A60,2,2),RIGHT(A60,2),CEILING(WEEKDAY(DATE("20"&amp;MID(A60,2,2),RIGHT(A60,2),1),2)/5,1)*7+(6-WEEKDAY(DATE("20"&amp;MID(A60,2,2),RIGHT(A60,2),1),2))),WORKDAY(DATE("20"&amp;MID(A60,2,2),RIGHT(A60,2),CEILING(WEEKDAY(DATE("20"&amp;MID(A60,2,2),RIGHT(A60,2),1),2)/5,1)*7+(6-WEEKDAY(DATE("20"&amp;MID(A60,2,2),RIGHT(A60,2),1),2))),1,Holiday))</f>
        <v>42258</v>
      </c>
      <c r="D60" s="11">
        <f ca="1">IF(CTP=1,中国金融期货交易所!D60+1,WORKDAY(中国金融期货交易所!D60,1-全局参数,Holiday))</f>
        <v>42236</v>
      </c>
      <c r="E60" s="11">
        <f ca="1">IF(CTP=1,中国金融期货交易所!E60+1,WORKDAY(中国金融期货交易所!E60,1-全局参数,Holiday))</f>
        <v>42247</v>
      </c>
      <c r="F60" s="11">
        <f ca="1">WORKDAY(DATE(YEAR(C60),MONTH(C60),1),-1,Holiday)</f>
        <v>42247</v>
      </c>
      <c r="AA60" s="7" t="str">
        <f t="shared" ca="1" si="0"/>
        <v/>
      </c>
    </row>
    <row r="61" spans="1:27" x14ac:dyDescent="0.15">
      <c r="A61" s="22" t="str">
        <f ca="1">"T"&amp;TEXT(DATE("20"&amp;MID(A60,2,2),RIGHT(A60,2)+3,10),"yymm")</f>
        <v>T1512</v>
      </c>
      <c r="B61" s="12">
        <f ca="1">IF(OR(RIGHT(A61,4)*1=1509,RIGHT(A61,4)*1=1512,RIGHT(A61,4)*1=1603),DATE(2015,3,20),WORKDAY(IF(NETWORKDAYS(DATE("20"&amp;MID(A61,2,2),RIGHT(A61,2)-9,CEILING(WEEKDAY(DATE("20"&amp;MID(A61,2,2),RIGHT(A61,2)-9,1),2)/5,1)*7+(6-WEEKDAY(DATE("20"&amp;MID(A61,2,2),RIGHT(A61,2)-9,1),2))),DATE("20"&amp;MID(A61,2,2),RIGHT(A61,2)-9,CEILING(WEEKDAY(DATE("20"&amp;MID(A61,2,2),RIGHT(A61,2)-9,1),2)/5,1)*7+(6-WEEKDAY(DATE("20"&amp;MID(A61,2,2),RIGHT(A61,2)-9,1),2))),Holiday)=1,DATE("20"&amp;MID(A61,2,2),RIGHT(A61,2)-9,CEILING(WEEKDAY(DATE("20"&amp;MID(A61,2,2),RIGHT(A61,2)-9,1),2)/5,1)*7+(6-WEEKDAY(DATE("20"&amp;MID(A61,2,2),RIGHT(A61,2)-9,1),2))),WORKDAY(DATE("20"&amp;MID(A61,2,2),RIGHT(A61,2)-9,CEILING(WEEKDAY(DATE("20"&amp;MID(A61,2,2),RIGHT(A61,2)-9,1),2)/5,1)*7+(6-WEEKDAY(DATE("20"&amp;MID(A61,2,2),RIGHT(A61,2)-9,1),2))),1,Holiday)),1,Holiday))</f>
        <v>42083</v>
      </c>
      <c r="C61" s="12">
        <f ca="1">IF(NETWORKDAYS(DATE("20"&amp;MID(A61,2,2),RIGHT(A61,2),CEILING(WEEKDAY(DATE("20"&amp;MID(A61,2,2),RIGHT(A61,2),1),2)/5,1)*7+(6-WEEKDAY(DATE("20"&amp;MID(A61,2,2),RIGHT(A61,2),1),2))),DATE("20"&amp;MID(A61,2,2),RIGHT(A61,2),CEILING(WEEKDAY(DATE("20"&amp;MID(A61,2,2),RIGHT(A61,2),1),2)/5,1)*7+(6-WEEKDAY(DATE("20"&amp;MID(A61,2,2),RIGHT(A61,2),1),2))),Holiday)=1,DATE("20"&amp;MID(A61,2,2),RIGHT(A61,2),CEILING(WEEKDAY(DATE("20"&amp;MID(A61,2,2),RIGHT(A61,2),1),2)/5,1)*7+(6-WEEKDAY(DATE("20"&amp;MID(A61,2,2),RIGHT(A61,2),1),2))),WORKDAY(DATE("20"&amp;MID(A61,2,2),RIGHT(A61,2),CEILING(WEEKDAY(DATE("20"&amp;MID(A61,2,2),RIGHT(A61,2),1),2)/5,1)*7+(6-WEEKDAY(DATE("20"&amp;MID(A61,2,2),RIGHT(A61,2),1),2))),1,Holiday))</f>
        <v>42349</v>
      </c>
      <c r="D61" s="12">
        <f ca="1">IF(CTP=1,中国金融期货交易所!D61+1,WORKDAY(中国金融期货交易所!D61,1-全局参数,Holiday))</f>
        <v>42328</v>
      </c>
      <c r="E61" s="12">
        <f ca="1">IF(CTP=1,中国金融期货交易所!E61+1,WORKDAY(中国金融期货交易所!E61,1-全局参数,Holiday))</f>
        <v>42338</v>
      </c>
      <c r="F61" s="12">
        <f ca="1">WORKDAY(DATE(YEAR(C61),MONTH(C61),1),-1,Holiday)</f>
        <v>42338</v>
      </c>
      <c r="AA61" s="7" t="str">
        <f t="shared" ca="1" si="0"/>
        <v/>
      </c>
    </row>
    <row r="62" spans="1:27" x14ac:dyDescent="0.15">
      <c r="A62" s="21" t="str">
        <f t="shared" ref="A62:A64" ca="1" si="11">"T"&amp;TEXT(DATE("20"&amp;MID(A61,2,2),RIGHT(A61,2)+3,10),"yymm")</f>
        <v>T1603</v>
      </c>
      <c r="B62" s="11">
        <f ca="1">IF(OR(RIGHT(A62,4)*1=1509,RIGHT(A62,4)*1=1512,RIGHT(A62,4)*1=1603),DATE(2015,3,20),WORKDAY(IF(NETWORKDAYS(DATE("20"&amp;MID(A62,2,2),RIGHT(A62,2)-9,CEILING(WEEKDAY(DATE("20"&amp;MID(A62,2,2),RIGHT(A62,2)-9,1),2)/5,1)*7+(6-WEEKDAY(DATE("20"&amp;MID(A62,2,2),RIGHT(A62,2)-9,1),2))),DATE("20"&amp;MID(A62,2,2),RIGHT(A62,2)-9,CEILING(WEEKDAY(DATE("20"&amp;MID(A62,2,2),RIGHT(A62,2)-9,1),2)/5,1)*7+(6-WEEKDAY(DATE("20"&amp;MID(A62,2,2),RIGHT(A62,2)-9,1),2))),Holiday)=1,DATE("20"&amp;MID(A62,2,2),RIGHT(A62,2)-9,CEILING(WEEKDAY(DATE("20"&amp;MID(A62,2,2),RIGHT(A62,2)-9,1),2)/5,1)*7+(6-WEEKDAY(DATE("20"&amp;MID(A62,2,2),RIGHT(A62,2)-9,1),2))),WORKDAY(DATE("20"&amp;MID(A62,2,2),RIGHT(A62,2)-9,CEILING(WEEKDAY(DATE("20"&amp;MID(A62,2,2),RIGHT(A62,2)-9,1),2)/5,1)*7+(6-WEEKDAY(DATE("20"&amp;MID(A62,2,2),RIGHT(A62,2)-9,1),2))),1,Holiday)),1,Holiday))</f>
        <v>42083</v>
      </c>
      <c r="C62" s="11">
        <f ca="1">IF(NETWORKDAYS(DATE("20"&amp;MID(A62,2,2),RIGHT(A62,2),CEILING(WEEKDAY(DATE("20"&amp;MID(A62,2,2),RIGHT(A62,2),1),2)/5,1)*7+(6-WEEKDAY(DATE("20"&amp;MID(A62,2,2),RIGHT(A62,2),1),2))),DATE("20"&amp;MID(A62,2,2),RIGHT(A62,2),CEILING(WEEKDAY(DATE("20"&amp;MID(A62,2,2),RIGHT(A62,2),1),2)/5,1)*7+(6-WEEKDAY(DATE("20"&amp;MID(A62,2,2),RIGHT(A62,2),1),2))),Holiday)=1,DATE("20"&amp;MID(A62,2,2),RIGHT(A62,2),CEILING(WEEKDAY(DATE("20"&amp;MID(A62,2,2),RIGHT(A62,2),1),2)/5,1)*7+(6-WEEKDAY(DATE("20"&amp;MID(A62,2,2),RIGHT(A62,2),1),2))),WORKDAY(DATE("20"&amp;MID(A62,2,2),RIGHT(A62,2),CEILING(WEEKDAY(DATE("20"&amp;MID(A62,2,2),RIGHT(A62,2),1),2)/5,1)*7+(6-WEEKDAY(DATE("20"&amp;MID(A62,2,2),RIGHT(A62,2),1),2))),1,Holiday))</f>
        <v>42440</v>
      </c>
      <c r="D62" s="11">
        <f ca="1">IF(CTP=1,中国金融期货交易所!D62+1,WORKDAY(中国金融期货交易所!D62,1-全局参数,Holiday))</f>
        <v>42419</v>
      </c>
      <c r="E62" s="11">
        <f ca="1">IF(CTP=1,中国金融期货交易所!E62+1,WORKDAY(中国金融期货交易所!E62,1-全局参数,Holiday))</f>
        <v>42429</v>
      </c>
      <c r="F62" s="11">
        <f ca="1">WORKDAY(DATE(YEAR(C62),MONTH(C62),1),-1,Holiday)</f>
        <v>42429</v>
      </c>
      <c r="AA62" s="7" t="str">
        <f t="shared" ca="1" si="0"/>
        <v/>
      </c>
    </row>
    <row r="63" spans="1:27" x14ac:dyDescent="0.15">
      <c r="A63" s="22" t="str">
        <f t="shared" ca="1" si="11"/>
        <v>T1606</v>
      </c>
      <c r="B63" s="12">
        <f ca="1">IF(OR(RIGHT(A63,4)*1=1509,RIGHT(A63,4)*1=1512,RIGHT(A63,4)*1=1603),DATE(2015,3,20),WORKDAY(IF(NETWORKDAYS(DATE("20"&amp;MID(A63,2,2),RIGHT(A63,2)-9,CEILING(WEEKDAY(DATE("20"&amp;MID(A63,2,2),RIGHT(A63,2)-9,1),2)/5,1)*7+(6-WEEKDAY(DATE("20"&amp;MID(A63,2,2),RIGHT(A63,2)-9,1),2))),DATE("20"&amp;MID(A63,2,2),RIGHT(A63,2)-9,CEILING(WEEKDAY(DATE("20"&amp;MID(A63,2,2),RIGHT(A63,2)-9,1),2)/5,1)*7+(6-WEEKDAY(DATE("20"&amp;MID(A63,2,2),RIGHT(A63,2)-9,1),2))),Holiday)=1,DATE("20"&amp;MID(A63,2,2),RIGHT(A63,2)-9,CEILING(WEEKDAY(DATE("20"&amp;MID(A63,2,2),RIGHT(A63,2)-9,1),2)/5,1)*7+(6-WEEKDAY(DATE("20"&amp;MID(A63,2,2),RIGHT(A63,2)-9,1),2))),WORKDAY(DATE("20"&amp;MID(A63,2,2),RIGHT(A63,2)-9,CEILING(WEEKDAY(DATE("20"&amp;MID(A63,2,2),RIGHT(A63,2)-9,1),2)/5,1)*7+(6-WEEKDAY(DATE("20"&amp;MID(A63,2,2),RIGHT(A63,2)-9,1),2))),1,Holiday)),1,Holiday))</f>
        <v>42261</v>
      </c>
      <c r="C63" s="12">
        <f ca="1">IF(NETWORKDAYS(DATE("20"&amp;MID(A63,2,2),RIGHT(A63,2),CEILING(WEEKDAY(DATE("20"&amp;MID(A63,2,2),RIGHT(A63,2),1),2)/5,1)*7+(6-WEEKDAY(DATE("20"&amp;MID(A63,2,2),RIGHT(A63,2),1),2))),DATE("20"&amp;MID(A63,2,2),RIGHT(A63,2),CEILING(WEEKDAY(DATE("20"&amp;MID(A63,2,2),RIGHT(A63,2),1),2)/5,1)*7+(6-WEEKDAY(DATE("20"&amp;MID(A63,2,2),RIGHT(A63,2),1),2))),Holiday)=1,DATE("20"&amp;MID(A63,2,2),RIGHT(A63,2),CEILING(WEEKDAY(DATE("20"&amp;MID(A63,2,2),RIGHT(A63,2),1),2)/5,1)*7+(6-WEEKDAY(DATE("20"&amp;MID(A63,2,2),RIGHT(A63,2),1),2))),WORKDAY(DATE("20"&amp;MID(A63,2,2),RIGHT(A63,2),CEILING(WEEKDAY(DATE("20"&amp;MID(A63,2,2),RIGHT(A63,2),1),2)/5,1)*7+(6-WEEKDAY(DATE("20"&amp;MID(A63,2,2),RIGHT(A63,2),1),2))),1,Holiday))</f>
        <v>42531</v>
      </c>
      <c r="D63" s="12">
        <f ca="1">IF(CTP=1,中国金融期货交易所!D63+1,WORKDAY(中国金融期货交易所!D63,1-全局参数,Holiday))</f>
        <v>42510</v>
      </c>
      <c r="E63" s="12">
        <f ca="1">IF(CTP=1,中国金融期货交易所!E63+1,WORKDAY(中国金融期货交易所!E63,1-全局参数,Holiday))</f>
        <v>42521</v>
      </c>
      <c r="F63" s="12">
        <f ca="1">WORKDAY(DATE(YEAR(C63),MONTH(C63),1),-1,Holiday)</f>
        <v>42521</v>
      </c>
      <c r="AA63" s="7" t="str">
        <f t="shared" ca="1" si="0"/>
        <v/>
      </c>
    </row>
    <row r="64" spans="1:27" x14ac:dyDescent="0.15">
      <c r="A64" s="21" t="str">
        <f t="shared" ca="1" si="11"/>
        <v>T1609</v>
      </c>
      <c r="B64" s="11">
        <f ca="1">IF(OR(RIGHT(A64,4)*1=1509,RIGHT(A64,4)*1=1512,RIGHT(A64,4)*1=1603),DATE(2015,3,20),WORKDAY(IF(NETWORKDAYS(DATE("20"&amp;MID(A64,2,2),RIGHT(A64,2)-9,CEILING(WEEKDAY(DATE("20"&amp;MID(A64,2,2),RIGHT(A64,2)-9,1),2)/5,1)*7+(6-WEEKDAY(DATE("20"&amp;MID(A64,2,2),RIGHT(A64,2)-9,1),2))),DATE("20"&amp;MID(A64,2,2),RIGHT(A64,2)-9,CEILING(WEEKDAY(DATE("20"&amp;MID(A64,2,2),RIGHT(A64,2)-9,1),2)/5,1)*7+(6-WEEKDAY(DATE("20"&amp;MID(A64,2,2),RIGHT(A64,2)-9,1),2))),Holiday)=1,DATE("20"&amp;MID(A64,2,2),RIGHT(A64,2)-9,CEILING(WEEKDAY(DATE("20"&amp;MID(A64,2,2),RIGHT(A64,2)-9,1),2)/5,1)*7+(6-WEEKDAY(DATE("20"&amp;MID(A64,2,2),RIGHT(A64,2)-9,1),2))),WORKDAY(DATE("20"&amp;MID(A64,2,2),RIGHT(A64,2)-9,CEILING(WEEKDAY(DATE("20"&amp;MID(A64,2,2),RIGHT(A64,2)-9,1),2)/5,1)*7+(6-WEEKDAY(DATE("20"&amp;MID(A64,2,2),RIGHT(A64,2)-9,1),2))),1,Holiday)),1,Holiday))</f>
        <v>42352</v>
      </c>
      <c r="C64" s="11">
        <f ca="1">IF(NETWORKDAYS(DATE("20"&amp;MID(A64,2,2),RIGHT(A64,2),CEILING(WEEKDAY(DATE("20"&amp;MID(A64,2,2),RIGHT(A64,2),1),2)/5,1)*7+(6-WEEKDAY(DATE("20"&amp;MID(A64,2,2),RIGHT(A64,2),1),2))),DATE("20"&amp;MID(A64,2,2),RIGHT(A64,2),CEILING(WEEKDAY(DATE("20"&amp;MID(A64,2,2),RIGHT(A64,2),1),2)/5,1)*7+(6-WEEKDAY(DATE("20"&amp;MID(A64,2,2),RIGHT(A64,2),1),2))),Holiday)=1,DATE("20"&amp;MID(A64,2,2),RIGHT(A64,2),CEILING(WEEKDAY(DATE("20"&amp;MID(A64,2,2),RIGHT(A64,2),1),2)/5,1)*7+(6-WEEKDAY(DATE("20"&amp;MID(A64,2,2),RIGHT(A64,2),1),2))),WORKDAY(DATE("20"&amp;MID(A64,2,2),RIGHT(A64,2),CEILING(WEEKDAY(DATE("20"&amp;MID(A64,2,2),RIGHT(A64,2),1),2)/5,1)*7+(6-WEEKDAY(DATE("20"&amp;MID(A64,2,2),RIGHT(A64,2),1),2))),1,Holiday))</f>
        <v>42622</v>
      </c>
      <c r="D64" s="11">
        <f ca="1">IF(CTP=1,中国金融期货交易所!D64+1,WORKDAY(中国金融期货交易所!D64,1-全局参数,Holiday))</f>
        <v>42601</v>
      </c>
      <c r="E64" s="11">
        <f ca="1">IF(CTP=1,中国金融期货交易所!E64+1,WORKDAY(中国金融期货交易所!E64,1-全局参数,Holiday))</f>
        <v>42613</v>
      </c>
      <c r="F64" s="11">
        <f ca="1">WORKDAY(DATE(YEAR(C64),MONTH(C64),1),-1,Holiday)</f>
        <v>42613</v>
      </c>
      <c r="AA64" s="7" t="str">
        <f t="shared" ca="1" si="0"/>
        <v/>
      </c>
    </row>
  </sheetData>
  <sheetProtection selectLockedCells="1" selectUnlockedCells="1"/>
  <mergeCells count="7">
    <mergeCell ref="A1:C1"/>
    <mergeCell ref="H7:H8"/>
    <mergeCell ref="I7:I8"/>
    <mergeCell ref="A49:F49"/>
    <mergeCell ref="A58:F58"/>
    <mergeCell ref="A17:C17"/>
    <mergeCell ref="A33:C33"/>
  </mergeCells>
  <phoneticPr fontId="1" type="noConversion"/>
  <conditionalFormatting sqref="C3:C16 C31:C32 C47">
    <cfRule type="iconSet" priority="22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3:B16 B31:B32 B47">
    <cfRule type="iconSet" priority="2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51:C55">
    <cfRule type="iconSet" priority="34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D51:E55">
    <cfRule type="cellIs" dxfId="5" priority="35" operator="between">
      <formula>WORKDAY(TODAY(),10,Holiday)</formula>
      <formula>WORKDAY(TODAY(),1,Holiday)</formula>
    </cfRule>
    <cfRule type="iconSet" priority="3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B51:B55">
    <cfRule type="iconSet" priority="37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51">
    <cfRule type="cellIs" dxfId="4" priority="15" operator="between">
      <formula>WORKDAY(TODAY(),10,Holiday)</formula>
      <formula>WORKDAY(TODAY(),1,Holiday)</formula>
    </cfRule>
    <cfRule type="iconSet" priority="1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F51:F55">
    <cfRule type="cellIs" dxfId="3" priority="13" operator="between">
      <formula>WORKDAY(TODAY(),10,Holiday)</formula>
      <formula>WORKDAY(TODAY(),1,Holiday)</formula>
    </cfRule>
    <cfRule type="iconSet" priority="14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60:C64">
    <cfRule type="iconSet" priority="9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D60:E64">
    <cfRule type="cellIs" dxfId="2" priority="10" operator="between">
      <formula>WORKDAY(TODAY(),10,Holiday)</formula>
      <formula>WORKDAY(TODAY(),1,Holiday)</formula>
    </cfRule>
    <cfRule type="iconSet" priority="11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B60:B64">
    <cfRule type="iconSet" priority="12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D60">
    <cfRule type="cellIs" dxfId="1" priority="7" operator="between">
      <formula>WORKDAY(TODAY(),10,Holiday)</formula>
      <formula>WORKDAY(TODAY(),1,Holiday)</formula>
    </cfRule>
    <cfRule type="iconSet" priority="8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F60:F64">
    <cfRule type="cellIs" dxfId="0" priority="5" operator="between">
      <formula>WORKDAY(TODAY(),10,Holiday)</formula>
      <formula>WORKDAY(TODAY(),1,Holiday)</formula>
    </cfRule>
    <cfRule type="iconSet" priority="6">
      <iconSet iconSet="4TrafficLights">
        <cfvo type="percent" val="0"/>
        <cfvo type="num" val="TODAY()"/>
        <cfvo type="num" val="TODAY()+1"/>
        <cfvo type="num" val="TODAY()+1"/>
      </iconSet>
    </cfRule>
  </conditionalFormatting>
  <conditionalFormatting sqref="C19:C30">
    <cfRule type="iconSet" priority="4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19:B30">
    <cfRule type="iconSet" priority="3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conditionalFormatting sqref="C35:C46">
    <cfRule type="iconSet" priority="2">
      <iconSet iconSet="3Symbols2">
        <cfvo type="percent" val="0"/>
        <cfvo type="num" val="VALUE(DATE(YEAR(TODAY()),MONTH(TODAY()),DAY(TODAY())))"/>
        <cfvo type="num" val="VALUE(DATE(YEAR(TODAY()),MONTH(TODAY()),DAY(TODAY())))+7"/>
      </iconSet>
    </cfRule>
  </conditionalFormatting>
  <conditionalFormatting sqref="B35:B46">
    <cfRule type="iconSet" priority="1">
      <iconSet iconSet="3TrafficLights2" reverse="1">
        <cfvo type="percent" val="0"/>
        <cfvo type="formula" val="TODAY()" gte="0"/>
        <cfvo type="formula" val="DATE(YEAR(TODAY()),MONTH(TODAY())+1,DAY(TODAY()))"/>
      </iconSet>
    </cfRule>
  </conditionalFormatting>
  <dataValidations count="1">
    <dataValidation type="list" allowBlank="1" showInputMessage="1" showErrorMessage="1" sqref="I7:I8">
      <formula1>"交易所标准,期货公司标准,CTP保证金分段(交易日),CTP保证金分段(自然日)"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D23"/>
  <sheetViews>
    <sheetView workbookViewId="0"/>
  </sheetViews>
  <sheetFormatPr defaultRowHeight="13.5" x14ac:dyDescent="0.15"/>
  <sheetData>
    <row r="1" spans="2:4" x14ac:dyDescent="0.15">
      <c r="B1">
        <v>2011</v>
      </c>
      <c r="C1">
        <v>2</v>
      </c>
      <c r="D1">
        <f ca="1">YEAR(TODAY())</f>
        <v>2015</v>
      </c>
    </row>
    <row r="2" spans="2:4" x14ac:dyDescent="0.15">
      <c r="B2">
        <v>2012</v>
      </c>
      <c r="C2">
        <v>1</v>
      </c>
    </row>
    <row r="3" spans="2:4" x14ac:dyDescent="0.15">
      <c r="B3">
        <v>2013</v>
      </c>
      <c r="C3">
        <v>2</v>
      </c>
    </row>
    <row r="4" spans="2:4" x14ac:dyDescent="0.15">
      <c r="B4">
        <v>2014</v>
      </c>
      <c r="C4">
        <v>1</v>
      </c>
    </row>
    <row r="5" spans="2:4" x14ac:dyDescent="0.15">
      <c r="B5">
        <v>2015</v>
      </c>
      <c r="C5">
        <v>2</v>
      </c>
    </row>
    <row r="6" spans="2:4" x14ac:dyDescent="0.15">
      <c r="B6">
        <v>2016</v>
      </c>
      <c r="C6">
        <v>2</v>
      </c>
    </row>
    <row r="7" spans="2:4" x14ac:dyDescent="0.15">
      <c r="B7">
        <v>2017</v>
      </c>
      <c r="C7">
        <v>1</v>
      </c>
    </row>
    <row r="8" spans="2:4" x14ac:dyDescent="0.15">
      <c r="B8">
        <v>2018</v>
      </c>
      <c r="C8">
        <v>2</v>
      </c>
    </row>
    <row r="9" spans="2:4" x14ac:dyDescent="0.15">
      <c r="B9">
        <v>2019</v>
      </c>
      <c r="C9">
        <v>2</v>
      </c>
    </row>
    <row r="10" spans="2:4" x14ac:dyDescent="0.15">
      <c r="B10">
        <v>2020</v>
      </c>
      <c r="C10">
        <v>1</v>
      </c>
    </row>
    <row r="11" spans="2:4" x14ac:dyDescent="0.15">
      <c r="B11">
        <v>2021</v>
      </c>
      <c r="C11">
        <v>2</v>
      </c>
    </row>
    <row r="12" spans="2:4" x14ac:dyDescent="0.15">
      <c r="B12">
        <v>2022</v>
      </c>
      <c r="C12">
        <v>2</v>
      </c>
    </row>
    <row r="13" spans="2:4" x14ac:dyDescent="0.15">
      <c r="B13">
        <v>2023</v>
      </c>
      <c r="C13">
        <v>1</v>
      </c>
    </row>
    <row r="14" spans="2:4" x14ac:dyDescent="0.15">
      <c r="B14">
        <v>2024</v>
      </c>
      <c r="C14">
        <v>2</v>
      </c>
    </row>
    <row r="15" spans="2:4" x14ac:dyDescent="0.15">
      <c r="B15">
        <v>2025</v>
      </c>
      <c r="C15">
        <v>1</v>
      </c>
    </row>
    <row r="16" spans="2:4" x14ac:dyDescent="0.15">
      <c r="B16">
        <v>2026</v>
      </c>
      <c r="C16">
        <v>2</v>
      </c>
    </row>
    <row r="17" spans="2:3" x14ac:dyDescent="0.15">
      <c r="B17">
        <v>2027</v>
      </c>
      <c r="C17">
        <v>2</v>
      </c>
    </row>
    <row r="18" spans="2:3" x14ac:dyDescent="0.15">
      <c r="B18">
        <v>2028</v>
      </c>
      <c r="C18">
        <v>1</v>
      </c>
    </row>
    <row r="19" spans="2:3" x14ac:dyDescent="0.15">
      <c r="B19">
        <v>2029</v>
      </c>
      <c r="C19">
        <v>2</v>
      </c>
    </row>
    <row r="20" spans="2:3" x14ac:dyDescent="0.15">
      <c r="B20">
        <v>2030</v>
      </c>
      <c r="C20">
        <v>2</v>
      </c>
    </row>
    <row r="21" spans="2:3" x14ac:dyDescent="0.15">
      <c r="B21">
        <v>2031</v>
      </c>
      <c r="C21">
        <v>1</v>
      </c>
    </row>
    <row r="22" spans="2:3" x14ac:dyDescent="0.15">
      <c r="B22">
        <v>2032</v>
      </c>
      <c r="C22">
        <v>2</v>
      </c>
    </row>
    <row r="23" spans="2:3" x14ac:dyDescent="0.15">
      <c r="B23">
        <v>2033</v>
      </c>
      <c r="C23">
        <v>1</v>
      </c>
    </row>
  </sheetData>
  <sheetProtection password="8932" sheet="1" objects="1" scenarios="1" selectLockedCells="1" selectUn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上期品种调整</vt:lpstr>
      <vt:lpstr>上海期货交易所</vt:lpstr>
      <vt:lpstr>大连品种调整</vt:lpstr>
      <vt:lpstr>大连商品交易所</vt:lpstr>
      <vt:lpstr>郑州品种调整</vt:lpstr>
      <vt:lpstr>中国金融期货交易所</vt:lpstr>
      <vt:lpstr>郑州商品交易所</vt:lpstr>
      <vt:lpstr>中金品种调整</vt:lpstr>
      <vt:lpstr>春节月份</vt:lpstr>
      <vt:lpstr>2012节假日安排</vt:lpstr>
      <vt:lpstr>即将上市合约一栏表</vt:lpstr>
    </vt:vector>
  </TitlesOfParts>
  <Company>jcqh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纪晓俊</dc:creator>
  <cp:lastModifiedBy>Jerry.Ji.FRM</cp:lastModifiedBy>
  <cp:lastPrinted>2013-03-15T00:54:06Z</cp:lastPrinted>
  <dcterms:created xsi:type="dcterms:W3CDTF">2011-12-07T00:50:00Z</dcterms:created>
  <dcterms:modified xsi:type="dcterms:W3CDTF">2015-06-16T09:54:13Z</dcterms:modified>
</cp:coreProperties>
</file>