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sers\Alan\Documents\GoogleDrive_BabiOlzani\Research\__Working Researches\Option_Pricing_20200701\Option Pricing 01-07-2020\"/>
    </mc:Choice>
  </mc:AlternateContent>
  <xr:revisionPtr revIDLastSave="0" documentId="13_ncr:1_{191528CB-8ECF-42FA-8FDA-8D8F6EE702B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Key Term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8" i="1"/>
  <c r="D10" i="1" s="1"/>
  <c r="G4" i="1"/>
  <c r="J4" i="1" s="1"/>
  <c r="G8" i="1" l="1"/>
  <c r="B9" i="1"/>
  <c r="D12" i="1"/>
  <c r="D8" i="1"/>
  <c r="D11" i="1" l="1"/>
  <c r="D9" i="1"/>
  <c r="B17" i="1" s="1"/>
  <c r="I12" i="1"/>
  <c r="L3" i="1"/>
  <c r="G9" i="1"/>
  <c r="I10" i="1"/>
  <c r="I8" i="1"/>
  <c r="B16" i="1"/>
  <c r="B15" i="1"/>
  <c r="B14" i="1"/>
  <c r="B10" i="1"/>
  <c r="B11" i="1" s="1"/>
  <c r="B13" i="1"/>
  <c r="G13" i="1" l="1"/>
  <c r="G14" i="1" s="1"/>
  <c r="G16" i="1"/>
  <c r="G15" i="1"/>
  <c r="I11" i="1"/>
  <c r="I9" i="1"/>
  <c r="G17" i="1" s="1"/>
  <c r="G18" i="1" l="1"/>
  <c r="G24" i="1" s="1"/>
  <c r="G23" i="1"/>
  <c r="G21" i="1"/>
  <c r="G22" i="1" s="1"/>
  <c r="G19" i="1"/>
  <c r="G20" i="1" s="1"/>
  <c r="G10" i="1"/>
  <c r="G11" i="1" s="1"/>
</calcChain>
</file>

<file path=xl/sharedStrings.xml><?xml version="1.0" encoding="utf-8"?>
<sst xmlns="http://schemas.openxmlformats.org/spreadsheetml/2006/main" count="77" uniqueCount="40">
  <si>
    <t>σ</t>
  </si>
  <si>
    <t>q</t>
  </si>
  <si>
    <t>r</t>
  </si>
  <si>
    <t>beta</t>
  </si>
  <si>
    <t>S</t>
  </si>
  <si>
    <t>X</t>
  </si>
  <si>
    <t>S'</t>
  </si>
  <si>
    <t>T</t>
  </si>
  <si>
    <t>k</t>
  </si>
  <si>
    <t>D1</t>
  </si>
  <si>
    <t>N(D1)</t>
  </si>
  <si>
    <t>D2</t>
  </si>
  <si>
    <t>N(D2)</t>
  </si>
  <si>
    <t>Cc</t>
  </si>
  <si>
    <t>N(-D1)</t>
  </si>
  <si>
    <t>Pp</t>
  </si>
  <si>
    <t>N(-D2)</t>
  </si>
  <si>
    <t>N'(D1)</t>
  </si>
  <si>
    <t>∆ for Call</t>
  </si>
  <si>
    <t>∆ for put</t>
  </si>
  <si>
    <t>Gamma for Call</t>
  </si>
  <si>
    <t>Gamma for Put</t>
  </si>
  <si>
    <t>Theta for Call</t>
  </si>
  <si>
    <t>Theta for Put</t>
  </si>
  <si>
    <t>Vega for Call (%)</t>
  </si>
  <si>
    <t>Vega for Put (%)</t>
  </si>
  <si>
    <t>Rho for Call (%)</t>
  </si>
  <si>
    <t>Rho for Put (%)</t>
  </si>
  <si>
    <t>Daily Theta for Call</t>
  </si>
  <si>
    <t>Daily Theta for Put</t>
  </si>
  <si>
    <t>Via El-Khatib and Hatemi-J (2017) model</t>
  </si>
  <si>
    <t>Via Black and Scholes (1973) model</t>
  </si>
  <si>
    <t>,</t>
  </si>
  <si>
    <t>Formulas for price sensitivities of the Black and Scholes model</t>
  </si>
  <si>
    <t>Key Terms:</t>
  </si>
  <si>
    <t>Delta: The market's expectation of an Option's contract expiring in-the-money.</t>
  </si>
  <si>
    <t>Gamma: The rate of change of Delta.</t>
  </si>
  <si>
    <t>Theta: The rate of time decay of an Option.</t>
  </si>
  <si>
    <t>Vega: The rate of volatility of an Option.</t>
  </si>
  <si>
    <t>Rho: Rho (p) represents the rate of change between an option's value and a 1% change in the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</si>
</sst>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0" fillId="0" borderId="0" xfId="0" applyFont="1"/>
    <xf numFmtId="165" fontId="1" fillId="0" borderId="0" xfId="0" applyNumberFormat="1" applyFont="1"/>
    <xf numFmtId="0" fontId="6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emf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38100</xdr:rowOff>
        </xdr:from>
        <xdr:to>
          <xdr:col>16</xdr:col>
          <xdr:colOff>171450</xdr:colOff>
          <xdr:row>4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5</xdr:row>
          <xdr:rowOff>180975</xdr:rowOff>
        </xdr:from>
        <xdr:to>
          <xdr:col>17</xdr:col>
          <xdr:colOff>333375</xdr:colOff>
          <xdr:row>9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11</xdr:row>
          <xdr:rowOff>95250</xdr:rowOff>
        </xdr:from>
        <xdr:to>
          <xdr:col>14</xdr:col>
          <xdr:colOff>123825</xdr:colOff>
          <xdr:row>13</xdr:row>
          <xdr:rowOff>104775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14</xdr:row>
          <xdr:rowOff>38100</xdr:rowOff>
        </xdr:from>
        <xdr:to>
          <xdr:col>18</xdr:col>
          <xdr:colOff>9525</xdr:colOff>
          <xdr:row>16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10</xdr:row>
          <xdr:rowOff>85725</xdr:rowOff>
        </xdr:from>
        <xdr:to>
          <xdr:col>18</xdr:col>
          <xdr:colOff>342900</xdr:colOff>
          <xdr:row>12</xdr:row>
          <xdr:rowOff>85725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20</xdr:row>
          <xdr:rowOff>104775</xdr:rowOff>
        </xdr:from>
        <xdr:to>
          <xdr:col>18</xdr:col>
          <xdr:colOff>361950</xdr:colOff>
          <xdr:row>22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485775</xdr:colOff>
          <xdr:row>17</xdr:row>
          <xdr:rowOff>0</xdr:rowOff>
        </xdr:from>
        <xdr:to>
          <xdr:col>18</xdr:col>
          <xdr:colOff>428625</xdr:colOff>
          <xdr:row>19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25</xdr:row>
      <xdr:rowOff>0</xdr:rowOff>
    </xdr:from>
    <xdr:to>
      <xdr:col>1</xdr:col>
      <xdr:colOff>909638</xdr:colOff>
      <xdr:row>25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"/>
          <a:ext cx="2124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2</xdr:col>
      <xdr:colOff>142875</xdr:colOff>
      <xdr:row>27</xdr:row>
      <xdr:rowOff>14288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4913"/>
          <a:ext cx="2481263" cy="195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</xdr:col>
      <xdr:colOff>719138</xdr:colOff>
      <xdr:row>29</xdr:row>
      <xdr:rowOff>157163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5888"/>
          <a:ext cx="1933575" cy="51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900113</xdr:colOff>
      <xdr:row>31</xdr:row>
      <xdr:rowOff>14288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8813"/>
          <a:ext cx="9001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909638</xdr:colOff>
      <xdr:row>56</xdr:row>
      <xdr:rowOff>19050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7475"/>
          <a:ext cx="6472238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%20teaching/Asymmetric%20causality%2016%20v2/Youssef/Option%20pricing%20during%20crisis/Options_Pricing_2016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Our_Model"/>
      <sheetName val="Example 2"/>
    </sheetNames>
    <sheetDataSet>
      <sheetData sheetId="0">
        <row r="12">
          <cell r="F12">
            <v>-93.708136732538961</v>
          </cell>
          <cell r="H12">
            <v>-0.25673462118503826</v>
          </cell>
        </row>
        <row r="13">
          <cell r="F13">
            <v>-32.751267230768178</v>
          </cell>
          <cell r="H13">
            <v>-8.9729499262378568E-2</v>
          </cell>
        </row>
        <row r="15">
          <cell r="F15">
            <v>3.3822701829510904</v>
          </cell>
        </row>
        <row r="16">
          <cell r="F16">
            <v>2.6062733073517155</v>
          </cell>
        </row>
        <row r="17">
          <cell r="F17">
            <v>-3.4894136428253635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workbookViewId="0">
      <selection activeCell="F13" sqref="F13:F24"/>
    </sheetView>
  </sheetViews>
  <sheetFormatPr defaultRowHeight="15" x14ac:dyDescent="0.25"/>
  <cols>
    <col min="1" max="1" width="17" customWidth="1"/>
    <col min="2" max="2" width="15.7109375" customWidth="1"/>
    <col min="3" max="4" width="9" customWidth="1"/>
    <col min="5" max="5" width="3.140625" customWidth="1"/>
    <col min="6" max="6" width="24" customWidth="1"/>
    <col min="7" max="7" width="13.85546875" customWidth="1"/>
    <col min="8" max="8" width="8" bestFit="1" customWidth="1"/>
    <col min="10" max="10" width="13" customWidth="1"/>
    <col min="11" max="11" width="3.85546875" customWidth="1"/>
    <col min="12" max="12" width="13.7109375" customWidth="1"/>
  </cols>
  <sheetData>
    <row r="1" spans="1:19" ht="19.5" thickBot="1" x14ac:dyDescent="0.35">
      <c r="A1" s="1" t="s">
        <v>31</v>
      </c>
      <c r="E1" s="16"/>
      <c r="F1" s="1" t="s">
        <v>30</v>
      </c>
      <c r="G1" s="2"/>
      <c r="H1" s="2"/>
      <c r="I1" s="2"/>
      <c r="J1" s="2"/>
    </row>
    <row r="2" spans="1:19" ht="18.75" x14ac:dyDescent="0.3">
      <c r="A2" s="3" t="s">
        <v>0</v>
      </c>
      <c r="B2" s="4">
        <v>0.2</v>
      </c>
      <c r="C2" s="4"/>
      <c r="D2" s="4"/>
      <c r="E2" s="17"/>
      <c r="F2" s="3" t="s">
        <v>0</v>
      </c>
      <c r="G2" s="4">
        <v>0.2</v>
      </c>
      <c r="H2" s="2"/>
      <c r="I2" s="2" t="s">
        <v>1</v>
      </c>
      <c r="J2" s="2">
        <v>0</v>
      </c>
      <c r="K2" s="2"/>
      <c r="L2" s="2"/>
      <c r="N2" s="5"/>
    </row>
    <row r="3" spans="1:19" ht="18.75" x14ac:dyDescent="0.3">
      <c r="A3" s="2" t="s">
        <v>2</v>
      </c>
      <c r="B3" s="4">
        <v>0.05</v>
      </c>
      <c r="C3" s="4"/>
      <c r="D3" s="4"/>
      <c r="E3" s="17"/>
      <c r="F3" s="2" t="s">
        <v>2</v>
      </c>
      <c r="G3" s="4">
        <v>0.05</v>
      </c>
      <c r="H3" s="2"/>
      <c r="I3" s="2" t="s">
        <v>3</v>
      </c>
      <c r="J3" s="2">
        <v>0.5</v>
      </c>
      <c r="K3" s="2"/>
      <c r="L3" s="2">
        <f>_xlfn.NORM.S.DIST(-G8,TRUE)</f>
        <v>0.52806226461216554</v>
      </c>
      <c r="M3" s="6"/>
    </row>
    <row r="4" spans="1:19" ht="18.75" x14ac:dyDescent="0.3">
      <c r="A4" s="7" t="s">
        <v>4</v>
      </c>
      <c r="B4" s="7">
        <v>1200</v>
      </c>
      <c r="C4" s="7"/>
      <c r="D4" s="7"/>
      <c r="E4" s="17"/>
      <c r="F4" s="2" t="s">
        <v>5</v>
      </c>
      <c r="G4" s="4">
        <f>B4-J3/G2</f>
        <v>1197.5</v>
      </c>
      <c r="H4" s="2"/>
      <c r="I4" s="2" t="s">
        <v>6</v>
      </c>
      <c r="J4" s="8">
        <f>G4*EXP(-J2*G5)</f>
        <v>1197.5</v>
      </c>
      <c r="K4" s="2"/>
      <c r="L4" s="2"/>
    </row>
    <row r="5" spans="1:19" ht="18.75" x14ac:dyDescent="0.3">
      <c r="A5" s="2" t="s">
        <v>7</v>
      </c>
      <c r="B5" s="4">
        <v>0.5</v>
      </c>
      <c r="C5" s="4"/>
      <c r="D5" s="4"/>
      <c r="E5" s="17"/>
      <c r="F5" s="2" t="s">
        <v>7</v>
      </c>
      <c r="G5" s="4">
        <v>0.5</v>
      </c>
      <c r="H5" s="2"/>
      <c r="I5" s="2"/>
      <c r="J5" s="2"/>
      <c r="K5" s="2"/>
      <c r="L5" s="2"/>
    </row>
    <row r="6" spans="1:19" ht="18.75" x14ac:dyDescent="0.3">
      <c r="A6" s="2" t="s">
        <v>8</v>
      </c>
      <c r="B6" s="4">
        <v>1250</v>
      </c>
      <c r="C6" s="4"/>
      <c r="D6" s="4"/>
      <c r="E6" s="17"/>
      <c r="F6" s="2" t="s">
        <v>8</v>
      </c>
      <c r="G6" s="4">
        <v>1250</v>
      </c>
      <c r="H6" s="2"/>
      <c r="I6" s="2"/>
      <c r="J6" s="2"/>
      <c r="K6" s="2"/>
      <c r="L6" s="2"/>
    </row>
    <row r="7" spans="1:19" x14ac:dyDescent="0.25">
      <c r="A7" s="9"/>
      <c r="B7" s="9"/>
      <c r="C7" s="9"/>
      <c r="D7" s="9"/>
      <c r="E7" s="17"/>
      <c r="F7" s="10"/>
      <c r="G7" s="11"/>
      <c r="H7" s="10"/>
      <c r="I7" s="10"/>
      <c r="J7" s="10"/>
      <c r="K7" s="10"/>
      <c r="L7" s="10"/>
      <c r="M7" s="9"/>
      <c r="N7" s="9"/>
      <c r="O7" s="9"/>
      <c r="P7" s="9"/>
      <c r="Q7" s="9"/>
      <c r="R7" s="9"/>
      <c r="S7" s="9"/>
    </row>
    <row r="8" spans="1:19" x14ac:dyDescent="0.25">
      <c r="A8" s="7" t="s">
        <v>9</v>
      </c>
      <c r="B8" s="7">
        <f>(LN((B4)/(B6))+(B3+B2*B2*0.5)*B5)/(B2*SQRT(B5))</f>
        <v>-4.1167718053033452E-2</v>
      </c>
      <c r="C8" s="7" t="s">
        <v>10</v>
      </c>
      <c r="D8" s="7">
        <f>_xlfn.NORM.S.DIST(B8,TRUE)</f>
        <v>0.48358109455346587</v>
      </c>
      <c r="E8" s="17"/>
      <c r="F8" s="7" t="s">
        <v>9</v>
      </c>
      <c r="G8" s="12">
        <f>(LN((G4)/(G6+(J3/G2)*EXP(G3*G5)))+(G3+G2*G2*0.5)*G5)/(G2*SQRT(G5))</f>
        <v>-7.0399774439798654E-2</v>
      </c>
      <c r="H8" s="7" t="s">
        <v>10</v>
      </c>
      <c r="I8" s="7">
        <f>_xlfn.NORM.S.DIST(G8,TRUE)</f>
        <v>0.47193773538783446</v>
      </c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7" t="s">
        <v>11</v>
      </c>
      <c r="B9" s="7">
        <f>B8-B2*SQRT(B5)</f>
        <v>-0.18258907429034299</v>
      </c>
      <c r="C9" s="7" t="s">
        <v>12</v>
      </c>
      <c r="D9" s="7">
        <f>_xlfn.NORM.S.DIST(B9,1)</f>
        <v>0.42756022883950817</v>
      </c>
      <c r="E9" s="17"/>
      <c r="F9" s="7" t="s">
        <v>11</v>
      </c>
      <c r="G9" s="12">
        <f>G8-G2*SQRT(G5)</f>
        <v>-0.21182113067710817</v>
      </c>
      <c r="H9" s="7" t="s">
        <v>12</v>
      </c>
      <c r="I9" s="7">
        <f>_xlfn.NORM.S.DIST(G9,1)</f>
        <v>0.41612329133381754</v>
      </c>
      <c r="J9" s="9"/>
      <c r="K9" s="9"/>
      <c r="L9" s="10"/>
      <c r="M9" s="9"/>
      <c r="N9" s="9"/>
      <c r="O9" s="9"/>
      <c r="P9" s="9"/>
      <c r="Q9" s="9"/>
      <c r="R9" s="9"/>
      <c r="S9" s="9"/>
    </row>
    <row r="10" spans="1:19" x14ac:dyDescent="0.25">
      <c r="A10" s="7" t="s">
        <v>13</v>
      </c>
      <c r="B10" s="7">
        <f>B4*D8-(EXP(-B3*B5)*B6)*D9</f>
        <v>59.04265199381598</v>
      </c>
      <c r="C10" s="7" t="s">
        <v>14</v>
      </c>
      <c r="D10" s="7">
        <f>_xlfn.NORM.S.DIST(-B8,TRUE)</f>
        <v>0.51641890544653413</v>
      </c>
      <c r="E10" s="17"/>
      <c r="F10" s="7" t="s">
        <v>13</v>
      </c>
      <c r="G10" s="12">
        <f>J4*I8-(EXP(-G3*G5)*G6+J3/G2)*I9</f>
        <v>56.793666568939898</v>
      </c>
      <c r="H10" s="7" t="s">
        <v>14</v>
      </c>
      <c r="I10" s="7">
        <f>_xlfn.NORM.S.DIST(-G8,TRUE)</f>
        <v>0.52806226461216554</v>
      </c>
      <c r="J10" s="9"/>
      <c r="K10" s="9"/>
      <c r="L10" s="10"/>
      <c r="M10" s="9"/>
      <c r="N10" s="9"/>
      <c r="O10" s="9"/>
      <c r="P10" s="9"/>
      <c r="Q10" s="9"/>
      <c r="R10" s="9"/>
      <c r="S10" s="9"/>
    </row>
    <row r="11" spans="1:19" x14ac:dyDescent="0.25">
      <c r="A11" s="7" t="s">
        <v>15</v>
      </c>
      <c r="B11" s="7">
        <f>B6*EXP(-B3*B5)+B10-B4</f>
        <v>78.180042029231799</v>
      </c>
      <c r="C11" s="7" t="s">
        <v>16</v>
      </c>
      <c r="D11" s="7">
        <f>_xlfn.NORM.S.DIST(-B9,TRUE)</f>
        <v>0.57243977116049183</v>
      </c>
      <c r="E11" s="17"/>
      <c r="F11" s="7" t="s">
        <v>15</v>
      </c>
      <c r="G11" s="12">
        <f>G6*EXP(-G3*G5)+G10-J4</f>
        <v>78.431056604355717</v>
      </c>
      <c r="H11" s="7" t="s">
        <v>16</v>
      </c>
      <c r="I11" s="7">
        <f>_xlfn.NORM.S.DIST(-G9,TRUE)</f>
        <v>0.58387670866618246</v>
      </c>
      <c r="J11" s="9"/>
      <c r="K11" s="9"/>
      <c r="L11" s="10"/>
      <c r="M11" s="9"/>
      <c r="N11" s="9"/>
      <c r="O11" s="9"/>
      <c r="P11" s="9"/>
      <c r="Q11" s="9"/>
      <c r="R11" s="9"/>
      <c r="S11" s="9"/>
    </row>
    <row r="12" spans="1:19" x14ac:dyDescent="0.25">
      <c r="A12" s="13"/>
      <c r="B12" s="13"/>
      <c r="C12" s="7" t="s">
        <v>17</v>
      </c>
      <c r="D12" s="7">
        <f>_xlfn.NORM.S.DIST(B8,FALSE)</f>
        <v>0.39860436369496344</v>
      </c>
      <c r="E12" s="17"/>
      <c r="F12" s="7"/>
      <c r="G12" s="7"/>
      <c r="H12" s="7" t="s">
        <v>17</v>
      </c>
      <c r="I12" s="7">
        <f>_xlfn.NORM.S.DIST(G8,FALSE)</f>
        <v>0.39795489975174103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7" t="s">
        <v>18</v>
      </c>
      <c r="B13" s="14">
        <f>EXP(-J2*B5)*D8</f>
        <v>0.48358109455346587</v>
      </c>
      <c r="C13" s="14"/>
      <c r="D13" s="14"/>
      <c r="E13" s="17"/>
      <c r="F13" s="7" t="s">
        <v>18</v>
      </c>
      <c r="G13" s="14">
        <f>EXP(-J2*G5)*I8</f>
        <v>0.47193773538783446</v>
      </c>
      <c r="H13" s="7"/>
      <c r="I13" s="7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7" t="s">
        <v>19</v>
      </c>
      <c r="B14" s="14">
        <f>1-D8</f>
        <v>0.51641890544653413</v>
      </c>
      <c r="C14" s="14"/>
      <c r="D14" s="14"/>
      <c r="E14" s="17"/>
      <c r="F14" s="7" t="s">
        <v>19</v>
      </c>
      <c r="G14" s="14">
        <f>G13-1</f>
        <v>-0.52806226461216554</v>
      </c>
      <c r="H14" s="7"/>
      <c r="I14" s="7"/>
      <c r="K14" s="9"/>
      <c r="L14" s="10"/>
      <c r="M14" s="9"/>
      <c r="N14" s="9"/>
      <c r="O14" s="9"/>
      <c r="P14" s="9"/>
      <c r="Q14" s="9"/>
      <c r="R14" s="9"/>
      <c r="S14" s="9"/>
    </row>
    <row r="15" spans="1:19" x14ac:dyDescent="0.25">
      <c r="A15" s="7" t="s">
        <v>20</v>
      </c>
      <c r="B15" s="7">
        <f>EXP(-J2*B5)*D12/(B4*B2*SQRT(B5))</f>
        <v>2.3487987381604794E-3</v>
      </c>
      <c r="C15" s="7"/>
      <c r="D15" s="7"/>
      <c r="E15" s="17"/>
      <c r="F15" s="7" t="s">
        <v>20</v>
      </c>
      <c r="G15" s="7">
        <f>EXP(-J2*G5)*I12/((G4*G2+J3*EXP(G3*G5))*SQRT(2*PI()*G5))</f>
        <v>9.3545903555253556E-4</v>
      </c>
      <c r="H15" s="7"/>
      <c r="J15" s="9"/>
      <c r="K15" s="9"/>
      <c r="L15" s="10"/>
      <c r="M15" s="9"/>
      <c r="N15" s="9"/>
      <c r="O15" s="9"/>
      <c r="P15" s="9"/>
      <c r="Q15" s="9"/>
      <c r="R15" s="9"/>
      <c r="S15" s="9"/>
    </row>
    <row r="16" spans="1:19" x14ac:dyDescent="0.25">
      <c r="A16" s="7" t="s">
        <v>21</v>
      </c>
      <c r="B16" s="7">
        <f>EXP(-J2*B5)*D12/(B4*B2*SQRT(B5))</f>
        <v>2.3487987381604794E-3</v>
      </c>
      <c r="C16" s="7"/>
      <c r="D16" s="7"/>
      <c r="E16" s="17"/>
      <c r="F16" s="7" t="s">
        <v>21</v>
      </c>
      <c r="G16" s="7">
        <f>EXP(-J2*G5)*I12/(G4*G2*SQRT(G5))</f>
        <v>2.3498672920323075E-3</v>
      </c>
      <c r="I16" s="7"/>
      <c r="J16" s="9"/>
      <c r="K16" s="9"/>
      <c r="L16" s="10"/>
      <c r="M16" s="9"/>
      <c r="N16" s="9"/>
      <c r="O16" s="9"/>
      <c r="P16" s="9"/>
      <c r="Q16" s="9"/>
      <c r="R16" s="9"/>
      <c r="S16" s="9"/>
    </row>
    <row r="17" spans="1:19" x14ac:dyDescent="0.25">
      <c r="A17" s="7" t="s">
        <v>22</v>
      </c>
      <c r="B17" s="7">
        <f>(-B4*D12*B2*EXP(-J2*B5)/(2*SQRT(B5))+G2*B4*D8*EXP(-J2*B5)-B3*B6*EXP(-B3*B5)*D9)</f>
        <v>22.351325960292851</v>
      </c>
      <c r="C17" s="7"/>
      <c r="D17" s="7"/>
      <c r="E17" s="17"/>
      <c r="F17" s="7" t="s">
        <v>22</v>
      </c>
      <c r="G17" s="7">
        <f>0.5*I12*(-(G4*G2+J3*EXP(G3*G5))/SQRT(G5))+G3*(J3/G2)*EXP(G3*G5)*I8-((G3*G6*(EXP(-G3*G5)) +G3*(J3/G2)*EXP(G3*G5)))*I9</f>
        <v>-92.897167509838482</v>
      </c>
      <c r="I17" s="7"/>
      <c r="J17" s="9"/>
      <c r="K17" s="9"/>
      <c r="L17" s="10"/>
      <c r="M17" s="9"/>
      <c r="N17" s="9"/>
      <c r="O17" s="9"/>
      <c r="P17" s="9"/>
      <c r="Q17" s="9"/>
      <c r="R17" s="9"/>
      <c r="S17" s="9"/>
    </row>
    <row r="18" spans="1:19" x14ac:dyDescent="0.25">
      <c r="A18" s="7" t="s">
        <v>23</v>
      </c>
      <c r="B18" s="7">
        <f>[1]BS!F12</f>
        <v>-93.708136732538961</v>
      </c>
      <c r="C18" s="7"/>
      <c r="D18" s="7"/>
      <c r="E18" s="17"/>
      <c r="F18" s="7" t="s">
        <v>23</v>
      </c>
      <c r="G18" s="7">
        <f>G17+G3*G6*EXP(-G3*G5)</f>
        <v>-31.940298008067693</v>
      </c>
      <c r="H18" s="13"/>
      <c r="I18" s="13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7" t="s">
        <v>24</v>
      </c>
      <c r="B19" s="7">
        <f>[1]BS!F13</f>
        <v>-32.751267230768178</v>
      </c>
      <c r="C19" s="7"/>
      <c r="D19" s="7"/>
      <c r="E19" s="17"/>
      <c r="F19" s="7" t="s">
        <v>24</v>
      </c>
      <c r="G19" s="7">
        <f>((J3/(G2*G2))*(EXP(G3*G5))*(I9-I8)*0.01)+((I12*SQRT(G5)))*(G4+(EXP(G3*G5))*(J3/G2))*0.01</f>
        <v>3.3697839641977021</v>
      </c>
      <c r="H19" s="13"/>
      <c r="I19" s="13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7" t="s">
        <v>25</v>
      </c>
      <c r="B20" s="7">
        <f>[1]BS!F15</f>
        <v>3.3822701829510904</v>
      </c>
      <c r="C20" s="7"/>
      <c r="D20" s="7"/>
      <c r="E20" s="17"/>
      <c r="F20" s="7" t="s">
        <v>25</v>
      </c>
      <c r="G20" s="7">
        <f>G19-J3/G2/100</f>
        <v>3.3447839641977022</v>
      </c>
      <c r="H20" s="13"/>
      <c r="I20" s="13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5.75" thickBot="1" x14ac:dyDescent="0.3">
      <c r="A21" s="7" t="s">
        <v>26</v>
      </c>
      <c r="B21" s="7">
        <f>[1]BS!F16</f>
        <v>2.6062733073517155</v>
      </c>
      <c r="C21" s="7"/>
      <c r="D21" s="7"/>
      <c r="E21" s="18"/>
      <c r="F21" s="7" t="s">
        <v>26</v>
      </c>
      <c r="G21" s="7">
        <f>G6*G5*EXP(-G3*G5)*I9/100 +(J3*G5/G2)*(-I9+I8)*EXP(G3*G5)/100</f>
        <v>2.5372726590661894</v>
      </c>
      <c r="H21" s="13"/>
      <c r="I21" s="13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7" t="s">
        <v>27</v>
      </c>
      <c r="B22" s="7">
        <f>[1]BS!F17</f>
        <v>-3.4894136428253635</v>
      </c>
      <c r="C22" s="7"/>
      <c r="D22" s="7"/>
      <c r="E22" s="16"/>
      <c r="F22" s="7" t="s">
        <v>27</v>
      </c>
      <c r="G22" s="7">
        <f>G21-G5*G6*EXP(-G3*G5)/100</f>
        <v>-3.5584142911108896</v>
      </c>
      <c r="H22" s="13"/>
      <c r="I22" s="13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7" t="s">
        <v>28</v>
      </c>
      <c r="B23" s="7">
        <f>[1]BS!H12</f>
        <v>-0.25673462118503826</v>
      </c>
      <c r="C23" s="7"/>
      <c r="D23" s="7"/>
      <c r="E23" s="17"/>
      <c r="F23" s="7" t="s">
        <v>28</v>
      </c>
      <c r="G23" s="7">
        <f>G17/365</f>
        <v>-0.25451278769818764</v>
      </c>
      <c r="H23" s="13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7" t="s">
        <v>29</v>
      </c>
      <c r="B24" s="7">
        <f>[1]BS!H13</f>
        <v>-8.9729499262378568E-2</v>
      </c>
      <c r="C24" s="7"/>
      <c r="D24" s="7"/>
      <c r="E24" s="17"/>
      <c r="F24" s="7" t="s">
        <v>29</v>
      </c>
      <c r="G24" s="7">
        <f>G18/365</f>
        <v>-8.7507665775527918E-2</v>
      </c>
      <c r="H24" s="13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E25" s="17"/>
    </row>
    <row r="26" spans="1:19" ht="15.75" x14ac:dyDescent="0.25">
      <c r="A26" s="15" t="s">
        <v>32</v>
      </c>
      <c r="E26" s="17"/>
    </row>
    <row r="27" spans="1:19" x14ac:dyDescent="0.25">
      <c r="E27" s="17"/>
    </row>
    <row r="28" spans="1:19" x14ac:dyDescent="0.25">
      <c r="E28" s="17"/>
    </row>
    <row r="29" spans="1:19" x14ac:dyDescent="0.25">
      <c r="E29" s="17"/>
    </row>
    <row r="30" spans="1:19" x14ac:dyDescent="0.25">
      <c r="E30" s="17"/>
    </row>
    <row r="31" spans="1:19" ht="15.75" thickBot="1" x14ac:dyDescent="0.3">
      <c r="E31" s="18"/>
    </row>
    <row r="57" spans="1:1" x14ac:dyDescent="0.25">
      <c r="A57" t="s">
        <v>33</v>
      </c>
    </row>
  </sheetData>
  <mergeCells count="2">
    <mergeCell ref="E1:E21"/>
    <mergeCell ref="E22:E31"/>
  </mergeCells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12</xdr:col>
                <xdr:colOff>57150</xdr:colOff>
                <xdr:row>1</xdr:row>
                <xdr:rowOff>38100</xdr:rowOff>
              </from>
              <to>
                <xdr:col>16</xdr:col>
                <xdr:colOff>171450</xdr:colOff>
                <xdr:row>4</xdr:row>
                <xdr:rowOff>133350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12</xdr:col>
                <xdr:colOff>38100</xdr:colOff>
                <xdr:row>5</xdr:row>
                <xdr:rowOff>180975</xdr:rowOff>
              </from>
              <to>
                <xdr:col>17</xdr:col>
                <xdr:colOff>333375</xdr:colOff>
                <xdr:row>9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12</xdr:col>
                <xdr:colOff>85725</xdr:colOff>
                <xdr:row>11</xdr:row>
                <xdr:rowOff>95250</xdr:rowOff>
              </from>
              <to>
                <xdr:col>14</xdr:col>
                <xdr:colOff>123825</xdr:colOff>
                <xdr:row>13</xdr:row>
                <xdr:rowOff>104775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12</xdr:col>
                <xdr:colOff>57150</xdr:colOff>
                <xdr:row>14</xdr:row>
                <xdr:rowOff>38100</xdr:rowOff>
              </from>
              <to>
                <xdr:col>18</xdr:col>
                <xdr:colOff>9525</xdr:colOff>
                <xdr:row>16</xdr:row>
                <xdr:rowOff>95250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14</xdr:col>
                <xdr:colOff>304800</xdr:colOff>
                <xdr:row>10</xdr:row>
                <xdr:rowOff>85725</xdr:rowOff>
              </from>
              <to>
                <xdr:col>18</xdr:col>
                <xdr:colOff>342900</xdr:colOff>
                <xdr:row>12</xdr:row>
                <xdr:rowOff>85725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12</xdr:col>
                <xdr:colOff>95250</xdr:colOff>
                <xdr:row>20</xdr:row>
                <xdr:rowOff>104775</xdr:rowOff>
              </from>
              <to>
                <xdr:col>18</xdr:col>
                <xdr:colOff>361950</xdr:colOff>
                <xdr:row>22</xdr:row>
                <xdr:rowOff>152400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11</xdr:col>
                <xdr:colOff>485775</xdr:colOff>
                <xdr:row>17</xdr:row>
                <xdr:rowOff>0</xdr:rowOff>
              </from>
              <to>
                <xdr:col>18</xdr:col>
                <xdr:colOff>428625</xdr:colOff>
                <xdr:row>19</xdr:row>
                <xdr:rowOff>152400</xdr:rowOff>
              </to>
            </anchor>
          </objectPr>
        </oleObject>
      </mc:Choice>
      <mc:Fallback>
        <oleObject progId="Equation.3" shapeId="1031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C9BE-F508-4CA7-9F32-6A566C94A29F}">
  <dimension ref="A1:C14"/>
  <sheetViews>
    <sheetView tabSelected="1" workbookViewId="0">
      <selection activeCell="C12" sqref="C12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34</v>
      </c>
    </row>
    <row r="3" spans="1:3" x14ac:dyDescent="0.25">
      <c r="A3" s="7" t="s">
        <v>18</v>
      </c>
      <c r="C3" t="s">
        <v>35</v>
      </c>
    </row>
    <row r="4" spans="1:3" x14ac:dyDescent="0.25">
      <c r="A4" s="7" t="s">
        <v>19</v>
      </c>
    </row>
    <row r="5" spans="1:3" x14ac:dyDescent="0.25">
      <c r="A5" s="7" t="s">
        <v>20</v>
      </c>
      <c r="C5" t="s">
        <v>36</v>
      </c>
    </row>
    <row r="6" spans="1:3" x14ac:dyDescent="0.25">
      <c r="A6" s="7" t="s">
        <v>21</v>
      </c>
    </row>
    <row r="7" spans="1:3" x14ac:dyDescent="0.25">
      <c r="A7" s="7" t="s">
        <v>22</v>
      </c>
      <c r="C7" t="s">
        <v>37</v>
      </c>
    </row>
    <row r="8" spans="1:3" x14ac:dyDescent="0.25">
      <c r="A8" s="7" t="s">
        <v>23</v>
      </c>
    </row>
    <row r="9" spans="1:3" x14ac:dyDescent="0.25">
      <c r="A9" s="7" t="s">
        <v>24</v>
      </c>
      <c r="C9" t="s">
        <v>38</v>
      </c>
    </row>
    <row r="10" spans="1:3" x14ac:dyDescent="0.25">
      <c r="A10" s="7" t="s">
        <v>25</v>
      </c>
    </row>
    <row r="11" spans="1:3" x14ac:dyDescent="0.25">
      <c r="A11" s="7" t="s">
        <v>26</v>
      </c>
      <c r="C11" t="s">
        <v>39</v>
      </c>
    </row>
    <row r="12" spans="1:3" x14ac:dyDescent="0.25">
      <c r="A12" s="7" t="s">
        <v>27</v>
      </c>
    </row>
    <row r="13" spans="1:3" x14ac:dyDescent="0.25">
      <c r="A13" s="7" t="s">
        <v>28</v>
      </c>
    </row>
    <row r="14" spans="1:3" x14ac:dyDescent="0.25">
      <c r="A14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Abdulnasser Hatemi Jarabad</dc:creator>
  <cp:lastModifiedBy>Alan Mustafa</cp:lastModifiedBy>
  <dcterms:created xsi:type="dcterms:W3CDTF">2020-07-01T07:56:28Z</dcterms:created>
  <dcterms:modified xsi:type="dcterms:W3CDTF">2020-07-25T19:03:34Z</dcterms:modified>
</cp:coreProperties>
</file>