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bjek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<sst xmlns="http://schemas.openxmlformats.org/spreadsheetml/2006/main" count="22167" uniqueCount="10379">
  <si>
    <t xml:space="preserve">Objektart</t>
  </si>
  <si>
    <t xml:space="preserve">Titel/Incipit</t>
  </si>
  <si>
    <t xml:space="preserve">Verwalter (Name)</t>
  </si>
  <si>
    <t xml:space="preserve">Verwalter (Ort)</t>
  </si>
  <si>
    <t xml:space="preserve">Inventarnummer/Signatur</t>
  </si>
  <si>
    <t xml:space="preserve">Technik</t>
  </si>
  <si>
    <t xml:space="preserve">Material</t>
  </si>
  <si>
    <t xml:space="preserve">Beschreibstoff</t>
  </si>
  <si>
    <t xml:space="preserve">Jahr Start</t>
  </si>
  <si>
    <t xml:space="preserve">Jahr Ende</t>
  </si>
  <si>
    <t xml:space="preserve">Verbale Datierung</t>
  </si>
  <si>
    <t xml:space="preserve">Datum</t>
  </si>
  <si>
    <t xml:space="preserve">Herstellerrolle</t>
  </si>
  <si>
    <t xml:space="preserve">Art der Zuschreibung</t>
  </si>
  <si>
    <t xml:space="preserve">Herstellername</t>
  </si>
  <si>
    <t xml:space="preserve">Auflagenhöhe</t>
  </si>
  <si>
    <t xml:space="preserve">Auflage</t>
  </si>
  <si>
    <t xml:space="preserve">Verlag</t>
  </si>
  <si>
    <t xml:space="preserve">Münzstand</t>
  </si>
  <si>
    <t xml:space="preserve">Herstellungsort</t>
  </si>
  <si>
    <t xml:space="preserve">Kurztitel</t>
  </si>
  <si>
    <t xml:space="preserve">Seitenzahl</t>
  </si>
  <si>
    <t xml:space="preserve">RISM-Link</t>
  </si>
  <si>
    <t xml:space="preserve">Clori-Link</t>
  </si>
  <si>
    <t xml:space="preserve">VD16-Nr.</t>
  </si>
  <si>
    <t xml:space="preserve">VD17-Nr.</t>
  </si>
  <si>
    <t xml:space="preserve">VD18-Nr.</t>
  </si>
  <si>
    <t xml:space="preserve">Digitalisat-URL</t>
  </si>
  <si>
    <t xml:space="preserve">Psalm (Jürgens)</t>
  </si>
  <si>
    <t xml:space="preserve">Messtyp</t>
  </si>
  <si>
    <t xml:space="preserve">Messwert (H x B x T)</t>
  </si>
  <si>
    <t xml:space="preserve">Maßeinheit</t>
  </si>
  <si>
    <t xml:space="preserve">Verwalter (Name) dupl.</t>
  </si>
  <si>
    <t xml:space="preserve">Verwalter (Ort) dupl.</t>
  </si>
  <si>
    <t xml:space="preserve">Inventarnummer dupl.</t>
  </si>
  <si>
    <t xml:space="preserve">Zusatzinfo Duplikat</t>
  </si>
  <si>
    <t xml:space="preserve">Standorttyp dupl.</t>
  </si>
  <si>
    <t xml:space="preserve">Standortnummer dupl.</t>
  </si>
  <si>
    <t xml:space="preserve">Weiteres Exemplar URL</t>
  </si>
  <si>
    <t xml:space="preserve">Depositum dupl.</t>
  </si>
  <si>
    <t xml:space="preserve">Gattung</t>
  </si>
  <si>
    <t xml:space="preserve">Enthalten in</t>
  </si>
  <si>
    <t xml:space="preserve">S./Bl. des enthaltenen Werkes</t>
  </si>
  <si>
    <t xml:space="preserve">Anzahl der Bände GESAMT</t>
  </si>
  <si>
    <t xml:space="preserve">Seiten/Blätter GESAMT</t>
  </si>
  <si>
    <t xml:space="preserve">Bearbeiter</t>
  </si>
  <si>
    <t xml:space="preserve">Bearbeitungsstatus</t>
  </si>
  <si>
    <t xml:space="preserve">Dokumentation</t>
  </si>
  <si>
    <t xml:space="preserve">Auswahl Diss.</t>
  </si>
  <si>
    <t xml:space="preserve">Dissertation Kapitel</t>
  </si>
  <si>
    <t xml:space="preserve">Untertitel</t>
  </si>
  <si>
    <t xml:space="preserve">Titelzusatz</t>
  </si>
  <si>
    <t xml:space="preserve">Beschreibung</t>
  </si>
  <si>
    <t xml:space="preserve">Zustand</t>
  </si>
  <si>
    <t xml:space="preserve">PPN</t>
  </si>
  <si>
    <t xml:space="preserve">Signatur (Typ)</t>
  </si>
  <si>
    <t xml:space="preserve">Signatur (Inhalt)</t>
  </si>
  <si>
    <t xml:space="preserve">Signatur (Position)</t>
  </si>
  <si>
    <t xml:space="preserve">Sammlerstempel</t>
  </si>
  <si>
    <t xml:space="preserve">Sammlerstempel (Nachweis)</t>
  </si>
  <si>
    <t xml:space="preserve">Sammlerstempel (Nachweis: Seite/Nummer)</t>
  </si>
  <si>
    <t xml:space="preserve">Anbringungsort</t>
  </si>
  <si>
    <t xml:space="preserve">Inschrift (Typ)</t>
  </si>
  <si>
    <t xml:space="preserve">Inschrift (Inhalt)</t>
  </si>
  <si>
    <t xml:space="preserve">Inschrift (Position)</t>
  </si>
  <si>
    <t xml:space="preserve">Standorttyp</t>
  </si>
  <si>
    <t xml:space="preserve">Standortnummer</t>
  </si>
  <si>
    <t xml:space="preserve">Serientitel</t>
  </si>
  <si>
    <t xml:space="preserve">Blattzahl (Gesamt)</t>
  </si>
  <si>
    <t xml:space="preserve">Blattnummer</t>
  </si>
  <si>
    <t xml:space="preserve">Reihentitel</t>
  </si>
  <si>
    <t xml:space="preserve">Reihenband</t>
  </si>
  <si>
    <t xml:space="preserve">Kommentar</t>
  </si>
  <si>
    <t xml:space="preserve">Anmerkungen</t>
  </si>
  <si>
    <t xml:space="preserve">Transkription</t>
  </si>
  <si>
    <t xml:space="preserve">Bild-URL</t>
  </si>
  <si>
    <t xml:space="preserve">Inv.nr./Signatur</t>
  </si>
  <si>
    <t xml:space="preserve">Art</t>
  </si>
  <si>
    <t xml:space="preserve">Kategorie (Jürgens)</t>
  </si>
  <si>
    <t xml:space="preserve">Predigtdatum (Jürgens)</t>
  </si>
  <si>
    <t xml:space="preserve">To do</t>
  </si>
  <si>
    <t xml:space="preserve">Exzerpt</t>
  </si>
  <si>
    <t xml:space="preserve">Erwerbsinformation</t>
  </si>
  <si>
    <t xml:space="preserve">Ausstellungstext</t>
  </si>
  <si>
    <t xml:space="preserve">Objekt in Ausstellung</t>
  </si>
  <si>
    <t xml:space="preserve">Präsentationsgruppe</t>
  </si>
  <si>
    <t xml:space="preserve">Bild_URL_Link</t>
  </si>
  <si>
    <t xml:space="preserve">Inhalt</t>
  </si>
  <si>
    <t xml:space="preserve">Audiofile_URL</t>
  </si>
  <si>
    <t xml:space="preserve">Bearbeitetes Bild URL</t>
  </si>
  <si>
    <t xml:space="preserve">Bearbeitetes Bild URL Link</t>
  </si>
  <si>
    <t xml:space="preserve">Audiofile File</t>
  </si>
  <si>
    <t xml:space="preserve">Enthaltene Objekte</t>
  </si>
  <si>
    <t xml:space="preserve">Zugehöriges Objekt</t>
  </si>
  <si>
    <t xml:space="preserve">Fotobestellung</t>
  </si>
  <si>
    <t xml:space="preserve">Fotobestellung Duplikat</t>
  </si>
  <si>
    <t xml:space="preserve">Druckgraphik</t>
  </si>
  <si>
    <t xml:space="preserve">Neuer Auß Münster vom 25. deß Weinmonats im Jahr 1648. abgefertigter Freud- und Friedenbringender Postreuter</t>
  </si>
  <si>
    <t xml:space="preserve">Germanisches Nationalmuseum</t>
  </si>
  <si>
    <t xml:space="preserve">Nürnberg</t>
  </si>
  <si>
    <t xml:space="preserve">HB 711, Kapsel 1248</t>
  </si>
  <si>
    <t xml:space="preserve">Holzschnitt</t>
  </si>
  <si>
    <t xml:space="preserve">Papier</t>
  </si>
  <si>
    <t xml:space="preserve">Deutschland</t>
  </si>
  <si>
    <t xml:space="preserve">Duchhardt 1996
Ausst. Kat. Delft / Utrecht u.a. 1998
Ausst. Kat. Münster 1988b
Harms
Neumann 1998
Paas
Kaster / Steinwascher 1996
Ausst. Kat. Münster / Osnabrück 1998
Fleitmann 1974
Jürgens 2017</t>
  </si>
  <si>
    <t xml:space="preserve">S. 21
S. 43, Nr. 30
S. 246, Nr. 162–163
Bd. IV, S. 254–255, Nr. 54
S. 12–13
Bd. VII, S. 336, Nr. P-2205
S. 21, Nr. 9
Bd. III, S. 220–221 (Kristin Wiedau)</t>
  </si>
  <si>
    <t xml:space="preserve">4620:736947M</t>
  </si>
  <si>
    <t xml:space="preserve">Darstellung</t>
  </si>
  <si>
    <t xml:space="preserve">14,7 x 26,6</t>
  </si>
  <si>
    <t xml:space="preserve">cm</t>
  </si>
  <si>
    <t xml:space="preserve">Flugblatt</t>
  </si>
  <si>
    <t xml:space="preserve">Anna Lisa Schwartz/Franziska Bauer</t>
  </si>
  <si>
    <t xml:space="preserve">Freigabe</t>
  </si>
  <si>
    <t xml:space="preserve">Original geprüft</t>
  </si>
  <si>
    <t xml:space="preserve">Verkündigung des Westfälischen Friedens durch einen Postreiter  </t>
  </si>
  <si>
    <t xml:space="preserve">Aufsess, Hans von und zu</t>
  </si>
  <si>
    <t xml:space="preserve">Lugt</t>
  </si>
  <si>
    <t xml:space="preserve">Nr. 2749</t>
  </si>
  <si>
    <t xml:space="preserve">Recto</t>
  </si>
  <si>
    <t xml:space="preserve">Der den Frieden verkündende Postreiter dürfte zu den bekanntesten Flugblättern aus der Zeit des Westfälischen Friedens zählen. In sein Horn blasend, reitet er über zerbrochenes Kriegsgerät hinweg. Am Horizont sind Fama und Merkur als Boten und zugleich Garanten des wieder aufblühenden Handels zu sehen. Im Hintergrund wird die Friedensnachricht auf dem Seeweg nach Schweden weitergeleitet.[fn]Bei einem wenig früher entstandenen motivgleichen Holzschnitt von Marx Anton Hannas (Städtische Kunstsammlungen Augsburg, Inv.-Nr. G. 20632) fehlen die Beschriftungen im Holzschnitt. Wahrscheinlich wurden sie auf dem hier vorliegenden Beispiel zur leichteren Verständlichkeit hinzugefügt. [/fn] Die Verse des Blattes loben die Segnungen des Friedens für verschiedene Berufsstände[fn]“Der Schuster wird sein Geldt vor Schuh nicht können zehlen/ Den Schneider wird das Volck umb neue Kleider quelen/...”[/fn] und fordern zum Dank an Gott auf.
Flugblätter spielten bei der Verbreitung der Nachricht von der Unterzeichnung des Friedensvertrages vom 24. Oktober 1648 eine herausragende Rolle. Gefördert wurde ihre schnelle Übermittlung noch dadurch, dass im Zuge des Gesandtenkongresses in Münster und Osnabrück beide Städte an die Taxische Reichspost angeschlossen worden waren, um einen ungehinderten Briefwechsel zwischen Diplomaten und Herrscherhäusern zu ermöglichen.
ALS
</t>
  </si>
  <si>
    <t xml:space="preserve">Überschrift:
Neuer
Auß Münßter vom 25. deß Weinmonats im Jahr
1648. abgefertigter Freud= und Friedenbringender Postreuter.
Erste Spalte:
Ich komm von Münster her gleich Sporensteich ge-
ritten/
und habe nun das meist deß Weges überschritten/
Ich bringe gute Post und neue Friedenszeit/
der Frieden ist gemacht / gewendet alles Leid.
Man bläst ihn freudig auß mit hellen Feldtrommeten/
mit Kesselpaucken Hall / mit klaren Feld=Clareten.
Mercur fleugt in der Lufft / und auch der Friede; Io/
Gantz Münster / Oßnabrugg und alle Welt ist froh/
die Glocken thönen starck / die Orgeln lieblich klingen/
Herr Gott wir loben dich/ die frohen Leute singen.
die Stücke donneren und sausen in der Lufft/
die Fahnen fliegen schön / und alles jauchtzend rufft:
der Höchste sey gelobt / der Friede ist getroffen/
fortan hat männiglich ein besser Jahr zu hoffen/
der Priester und das Buch/ der Rahtherr und das Schwerdt/
der Bauer und der Pflug/ der Ochse und das Pferd.
&amp;nbsp;
Die Kirchen werden fort in voller Blüte stehen/
Man wird zum Hauß deß Herrn in vollen Sprüngen gehen/
und hören Gottes Wort: Kunst wird seyn hochgeacht/
die Jugend wird studiern bey Tag und auch bey Nacht/
Man wird deß Herren Ruhm auff Psalter und auff Seiten/
In Osten und in West/ in Sud und Nord außbreiten:
die Saine und Paris / die Donau und ihr Wien/
der Belht und sein Stockholm sind friedlich/ frisch und grün.
&amp;nbsp;
Der Friede kömt Gott lob mit schnellem Flug geflogen/
mit ihm komt alles Glück und Segen eingezogen/
Er bringet Friedenspost / und güldene FriedensZeit/
der Krieg ist nun gestillt, geendet alles Leid.
Spieß/ Bogen/ Schild und Schwerdt/ und Lanzen sind zerschmissen/
Gerechtigkeit und Fried sich miteinander küssen/
Wo Mars der Landsknechts Gott/ die Oberherrschaft hat
da herrschet Lasterschwarm/ und Tugend hat nicht stadt.
Drum freuet/ freuet Euch ihr hohen Potentaten/
und alle die ihr müst den grossen Städten rahten/
&amp;nbsp;
Zweite Spalte:
Fortan wird Land und Sand und Dörffer nehmen zu/
und Herr und Knecht wird sein in angenehmer Rhu.
Es werden Fürsten nicht in Cantzeleyen schwitzen/
der Raht nicht in die Nacht mit schweren Sorgen sitzen/
und dencken/ wo doch Raht wol herzunehmen sey/
damit beteubet werd deß Krieges Tyranney.
Man wird stäts seyn bedacht/ wie rechte Sach mög bleiben/
Wie man/ was unrecht ist/ recht möge hindertreiben/
Man wird nicht so versehn was böses wird verricht/
wie sonst zu Kriegeszeit/ doch ohne Lust geschicht.
Es werden Obrigkeit und Unterthanen wohnen
in Einigkeit und Fried: das gute wird man lohnen/
das böse straffen ab: Kurz/ es wird friede seyn/
im Rahthauß/ in der Stadt/ wo man geht auß und ein.
Ihr Obern dancket Gott/ der Frieden ist gerichtet/
Ihr Untern lobet Ihn/ das widrig ist geschlichtet/
Es lebt in Fried und Freud der Rahtsherr und die Stadt/
Biß das was in der Welt und Sie ein Ende hat.
&amp;nbsp;
Auch/ Ich der Kaufleut Gott Mercur komm hergedrungen/
und hab mich mit dem Brieff durch Lufft und Tufft geschwungen/
Ihr Kaufleut seyt wolauff und habt ein guten Muth/
Ihr Landwercksleute auch/ es wird alls werden gut.
Fort wird man sicherlich zu Wasser können handeln/
und ohne noht zu Land auff Messen ruhig wandeln/
die Wahren werden wol zu reissen abegehn/
die Läden und Gewölb voll lauter Kauffer stehn/
Man wird ja Tag für Tag den Seidenzeug außmessen/
und zu Mittag für Müh nicht einen bissen essen/
Gewürz und Spezerey verkauffen wol mit Macht/
den lauter Centnern wegwägen Tag und Nacht.
Der Schuster wird sein Geldt vor Schuh nicht können zehlen/
Den Schneider wird das Volck umb neue Kleider quelen/
Der Breuer nimbt nicht ab/ der Becker der wird reich/
Der Kirschner füttert stäts/ und feyret keinen Streich.
Es hitzen bey dem Feur die Schmid/ die Amboßschläger/
Es tauren mich allein die armen Degenfeger/
&amp;nbsp;
Dritte Spalte
&amp;nbsp;
&amp;nbsp;
Die haben nichts zu thun: Last Degen/ Degen seyn/
macht einen Pflug darfür/ und eine Pflugschar drein.
&amp;nbsp;
Ihr Bauren spannet an die starcken AckerPferde/
klatscht mit der Peitschen scharff/ die Pflugschar in die Erde/
Säet/ Hirsche/ Heidel/ Korn/ Hanf/ Weitzen/ Gersten auß/
Kraut/ Ruben/ Zwiebeln/ Köhl/ füllt Keller/ Boden/ Hauß.
&amp;nbsp;
Ihr Gärtner werdet dann zu Marckt können fahren/
und lösen manchen Batz auß euren grünen Wahren/
dann kehret ihr mit Lust fein in ein Küchlein ein/
und esst ein stücklein Wurst und lescht den Durst mit Wein:
Juch/ Juch/ ihr seyt befreyt von tausend tausend Nöthen/
und schlaffet biß es tagt mit euren Bauren Greten.
&amp;nbsp;
Ihr Wirte freut euch auch/ der Friede trägt euch ein/
Es wird die Stub und Stall voll Gäst und Pferde seyn/
Voraus die ihr wol ligt/ beym weiß und roten Hanen/
Beim Baum/ Bärn/ Engel/ Stern/ Wolf/ Lamme/ Thürnen/ Schwa=[obendrüber: nen]
Beim Bitterhold/ beim Creutz/ Ganß/ Rindfuß/ Rädlein/ Tisch/
beim wilden Mann/ Kron/ Mond/ beim güldnen Ochsen/ Fisch/
Beim Ochsenfelder auch: Ihr krieget gute Sachen/
Ihr wolt denn selbsten nicht/ die Zech Wirthlich machen/
doch glaub ichs gänzlich nicht: Nun es hat keine Noth/
Ein jeder gebe mir ein gutes Botenbrodt.
&amp;nbsp;
Doch dieses alles recht mit beten und mit dancken/
daß keiner überschreit der Erbarkeiten Schrancken/
&amp;nbsp;&amp;nbsp;&amp;nbsp;&amp;nbsp;&amp;nbsp; Es dancke alles Gott/ es danck Ihm frü vnd spat/
&amp;nbsp;&amp;nbsp;&amp;nbsp;&amp;nbsp;&amp;nbsp; was kreucht/ fleugt/ lebt und schwebt/ und was nur
&amp;nbsp;&amp;nbsp;&amp;nbsp;&amp;nbsp;&amp;nbsp;&amp;nbsp;&amp;nbsp;&amp;nbsp;&amp;nbsp;&amp;nbsp;&amp;nbsp;&amp;nbsp;&amp;nbsp;&amp;nbsp; Odem hat.
&amp;nbsp;
Darunter:
Gedruckt im Jahr nach der Geburt vnsers Herrn Jesu Christi 1648.
</t>
  </si>
  <si>
    <t xml:space="preserve">http://friedensbilder.gnm.de/sites/default/files/HB711_01_0.tif</t>
  </si>
  <si>
    <t xml:space="preserve">Der den Frieden verkündende Postreiter dürfte zu den bekanntesten Flugblättern aus der Zeit des&amp;nbsp;Westfälischen Friedens&amp;nbsp;zählen. In sein Horn blasend, reitet er über zerbrochenes Kriegsgerät hinweg. Am Horizont sind&amp;nbsp;Fama&amp;nbsp;und&amp;nbsp;Merkur&amp;nbsp;als Boten und zugleich Garanten des wieder aufblühenden Handels zu sehen. Im Hintergrund wird die Friedensnachricht auf dem Seeweg nach Schweden weitergeleitet.&amp;nbsp;Die Verse des Blattes loben die Segnungen des Friedens für verschiedene Berufsstände&amp;nbsp;und fordern zum Dank an Gott auf.Flugblätter spielten bei der Verbreitung der Nachricht von der Unterzeichnung des Friedensvertrages vom 24. Oktober 1648 eine herausragende Rolle. Gefördert wurde ihre schnelle Übermittlung noch dadurch, dass im Zuge des Gesandtenkongresses in Münster und Osnabrück beide Städte an die Taxis‘sche Reichspost angeschlossen worden waren, um einen ungehinderten Briefwechsel zwischen Diplomaten und Herrscherhäusern zu ermöglichen.ALS</t>
  </si>
  <si>
    <t xml:space="preserve">Virtuelle Ausstellung</t>
  </si>
  <si>
    <t xml:space="preserve">Friedensbotschaft</t>
  </si>
  <si>
    <t xml:space="preserve">Neuer Auß Münster vom 25. deß Weinmonats im Jahr 1648. abgefertigter Freud- und Friedenbringender Postreuter, HB 711, Kapsel 1248
Neuer Auß Münster vom 25. deß Weinmonats im Jahr 1648. abgefertigter Freud- und Friedenbringender Postreuter, HB 711, Kapsel 1248</t>
  </si>
  <si>
    <t xml:space="preserve">https://friedensbilder-neu.gnm.de/sites/default/files/2019-06/HB711.png</t>
  </si>
  <si>
    <t xml:space="preserve">Neuer Auß Münster vom 25. deß Weinmonats im Jahr 1648. abgefertigter Freud- und Friedenbringender Postreuter
Neuer Auß Münster vom 25. deß Weinmonats im Jahr 1648. abgefertigter Freud- und Friedenbringender Postreuter</t>
  </si>
  <si>
    <t xml:space="preserve">http://friedensbilder.gnm.de/content/frieden_foto_order1f92e6</t>
  </si>
  <si>
    <t xml:space="preserve">Verlesung der Augsburger Konfession vor Kaiser Karl V. am 25. Juni 1530</t>
  </si>
  <si>
    <t xml:space="preserve">HB 23995, Kapsel 1248</t>
  </si>
  <si>
    <t xml:space="preserve">Kupferstich</t>
  </si>
  <si>
    <t xml:space="preserve">Stecher
Verleger</t>
  </si>
  <si>
    <t xml:space="preserve">Dürr, Johann
Fürst, Paul</t>
  </si>
  <si>
    <t xml:space="preserve">Paas
Hampe 1915
Drugulin 1867</t>
  </si>
  <si>
    <t xml:space="preserve">Bd. V, S. 43, Nr. P-1255
S. 44–45, Nr. 93
S. 8, Nr. 62</t>
  </si>
  <si>
    <t xml:space="preserve">Blatt</t>
  </si>
  <si>
    <t xml:space="preserve">30,7 x 40,1</t>
  </si>
  <si>
    <t xml:space="preserve">Jubiläumsblatt</t>
  </si>
  <si>
    <t xml:space="preserve">Anna Lisa Schwartz</t>
  </si>
  <si>
    <t xml:space="preserve">mit zusätzlicher Abbreviatur</t>
  </si>
  <si>
    <t xml:space="preserve">Paulus Fürst excudit.</t>
  </si>
  <si>
    <t xml:space="preserve">mittig unten</t>
  </si>
  <si>
    <t xml:space="preserve">Für eine genaue Beschreibung siehe&amp;nbsp;HB 24615, Kapsel 1248. 1655 erschien Dürrs Stich anlässlich der Säkularfeier des Augsburger Religionsfriedens in einer Neuauflage im Nürnberger Verlag Paulus Fürst. Fürst hatte wahrscheinlich die Kupferplatte erworben und ließ die Texte und Hintergrundszenen geringfügig überarbeiten und eine neue, aufwendigere subscriptio anfertigen.Hampe 1915, S.&amp;nbsp;S. 44–45, Nr. 93.&amp;nbsp;– Paas, Bd. V, S. 43, Nr. P-1255.ALS</t>
  </si>
  <si>
    <t xml:space="preserve">http://friedensbilder.gnm.de/sites/default/files/HB23995_01a.tif</t>
  </si>
  <si>
    <t xml:space="preserve">Jubiläum</t>
  </si>
  <si>
    <t xml:space="preserve">http://friedensbilder.gnm.de/content/frieden_foto_order20507a</t>
  </si>
  <si>
    <t xml:space="preserve">Der Friedensschluss zu Münster (nach Gerard Ter Borch)</t>
  </si>
  <si>
    <t xml:space="preserve">HB 192, Kapsel 1030a</t>
  </si>
  <si>
    <t xml:space="preserve">Kupferstich
Radierung</t>
  </si>
  <si>
    <t xml:space="preserve">Stecher</t>
  </si>
  <si>
    <t xml:space="preserve">Suyderhoff, Jonas</t>
  </si>
  <si>
    <t xml:space="preserve">Nördliche Niederlande</t>
  </si>
  <si>
    <t xml:space="preserve">Ausst. Kat. Schwerin / Leverkusen / Morsbroich 1998/1999
Hollstein Dutch and Flemish
Kettering 1998
Ausst. Kat. Münster/Osnabrück 1998
Ausst. Kat. Amsterdam 2008
Ausst. Kat. Barcelona 2013
Muller 
Wussin 1861
Wurzbach
Ausst. Kat. Schwerin 1961
Plietzsch 1944
Hofstede 1912
Ausst. Kat. Münster 1998
Gudlaugsson 1960
Ausst. Kat. Stuttgart 2012
Atlas van Stolk
Ausst. Kat. Washington 2004
Ausst. Kat. Den Haag 1998
McNeil Kettering 1998b
Ausst. Kat. Nürnberg 1998
Ausst. Kat. Münster / Osnabrück 1998</t>
  </si>
  <si>
    <t xml:space="preserve">S. 192, Kat.-Nr. 180 (Torsten Fried)
Bd. XXVIII, S. 209, Nr. 15-2(2)
S. 40, Abb. 38
Bd. I, S. 221, Kat.-Nr. 647
S. 70, Abb. 4
S. 24
Bd. I, S. 275, Nr. 1944
S. 56–57, Nr. 103
Bd. II, S. 677–679, Nr. 103
Kat.-Nr. 93
S. 12–16; Kat.-Nr. 25
S. 10, Nr. 6
S. 21; Kat.-Nr. 15
S. 18–20; S. 81–82, Kat.-Nr. 57
S. 125, Kat.-Nr. 66 (Cornelia Manegold)
Nr. 1947
S. 74, Abb. 2 (Alison McNeil Kettering)
S. 37–40
S. 612–613
S. 17, Kat.-Nr. 2 (Doris Gerstl)
Bd. III, S. 221, Kat.-Nr. 647 (Kristin Wiedau)</t>
  </si>
  <si>
    <t xml:space="preserve">Platte</t>
  </si>
  <si>
    <t xml:space="preserve">47,3 x 59,5</t>
  </si>
  <si>
    <t xml:space="preserve">Staatliches Museum Schwerin
Rijksmuseum</t>
  </si>
  <si>
    <t xml:space="preserve">Schwerin
Amsterdam</t>
  </si>
  <si>
    <t xml:space="preserve">5736 Gr
RP-P-OB-68.251</t>
  </si>
  <si>
    <t xml:space="preserve">2. Zustand</t>
  </si>
  <si>
    <t xml:space="preserve">Gedenkblatt</t>
  </si>
  <si>
    <t xml:space="preserve">Geraert ter Burch pinxit
Jonas Suyderhoef sculpsit</t>
  </si>
  <si>
    <t xml:space="preserve">links unten
rechts unten</t>
  </si>
  <si>
    <t xml:space="preserve">Der Haarlemer Porträtstecher Jonas Suyderhoef wurde im Jahr der Fertigstellung&amp;nbsp;des Gemäldes von Gerard ter Borch&amp;nbsp;mit seiner Reproduktion beauftragt, die für die Popularisierung des Motivs des Friedensschlusses sorgte.[fn]Ein solcher Stich befindet sich auch im Rijksmuseum Amsterdam, Inv.-Nr. RP-P-OB-68.251. Die Stiche lassen sich erst ab 1650 auf dem Verkaufmarkt nachweisen.[/fn]&amp;nbsp;
Zu den wichtigsten Abwandlungen der Vorlage zählt die Inschrift, die das Gemälde mit den einleitenden Worten ”ICON EXACTISSIMA“ als Ereignisbild ausweist.&amp;nbsp;Die subscriptio berichtet von den vergangenen Kriegsschrecken und lobt die Eintracht der nun offiziell vereinigten nördlichen Niederlande.[fn]"ICON EXACTISSIMA, QUA AD VIVUM EXPRIMITUR SOLENNIS CONVENTUS LEGATORUM PLENIPOTENTARIORUM HISPANIARUM REGIS PHILIPPI IV. ET ORDINUM / GENERALIUM FAEDERATI BELGII, QUI PACEM PERPETUAM PAULLO ANTE SANCITAM, EX TRADITIS UTRINQUE INSTRUMENTIS, UTRINQUE INSTRUMENTIS, IURAMENTO CONFIRMARUNT, / MONASTERII WESTPAHOLRUM IN DOMO SENATORIA, ANNO MDCXLVIII, IDIBUS MAII." Ein ganz genaues Bild, durch das nach dem Leben abgebildet wird die feierliche Versammlung der bevollmächtigten Gesandten des Königs Philipp IV. von Spanien und der Generalstaaten des verbündeten Belgiens, die den kurz zuvor vereinbarten immerwährenden Frieden mit untereinander ausgetauschten Urkunden eidlich bestätigt haben im Rathaus zu Münster in Westfalen im Jahre 1648 am 15. Mai). Übersetzung nach Ausst. Kat. Schwerin / Leverkusen u.a. 1998/1999, S. 192–193, Kat.-Nr. 180.[/fn]
Die Inschrift PAX OPTIMA RERVM&amp;nbsp;[Der Friede ist das höchste Gut][fn] Die Formulierung stammt aus Silius Italicus, De bello punico, libri XI, Vers 593.[/fn] auf der Holztafel an der linken Wand bekräftigt die Bedeutung des Friedens für das Gemeinwohl. Sie ist an die Stelle der Signatur Gerard Ter Borchs getreten, der auf dem Reproduktionsstich, angelehnt an die ursprüngliche Fassung des Porträts, als junger Mann auftritt.
Das Blatt im Germanischen Nationalmuseum stammt wahrscheinlich aus dem 19. Jahrhundert[fn]Das Papier ist maschinell gefertigt. Zudem wurden zum 250. Jubiläum in Münster erneute Abzüge einer vielleicht aufgestochenen Platte vertrieben, siehe Ausst. Kat. Nürnberg 1998, S. 17, Kat.-Nr. 2 (Doris Gerstl).[/fn], was die kontinuierliche Verwendung dieses Erinnerungsbildes belegt.
Neben diesem Reproduktionsstich verlegte der Amsterdamer Rambout van den Hoeye eine für die Zeit typische Ereignisgraphik mit dem von Randbildern umgebenen 'Friedensschwur' als zentrale Darstellung.
ALS
</t>
  </si>
  <si>
    <t xml:space="preserve">http://friedensbilder.gnm.de/sites/default/files/HB192.tif</t>
  </si>
  <si>
    <t xml:space="preserve">NG896</t>
  </si>
  <si>
    <t xml:space="preserve">Druckgraphik nach Vorlage</t>
  </si>
  <si>
    <t xml:space="preserve">Der Haarlemer Porträtstecher&amp;nbsp;Jonas Suyderhoef&amp;nbsp;wurde im Jahr der Fertigstellung&amp;nbsp;des&amp;nbsp;Gemäldes von Gerard ter Borch&amp;nbsp;mit seiner Reproduktion beauftragt, die für die Popularisierung des Motivs des Friedensschlusses sorgte.Zu den wichtigsten Abwandlungen der Vorlage zählt die Inschrift, die das Gemälde mit den einleitenden Worten ICON EXACTISSIMA als Ereignisbild ausweist.&amp;nbsp;Die&amp;nbsp;subscriptio&amp;nbsp;berichtet von den vergangenen Kriegsschrecken und lobt die Eintracht der nun offiziell vereinigten nördlichen Niederlande.Die Inschrift PAX OPTIMA RERVM (Der Friede ist das höchste Gut) auf der Holztafel an der linken Wand bekräftigt die Bedeutung des Friedens für das Gemeinwohl. Sie ist an die Stelle der Signatur Gerard Ter Borchs getreten, der auf dem Reproduktionsstich als junger Mann auftritt, eine Anlehung an die ursprüngliche Fassung eines Porträts.Das Blatt im Germanischen Nationalmuseum stammt wahrscheinlich aus dem 19. Jahrhundert, was die kontinuierliche Verwendung dieses Erinnerungsbildes belegt.Neben diesem Reproduktionsstich verlegte der Amsterdamer Rambout van den Hoeye eine für die Zeit typische&amp;nbsp;Ereignisgraphik&amp;nbsp;mit dem von Randbildern umgebenen Friedensschwur als zentrale Darstellung.ALS</t>
  </si>
  <si>
    <t xml:space="preserve">Diplomatie</t>
  </si>
  <si>
    <t xml:space="preserve">Der Friedensschluss zu Münster (nach Gerard Ter Borch), HB 192, Kapsel 1030a</t>
  </si>
  <si>
    <t xml:space="preserve">https://friedensbilder-neu.gnm.de/sites/default/files/2019-06/HB192_0.png</t>
  </si>
  <si>
    <t xml:space="preserve">http://friedensbilder.gnm.de/content/frieden_object47f6c</t>
  </si>
  <si>
    <t xml:space="preserve">http://friedensbilder.gnm.de/content/frieden_foto_order1f9200</t>
  </si>
  <si>
    <t xml:space="preserve">HB 6895, Kapsel 1248</t>
  </si>
  <si>
    <t xml:space="preserve">Zeichner
Stecher</t>
  </si>
  <si>
    <t xml:space="preserve">Herr, Michael
Köler, Georg</t>
  </si>
  <si>
    <t xml:space="preserve">Ausst. Kat. Coburg 1967
Aulinger 1980
RDK
Gatenbröcker 1996
Ausst. Kat. Metzingen 1991/1992
Marsch 1980
Roeck 2005</t>
  </si>
  <si>
    <t xml:space="preserve">S. 31, Kat.-Nr. 95
S. 339–342; S. 386, Kat.-Nr. 55
Bd. III, Sp. 855
S. 63–64
S. 175</t>
  </si>
  <si>
    <t xml:space="preserve">36,2 x 48,2</t>
  </si>
  <si>
    <t xml:space="preserve">HB 26300, Kapsel 1247</t>
  </si>
  <si>
    <t xml:space="preserve">ohne Textblatt; Blatt 35,7 x 47,6  cm</t>
  </si>
  <si>
    <t xml:space="preserve">MIRACULA AUGUSTANAE CONFESSIONIS,</t>
  </si>
  <si>
    <t xml:space="preserve">in "Kurtzes Register."/unpaginiert</t>
  </si>
  <si>
    <t xml:space="preserve">Nr. 1076
Nr. 2809</t>
  </si>
  <si>
    <t xml:space="preserve">Verso</t>
  </si>
  <si>
    <t xml:space="preserve">Anlässlich der Hundertjahrfeier der Confessio Augustana veröffentlichte der Nürnberger Johannes Saubert die ”MIRACULA AUGUSTANAE CONFESSIONIS“.[fn]Der Untertitel fasst die Thematik zusammen: Wunderwerck der Augspurgischen Confession oder Eigentlicher auf Kupfer gefertigter Abriß des ganzten Verlauffs / Wie Anno 1530 vor Kayser Carl dem V. Hochlöblichster Ged. die Evangelische Chur-Fürsten und Stände / ihre Confession und Glaubensbekandtniß abgelesen und übergeben / Sampt Erzehlung und Erklärung aller vornemsten Umbständen. [/fn] In dem Werk versuchte er den Hergang der Übergabe der Bekenntnisschrift aus geschichtlichen Quellen zu rekonstruieren. ”Damit aber der gemeine Mann solchen Abriß mit Verstand ansehen und den Verlauff der ganzten Historien desto besser fassen möchte“,[fn]Saubert 1631, S. 2.[/fn] ließ er seine Schilderungen von Georg Köler nach einer Zeichnung von Michael Herr[fn]Die Vorlagenzeichnung befindet sich heute im Louvre Paris[/fn] in einen Kupferstich umsetzen: Im Kapitelsaal der bischöflichen Residenz in Augsburg verlesen die kursächsischen Kanzler Christianus Beyer und Brück die Confessio Augustana vor Kaiser Karl. V., während die Sekretäre Schweis und Waldesius das Geschehen protokollieren. Zur Rechten des Kaisers sind sein Bruder Ferdinand &amp;nbsp;und der Mainzer Kardinal und Kurfürst zu sehen. Reihum sitzen die verschiedenen Vertreter der Reichsstände, die Saubert durch eine beigegebene Erläuterung und Nummerierung auflöst. Die Darstellung wurde bereits 1630 in verschiedenen Varianten herausgegeben[fn]Mit einigen Beispielen: Marsch 1980, S. 340–342,&amp;nbsp;Kat.-Nr. 54–58.[/fn] und ersetzte das zuvor nur allegorisch behandelte Thema der Bekenntnisschrift durch eine pseudohistorische Darstellung der Ereignisse. Saubert entwickelte damit ein Konzept mit erstaunlichem Erfolg: Sein Werk erschien in mehreren Auflagen und Herrs Kupferstich fand als Inkunabel der Augsburger Konfession eine weite Verbreitung bis ins 19. Jahrhundert.ALS</t>
  </si>
  <si>
    <t xml:space="preserve">http://friedensbilder.gnm.de/sites/default/files/HB6895_01.tif
http://friedensbilder.gnm.de/sites/default/files/HB6895_02.tif
http://friedensbilder.gnm.de/sites/default/files/HB6895_03.tif</t>
  </si>
  <si>
    <t xml:space="preserve">Verlesung der Augsburger Konfession vor Kaiser Karl V. am 25. Juni 1530, HB 6895, Kapsel 1248</t>
  </si>
  <si>
    <t xml:space="preserve">http://friedensbilder.gnm.de/content/frieden_foto_order20508e</t>
  </si>
  <si>
    <t xml:space="preserve">Buch</t>
  </si>
  <si>
    <t xml:space="preserve">8° Rl. 2585 </t>
  </si>
  <si>
    <t xml:space="preserve">Typendruck</t>
  </si>
  <si>
    <t xml:space="preserve">Verfasser
Verleger</t>
  </si>
  <si>
    <t xml:space="preserve">Saubert, Johann
</t>
  </si>
  <si>
    <t xml:space="preserve">12:112257T</t>
  </si>
  <si>
    <t xml:space="preserve">http://www.gbv.de/vd/vd17/12:112257T</t>
  </si>
  <si>
    <t xml:space="preserve">Sammelwerk</t>
  </si>
  <si>
    <t xml:space="preserve">Das ist: Wunderwerck der Augspurgischen Confession, Welche sich bey vbergebung derselben und folgender Zeit zugetragen</t>
  </si>
  <si>
    <t xml:space="preserve">http://friedensbilder.gnm.de/content/frieden_object19bb</t>
  </si>
  <si>
    <t xml:space="preserve">HB 24615, Kapsel 1248</t>
  </si>
  <si>
    <t xml:space="preserve">Kupferstich
Typendruck</t>
  </si>
  <si>
    <t xml:space="preserve">Ausst. Kat. Coburg 1967
Paas
Drugulin 1867
Aulinger 1980
Harms
Schreckenbach / Neubert 1916</t>
  </si>
  <si>
    <t xml:space="preserve">S. 31, Nr. 94
Bd. V, S. 43, Nr. P-1255
S. 8, Nr. 62
S. 342; S. 386, Kat.-Nr. 59
Bd. II, S. 378–379, Nr. 216
S. 36–37; S. 143, Nr. 12</t>
  </si>
  <si>
    <t xml:space="preserve">28,4 x 41,4</t>
  </si>
  <si>
    <t xml:space="preserve">mit zusätzlicher Abbreviatur
Druckprivileg</t>
  </si>
  <si>
    <t xml:space="preserve">Johann Dürr sculpsit.
Cum Gratia et privilegio, Illust: Duc: Sax:</t>
  </si>
  <si>
    <t xml:space="preserve">rechts unten</t>
  </si>
  <si>
    <t xml:space="preserve">Der Kupferstich von Johann Dürr zeigt die Verlesung des protestantischen Bekenntnisses auf dem Reichstag zu Augsburg 1530. Im Zentrum sitzt&amp;nbsp;Kaiser Karl V. auf einem Thron, dessen Baldachin mit seinem Motto "PLUS VLTRA" (darüber hinaus) und dem kaiserlichen Reichsadler geschmückt ist. Vor ihm haben sich die Vertreter der protestantischen Städte und Fürstentümer aufgereiht und verlesen die Confessio Augustana.[fn]Die Fürstentümer Sachsen, Brandenburg, Lüneburg, Hessen, Anhalt und die Vertreter der Städte Nürnberg und Reutlingen. Zusätzlich werden die vier Städte Winsheim, Weißenburg, Heilbronn und Kempten angeführt, die "sich hernach in noch werendem Reichstag zu der Augspurgische Confession fröhlich bekandt" haben.[/fn]&amp;nbsp;Im Hintergrund sind die in der Bekenntnisschrift aufzählten liturgischen Neuerungen szenisch dargestellt.[fn]Von links nach rechts: Eheschließung, Beichte, Katechismusunterricht, Sakralmusik, Taufe und Predigt.[/fn] Auf die unter Reformatoren kontrovers diskutierte&amp;nbsp;Transsubstantiationslehre verweist die Abendmahlszene am rechten Bildrand. Unter dem Altarstisch ist die Überwindung der Ketzer zu sehen ("Bapst und ihr Vatter der Teuffel").Johann Dürr nutzte ein Altargemälde in der St. Johannis-Kirche in Schweinfurt als Vorlage für seinen Stich anlässlich der Hundertjahrfeier der Confessio Augustana.[fn]Zum Konfessionsgemälde und seinen weiteren Kopien siehe Ausst. Kat. Bamberg / Schweinfurt 2000, S. 57–58, Kat.-Nr. 29.[/fn] Bis hin zu den Versen und Sakramentszenen entspricht der Stich dem Gemälde. Zwei Änderungen zeigen jedoch die gestärkte protestantische Position ein Jahrhundert nach dem Augsburger Reichstag: Nicht die Übergabe, sondern die Verlesung der Confessio ist dargestellt, und die Landesfürsten knien nicht mehr, sondern stehen in aufrechter Haltung dem Kaiser&amp;nbsp;gegenüber.Das Motiv ist eine symbolische Darstellung des Ereignisses, während andere Blätter eine Dokumentation des historischen Ereignisses beanspruchen (siehe&amp;nbsp;HB 6895).RDK Bd. III, [Art.] Confessio Augustana, Sp. 853–859 (Klaus Lankheit).&amp;nbsp;–&amp;nbsp;Ausst. Kat. Coburg 1983, S. 24, Kat.-Nr. 12 (Beate Rattay).&amp;nbsp;– Marsch 1980, S. 41–46.&amp;nbsp;– Aulinger 1980, S. 342.ALS&amp;nbsp;&amp;nbsp;</t>
  </si>
  <si>
    <t xml:space="preserve">BildunterschriftABBILDUNG, WELCHER GESTALT VOR DEM GROSMÄCHTIGEN KEYSER CARLN DEM V., UFM REICHSTAG ZU AUGSPURGK, IM IAHR CHRISTI MDXXX DEN XXV TAG DES BRACH /MONATS CHURFÜRST IHANS ZU SACHSEN MARKGRAVE GEORG ZU BRANDENBURCK-AHNSPACH, HERZOG ERNST ZU LÜNEBURGK, LANDGRAV PHILIP ZU HESSEN, FÜRST WOLF ZU ANHALT, UND DIE FREYEN /REICHSSTÄTE NÜRNBERGK UND REUTLINGEN, IHRES RECHTEN UHRALTEN, IN DEN SCHRIFFTEN DER PROPHETEN UND APOSTELN BEGRUNDVESTIGTEN, UND IN IHREN LANDEN UND GEBIETEN WIEDER AUFGE= /RICHTETEN EVANGELISCHEN GLAUBENS, BEKÄNTNÜS GETHAN: UND SOLCHS, IN TEUTSCHER UND LATEINISCHER SPRACHE, MIT ALLER FREUDICKEIT UNDERTHÄNIGST ÜBERREICHT HABEN. /Alles dem Wunderthätigen großen Gott, bey ietzigem großen Lutherischen Jubelfest, zu desto mehrerm Lob, Danck und Ehren. Denen nunmehr für dem Stuhle Gottes tag und nacht dienenden Bekennern zur schuldigen ahndencken. Und allen Recht= /&amp;nbsp;&amp;nbsp;&amp;nbsp;&amp;nbsp;&amp;nbsp;&amp;nbsp;&amp;nbsp;&amp;nbsp;&amp;nbsp;&amp;nbsp;&amp;nbsp;&amp;nbsp;&amp;nbsp;&amp;nbsp;&amp;nbsp;&amp;nbsp;&amp;nbsp; gläubigen zum fürbilde und getroster nachfolge, in dis kupfer gebracht, Anno 1630&amp;nbsp;&amp;nbsp;&amp;nbsp;Cum Gratia et privilegio, Illust: Duc: Sax: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&amp;nbsp;&amp;nbsp;&amp;nbsp;&amp;nbsp;&amp;nbsp;&amp;nbsp;&amp;nbsp;&amp;nbsp;&amp;nbsp;&amp;nbsp;&amp;nbsp;&amp;nbsp;&amp;nbsp;&amp;nbsp;&amp;nbsp; Johann Dürr sculpsit.&amp;nbsp;Texte Wand von links nach rechtsEzehiel 33.So war als ich lebe spricht derHerr H. ich habe keine gefallenam tode des gottlosen, sondern dassich der gottlose bekehre von sein=em wesen und lebe.&amp;nbsp;Genesis 1.Gott schuf den Menschen. Imzum Bilde, zum BildeGottes schuff er in.&amp;nbsp;Genesis 2.Und Gott der Herrsprach, es ist nichtgut das der menschallein sey. Ich willihm ein gehilffenmachen.&amp;nbsp;Lobet in mit Pauckenund Reigen, Lobet inmit Seiten und Pfeifen.Psalm 150&amp;nbsp;Lobet ihn mit hellen Cymbaln.Lobet ihn mit wohlklingenden Cym=baln. Psal. 150.&amp;nbsp;(auf Säule)zur letztenzeit, willIch mein=en geistausgießenüber allesFleisch.Joel 2&amp;nbsp;Text Halbkreis hinter Baldachin umlaufend&amp;nbsp;Wir seindt Christen,Darumb das wir anJesum Christum glau=ben, und in seinemNamen getaufftsindt.&amp;nbsp;Was glaubens seyt ihrwarumb seit ihr Chri=sten.&amp;nbsp;Lobet Ihn mit Posaunan, Lobet Ihnmit Psalter und Harpfen. Psal. 150.&amp;nbsp;Denn so er spricht so ge..schichts, so er gebeüt.So stehts da.Psal. 33&amp;nbsp;Denn wieviel euwer getauft sind,die habe Christentum angezogen,Galatern 3.&amp;nbsp;(Auf dem Taufbecken)Lasset die Kindlerzu mir komen,und wehret ihnennicht. Mat. 19.1.&amp;nbsp;&amp;nbsp;&amp;nbsp;&amp;nbsp;&amp;nbsp;&amp;nbsp;&amp;nbsp;Joh. 5&amp;nbsp;Diser ists, der da kompt mit Waffenund Blut. Ihesus Christus, nicht mitWasser allein, sondern mit Wasser und blut&amp;nbsp;(Wolke)Ehre sey Gott in der Höhe. Luc. 2Das ist mein lieber Sohn, an dem Ich ein wolgefalle hab.&amp;nbsp;(Cruzifix, linke Seite, dann rechte Seite)Joh: 1.Sihe, das ist GottesLamb, welches dergantzen Weltsünde trägt.&amp;nbsp;1&amp;nbsp;&amp;nbsp;&amp;nbsp;&amp;nbsp;&amp;nbsp;&amp;nbsp;&amp;nbsp;&amp;nbsp;&amp;nbsp;Joh. 1.Das blut IhesuChristi, GottesSohns, macht unsRein von allerSünde.&amp;nbsp;Esaia 53Fürwar, er trugunsere Kranckheit, undlud auf sich unsereSchmerzten. Wir aberhielten Ihn für den,der geplagt, und vonGott geschlagen undgemartert were. A=ber er ist umb unserMissethat willen ver=wundet, und umb unser Sünde willen zu=schlagen, die Straff ligtauf Ihm, auf das wirfriede hetten u[n]d durchseine Wunden sindwir geheilet, wir gieng=en in der irre wieSchaf, ein ieglicher saheauf seinem weg, aber derHerr warff unser allerSünde auf ihn.&amp;nbsp;(auf der Tafel)Unser Herr Jesus Christus,in der Nacht da er ver=rathe war nam er dasbrot, dancket und brachs,und gabs seinen Jüngernund sprach, nehmet hin u[n]desset, das ist Leib d‘für euch gegeben wirdt,solches thut so offt ihrsthut, zu meinem gedecht=nüs.Des selben gleichen namer auch den kelch, nach deAbendtmal und sprach,nehmet hin und trincketalle darauß, das ist d‘Kelch, ein new Testa=ment in meinem blut,das für euch vergossenwirt, zur vergebung dersünden, solches thut, so&amp;nbsp;offt ihrs trincket, zuemeinem gedechtnüs.&amp;nbsp;(Im Buch links, dann rechts)Vatter unser der dubist im himl, ge=heiliget werdedein Name, zuekome dein Reich,dein will geschehe,wie im himel alsso auch uf erden.unser taglich brotgibt uns heut, undvergib uns unsereSchuld als wir vergebe unser Schuldiger, und nichteinfuhre uns inversuchung, son=dern erlöse unsvon dem Übel.&amp;nbsp;(Altarbehang)Zeugnus D M I vom H. Abentmahl. auß den&amp;nbsp;Jenische tomisdas ander theil . D M L wid‘ die him:lische prophete, vo Sacrament. A°e1525, tom. 3.Das diese Wort Christi, das ist meinleib noch feste stehe, wid die Schwer=mer geister, A°e 1527. tom. 3Bekentnus des Glaubens D M L erstlichausgangen. A°e 1529. tom. 5.Kurzte Bekentnus D M L vom H.Sacrament. A° 1544. tom. 8.der kleine und große Catech D M L&amp;nbsp;(beim Pfarrer)Nim hin,undtrincke.das istmeinblut.&amp;nbsp;(unter Skelett)Carolstadt.Zwingel.Schwenckfett.Companus.Örolumpack.BapstErtzketzer.Wüdderteuffer.Müntzer.Betza.Calvinus.und ihr Vatter der Teuffel.&amp;nbsp;Der todt ist verschlungen in den Sieg, tod, woist dein stachel, Helle wo ist dein Sieg?aber der Stachel des todes ist die Sünde,die Krafft aber der Sünde ist das gesez.Gott aber seij danck, der uns den Sieggiebt, durch unsern Herren JesumChristum. 1. Corinth. 15.&amp;nbsp;auf dem Podest(im Buch)So halten wir es nundas der mensch ge=recht werde, ohnedes gesetzeswerck, al=lei durchde glau=ben.&amp;nbsp;JohannesChurfürstzu Sachsen.&amp;nbsp;Georg Margkravzu Brandenburgk.&amp;nbsp;ErnstHerzog zuLüneburgk.&amp;nbsp;PhilipusLandgravzu Heßen.&amp;nbsp;Wolffgang Fürstzue Anhalt.&amp;nbsp;Diese 4. Stett haben sich hernach in nochwerendem Reichstag zu AugspurgischeConfesion frölich bekandt, und darbey mitGottes hilff zu verharren.Winsheim. Weißenburg. Heilbrunn. Kempten.&amp;nbsp;Nüremberg. Keüttlinge.&amp;nbsp;&amp;nbsp;&amp;nbsp;&amp;nbsp;</t>
  </si>
  <si>
    <t xml:space="preserve">http://friedensbilder.gnm.de/sites/default/files/HB24615_01.tif
http://friedensbilder.gnm.de/sites/default/files/Gm556.tif</t>
  </si>
  <si>
    <t xml:space="preserve">Verlesung der Augsburger Konfession vor Kaiser Karl V. am 25. Juni 1530, HB 24615, Kapsel 1248</t>
  </si>
  <si>
    <t xml:space="preserve">http://friedensbilder.gnm.de/content/frieden_foto_order20507f</t>
  </si>
  <si>
    <t xml:space="preserve">HB 6894, Kapsel 1247</t>
  </si>
  <si>
    <t xml:space="preserve">30,6 x 39,2</t>
  </si>
  <si>
    <t xml:space="preserve">Für eine inhaltliche Beschreibung des Blattes siehe&amp;nbsp;HB 6895, Kapsel 1248.&amp;nbsp;Wie auch in&amp;nbsp;HB 4502, Kapsel 1247&amp;nbsp;ist der Stuhl des Trierer Kurfürsten nicht besetzt.&amp;nbsp;Ferner ergänzte der Kopist entsprechend der Schilderung Sauberts auch den leeren Sitz der Kurpfalz, die durch einen Abgesandten vertreten wurde.[fn]"Herr zu Erbach u. der Chur Pfaltz (weil selbiger Churfürst auch nit erschienen) Abgesandter", Saubert 1631, S. 48.[/fn]ALS&amp;nbsp;</t>
  </si>
  <si>
    <t xml:space="preserve">http://friedensbilder.gnm.de/sites/default/files/HB6894_01.tif</t>
  </si>
  <si>
    <t xml:space="preserve">http://friedensbilder.gnm.de/content/frieden_foto_order205089</t>
  </si>
  <si>
    <t xml:space="preserve">HB 23960, Kapsel 1247</t>
  </si>
  <si>
    <t xml:space="preserve">Radierung</t>
  </si>
  <si>
    <t xml:space="preserve">Kat. Sachsen-Anhalt 2015
Aulinger 1980</t>
  </si>
  <si>
    <t xml:space="preserve">Bd. I, S. 101–102, Kat.-Nr. 38 (Susanne Magister)
S. 386–387, Kat.-Nr. 56</t>
  </si>
  <si>
    <t xml:space="preserve">15,2 x 19,5</t>
  </si>
  <si>
    <t xml:space="preserve">cm
cm</t>
  </si>
  <si>
    <t xml:space="preserve">Herzog August Bibliothek</t>
  </si>
  <si>
    <t xml:space="preserve">Wolfenbüttel</t>
  </si>
  <si>
    <t xml:space="preserve">Graph. C: 175</t>
  </si>
  <si>
    <t xml:space="preserve">P... et sculp.</t>
  </si>
  <si>
    <t xml:space="preserve">Nr. 1076</t>
  </si>
  <si>
    <t xml:space="preserve">Recto
Verso</t>
  </si>
  <si>
    <t xml:space="preserve">Für eine inhaltliche Beschreibung siehe&amp;nbsp;HB 6895, Kapsel 1248, von dem sich dieses Blatt allerdings in der Position des&amp;nbsp;Erzherzogs Ferdinand und des Mainzer Erzbischofs unterscheidet. Außerdem bleibt der Stuhl des Kurfürsten von Trier leer – vielleicht handelt es sich hier um eine nachträgliche Anpassung an die Darstellung Herrs: Denn&amp;nbsp;Saubert schildert, dass nicht der Bischof selbst, sondern sein Gesandter und zugleich Domprobst Johann von Metzenhaußen anwesend war, der 1531 im Kurfürstenamt nachrückte.[fn]Saubert 1631, Kurztes Register [S. 1].[/fn]ALS</t>
  </si>
  <si>
    <t xml:space="preserve">http://friedensbilder.gnm.de/sites/default/files/HB23960_01.tif</t>
  </si>
  <si>
    <t xml:space="preserve">http://friedensbilder.gnm.de/content/frieden_foto_order205075</t>
  </si>
  <si>
    <t xml:space="preserve">HB 4502, Kapsel 1247</t>
  </si>
  <si>
    <t xml:space="preserve">Blatt
Platte</t>
  </si>
  <si>
    <t xml:space="preserve">29,7 x 34,3
29,7 x 34</t>
  </si>
  <si>
    <t xml:space="preserve">Augspurgisches Iubel-Gedächtnüs</t>
  </si>
  <si>
    <t xml:space="preserve">S. [57]</t>
  </si>
  <si>
    <t xml:space="preserve">Für eine inhaltliche Beschreibung des Originals siehe&amp;nbsp;HB 6895, Kapsel 1248. Das vorliegende Blatt stammt aus Johann Michael Roths&amp;nbsp;Augspurgisches Jubelgedächtnüs von 1730&amp;nbsp;und orientiert sich stark an&amp;nbsp;HB 23960, Kapsel 1247&amp;nbsp;an.[fn]Vergleiche die Anordnung der Figuren und den Schatten, den einer der abgehängten Schlusssteine des Fächergewölbes über das letzte Gemälde wirft.[/fn]ALS</t>
  </si>
  <si>
    <t xml:space="preserve">http://friedensbilder.gnm.de/sites/default/files/HB4502_01.tif</t>
  </si>
  <si>
    <t xml:space="preserve">http://friedensbilder.gnm.de/content/frieden_foto_order205084</t>
  </si>
  <si>
    <t xml:space="preserve">Druckgraphik </t>
  </si>
  <si>
    <t xml:space="preserve">Sächsische Landesbibliothek, Staats- und Universitätsbibliothek</t>
  </si>
  <si>
    <t xml:space="preserve">Dresden</t>
  </si>
  <si>
    <t xml:space="preserve">28.gr.2.4</t>
  </si>
  <si>
    <t xml:space="preserve">Herausgeber</t>
  </si>
  <si>
    <t xml:space="preserve">Roth, Johann Michael</t>
  </si>
  <si>
    <t xml:space="preserve">Augsburg</t>
  </si>
  <si>
    <t xml:space="preserve">http://digital.slub-dresden.de/id42518725X</t>
  </si>
  <si>
    <t xml:space="preserve">Originalbindung! einige Blätter Blanko, alle eingebunden!fol 1v) Titelblattfol 2v) Durch die Veranstaltung des Iubilaeifol 3v) Gleichwie aus...fol 3r) eingeklebter handschriftlicher Zettel von 1834an Folio 3 angeklebt Blatt mit Kurtzer Diskurß von deß erwürdigen...; Blatt Übergröße, rechts gefaltetfol 4r) Almanachblätter? eingeklebt insgesamt acht Stückfol 4v) ebenfalls acht Almanachblätter&amp;nbsp;fol 5r) Nessenthaler, Christus auf Postament, mehrfach gefaltetfol 6r) Iconismus... passpartouiert eingeklebt, denn die Rückseite auf fol 6v bildet kurzgefasste Histrosiche Relation &amp;nbsp;von der Bekehrung der Heyden...fol 7r) Succincta Narratio de Missione Evangelica, ebenfalls so passpartouriert wie auf fol 6, Rückseite fol 7v bildet Fürstellung der evangelischen Kirche bei denen Malabaren in Ostindien...vor fol 8 eingebunden: Vorstellung der Evangelischen-Ost-Indischen Kirche (wohl zugehörig zu fol 7r), zweimal gefaltetfol 8r) Christlich-wohlgemeynte Gedancken passapartouriert, auf Rückseite fol 8v Fortsetzung: zu oberst...fol 9r) Fortsetzung (passpartouriert): Agustuana Confessio Augustae (passpartouriert), auf der Rückseite Fortsetzung: in einer besondern Einfassung&amp;nbsp;fol 10r) A Deo faustum plus ultra...von Setzlesky, zu dem die Erklärung von fol 8-9 gehörtfol 11 r und v ein Blatt bedruckt, nachträglich eingeklebt an kleine Randleiste an der Bindung. Erklärung zu Corvinus Stich&amp;nbsp;Es folgt (ohne Folioangabe) Corvinus Stich, einmal gefaltet&amp;nbsp;fol 12r) Auslegung der Jubel und Frieden Pforten nachträglich eingeklebt und gefaltet&amp;nbsp;hiernach fehlen die folio Angaben!- Christliches Denkmal von Nessenthaler und darunter Luther Porträt gedruckt, die zwei Teile daneben aufgeklebt (gleich wie in Berliner Exemplar)- auf Rückseite gedruckt: weil unter denen in Kupfer gestochenen Gedächtnismünzen&amp;nbsp;- Dr. Martinus Lutherus Prediger und Professor auf Vorderseite gedruckt (mit Medaillenansichten), auf Rückseite des gleichen Blattes gedruckt geschrauffte Medaille- nächstes Blatt: Darstellung der Blatteinlagen aufgedruckt- nächstes Blatt: Jeremias Wollf Tietur et intuetur, Typendruck ebenfalls aufgedruckt- nächstes Blatt: (wieder passpartouriert): Evangelischer Cristen ERbauliche Augen-Belustigung= Erläuterung zu Kolbs Gemälde, Rückseite mit Forsetzung bedruckt (2. unter desem Buch)&amp;nbsp;- nächstes Blatt (passpartouriert): Fortsetzung (ebenso Rückseite wieder bedruckt)- Kolbs Gemälde (eingebunden)&amp;nbsp;- nächstes Blatt (passpartouriert): Evangelischer Christen Augen-Weide...=Erläuterung zum Folgekupfer von Kolb, ebenfalls auf Rückseite Forsetzung- nächstes Blatt (passpartouriert): Fortsetzung doppelseitig bedruckt- nächstes Blatt: Kupfer von Kolb mit Augusta unter Auge Gottes- nächstes Blatt (bedruckt und eingebunden): Kyrie Eleison Gugger Rogg- nächstes Blatt (bedruckt und eingebunden): Verlesung CA- nächstes Blatt (bedruckt und eingebunden, subscriptio eingeklebt: Constantia Fortitudine- nächstes Blatt (ganzes Blatt aus STich und Text eingeklebt) Augsburger Friedensgemälde auf das Jahr 1730 von Elias Bäck)- nächstes Blatt (eingebunden und komplett gedruckt, Kalendarium von Romanus Heyd&amp;nbsp;- nächstes Blatt (eingebunden und gedruckt): Und ich sah einen Engel fliegen mitten durch den Himmel...- nächstes Blatt (eingebunden und gedruckt): Johann Friedrich Böck- nächstes Blatt (eingebunden und gedruckt): Lutherporträt von Maschenbauer- nächstes Blatt eingebundne, vorder- und rückseitig beklebt mit Iubel- Relieiongs und Augen-Lust...von Gabriel Bodenehr&amp;nbsp;- nächstes sechs Blätter mit Augsburger Faltbriefen (aufgedruckt), auf Blatt sieben ebenfalls, dazwischen kleines Lutherporträt aufgeklebt&amp;nbsp;- nächstes achtes Blatt mit aufgedrucktem Faltblatt, dazwischen drei aufgeklebte Blätter (auf dem linken unten B. S. Setlezky fe e oder sc zu erkennen; rechtes Lutherporträt Lucas Carnach effigies ping. A° 1525; Ioh. Iac. Kleinschmidt sculps. et exdu. aug. V. )- nächstes Blatt: aufgedruckter Faltbrief- nächstes Blatt: Ehrenbogen in der Jacobuskirche- nächstes Blatt: Ehrenbogen in er Gemeinde Hl. Geist (Pendant zu vorherigem Blatt)&amp;nbsp;&amp;nbsp;&amp;nbsp;&amp;nbsp;</t>
  </si>
  <si>
    <t xml:space="preserve">Augspurgisches Iubel-Gedächtnüs, 28.gr.2.4</t>
  </si>
  <si>
    <t xml:space="preserve">http://friedensbilder.gnm.de/content/frieden_object272f
http://friedensbilder.gnm.de/content/frieden_object11e68</t>
  </si>
  <si>
    <t xml:space="preserve">Klippe</t>
  </si>
  <si>
    <t xml:space="preserve">Auf das Augsburger Kinderfriedensfest 1704</t>
  </si>
  <si>
    <t xml:space="preserve">Med 12233</t>
  </si>
  <si>
    <t xml:space="preserve">geprägt</t>
  </si>
  <si>
    <t xml:space="preserve">Silber</t>
  </si>
  <si>
    <t xml:space="preserve">Münzmeister</t>
  </si>
  <si>
    <t xml:space="preserve">Nürnberger, Georg Friedrich</t>
  </si>
  <si>
    <t xml:space="preserve">Ausst. Kat. Münster 1988a
Ausst. Kat. Augsburg 2000
Pax in Nummis 1913
Forster 1910
Albrecht 1983</t>
  </si>
  <si>
    <t xml:space="preserve">S. 200-202, Kat.-Nr. 186
S. 54, Kat.-Nr. 50
S. 99–100, Nr. 400
S. 15, Nr. 89
S. 71 und 86–87, Kat.-Nr. 53</t>
  </si>
  <si>
    <t xml:space="preserve">Kantenlänge
Gewicht</t>
  </si>
  <si>
    <t xml:space="preserve">32
7,21</t>
  </si>
  <si>
    <t xml:space="preserve">mm
g</t>
  </si>
  <si>
    <t xml:space="preserve">Gedenkmünze</t>
  </si>
  <si>
    <t xml:space="preserve">Monogramm</t>
  </si>
  <si>
    <t xml:space="preserve">G F N
G F N </t>
  </si>
  <si>
    <t xml:space="preserve">Umschrift
Inschrift</t>
  </si>
  <si>
    <t xml:space="preserve">WANN SIE NOCH REDEN, WIL ICH HÖREN. Es. 65.
AVGSPVRGISCHER KINDER FRIE=DENS FEST
DER SITZET AN DER HöChSTEN Stätt HATS FEINDES LIST GETILGET. 13. AVG.</t>
  </si>
  <si>
    <t xml:space="preserve">in Abschnitt</t>
  </si>
  <si>
    <t xml:space="preserve">Schrank
Schublade</t>
  </si>
  <si>
    <t xml:space="preserve">1
1.12</t>
  </si>
  <si>
    <t xml:space="preserve">Bereits anlässlich des ersten Kinderfriedensfestes am 10. August 1650 erhielten die evangelischen Schulkinder nicht nur Kupferstiche&amp;nbsp;– die Augsburger Friedensgemählde –, sondern auch einen Friedenspfennig. Für das Jahr 1704 sind zwei solche Stücke belegt, die beide in Nürnberg geprägt wurden.[fn]Das zweite Exemplar von Philipp Heinrich Müller.[/fn] Die zum Himmel zeigende Mutter, die ein Kind an ihrer Hand führt, wurde aus dem Friedensgemählde des gleichen Jahres entnommen, das die Augsburger Bevölkerung vor den zerstörten Toren der Stadt zeigt.[fn]Für ein Faksimile siehe Jesse 1981, S. 188–189.[/fn] Das alljährliche Friedensfest überschnitt sich am 13.08.1704 mit der Schlacht bei Höchstädt an der Donau.[fn]"AN DER HöChsten Stätt", Auszug aus der Inschrift der Klippenrückseite.[/fn] Mit dem Sieg über die bayerisch-französischen Truppen endete&amp;nbsp;die Belagerungszeit für Augsburg. Aus diesem Grund wurde die Friedensfeier als Bußfest begangen, worauf auch der Text des Augsburger Friedensgemählds eingeht.[fn]"Weil Ubertrettungs=Last nahm zu in allen Ständen / Und ernste Warnung wurd gantz freventlich veracht / So must Er gleiche Straff auf unser Augspurg senden / Dadurch ihr Pracht zum Grauß und Scheusal wurd gemacht."[/fn]
ALS
</t>
  </si>
  <si>
    <t xml:space="preserve">http://friedensbilder.gnm.de/sites/default/files/Med12233_vs.jpg
http://friedensbilder.gnm.de/sites/default/files/Med12233_rs.jpg</t>
  </si>
  <si>
    <t xml:space="preserve">Bereits anlässlich des ersten Kinderfriedensfestes am 10. August 1650 erhielten die evangelischen Schulkinder nicht nur Kupferstiche&amp;nbsp;– die sogenannten&amp;nbsp;Augsburger Friedensgemählde&amp;nbsp;–, sondern auch einen Friedenspfennig. Für das Jahr 1704 sind sogar zwei verschiedene Prägungen belegt, die beide in Nürnberg hergestellt wurden.&amp;nbsp;Die zum Himmel zeigende Mutter auf der Vorderseite, die ein Kind an ihrer Hand führt, wurde aus dem&amp;nbsp;Friedensgemählde&amp;nbsp;des gleichen Jahres entnommen, das die Augsburger Bevölkerung vor den zerstörten Toren der Stadt zeigt. Auf der "Klippe", wie diese Prägungen genannt werden, wird der mütterliche Verweis auf Gott zusätzlich durch einen umlaufenden Bibelvers unterstützt (Jesaja 65, 24): ”Wann sie noch reden, wil ich hören.“ Und wie der Mutter als erklärende Zeilen in den Mund gelegt heißt es auf dem Revers: ”Der sitzet an der höchsten Stätt, hats Feindes List getilget.“Im Jahre 1704 überschnitt sich das alljährliche Friedensfest mit der Schlacht bei Höchstädt an der Donau am 13. August.&amp;nbsp;Mit dem Sieg über die bayerisch-französischen Truppen endete&amp;nbsp;die Belagerungszeit für Augsburg. Aus diesem Grund wurde die Friedensfeier als Bußfest begangen, worauf auch der Text des&amp;nbsp;Augsburger Friedensgemähldes&amp;nbsp;eingeht.ALS/MATW</t>
  </si>
  <si>
    <t xml:space="preserve">Frieden durch göttliches Handeln
Jubiläum</t>
  </si>
  <si>
    <t xml:space="preserve">Auf das Augsburger Kinderfriedensfest 1704, Vorderseite, Med 12233</t>
  </si>
  <si>
    <t xml:space="preserve">https://friedensbilder-neu.gnm.de/sites/default/files/2019-06/Med12233-01.png
https://friedensbilder-neu.gnm.de/sites/default/files/2019-06/Med12233-02.png
https://friedensbilder-neu.gnm.de/sites/default/files/2019-06/Med12233-02-doppel.png</t>
  </si>
  <si>
    <t xml:space="preserve">Auf das Augsburger Kinderfriedensfest 1704, Vorderseite</t>
  </si>
  <si>
    <t xml:space="preserve">http://friedensbilder.gnm.de/content/frieden_foto_order204dbe</t>
  </si>
  <si>
    <t xml:space="preserve">Reimerklärung des gewöhnlichen Friedensgemähldes</t>
  </si>
  <si>
    <t xml:space="preserve">HB 6717, Kapsel 1249</t>
  </si>
  <si>
    <t xml:space="preserve">Scheller, August
Rugendas, Jeremias Gottlob</t>
  </si>
  <si>
    <t xml:space="preserve">Jesse 1981
Ausst. Kat. Augsburg 2000
Teuscher 1998
Gantet 2005
Ausst. Kat. Augsburg 2005
Stillfried 1879
Albrecht 1983
Bellot 2003
Gier 2005
Mühleisen 2000
Wüst 2000</t>
  </si>
  <si>
    <t xml:space="preserve">S. 67 und 308–309
S. 99 und 112
S. 182, Kat.-Nr. 712
S. 278–281
S. 639, Kat.-Nr. IX.16 (Helmut Gier)
S. 56–57
S. 130
S. 420
S. 631
S. 121–124
S. 72–73</t>
  </si>
  <si>
    <t xml:space="preserve">Platte
Blatt</t>
  </si>
  <si>
    <t xml:space="preserve">25,5 x 31,2
55,8 x 42</t>
  </si>
  <si>
    <t xml:space="preserve">Staats- und Stadtbibliothek Augsburg
Grafisches Kabinett im Höhmann-Haus</t>
  </si>
  <si>
    <t xml:space="preserve">Graph 21/16 [1763]
G 20828</t>
  </si>
  <si>
    <t xml:space="preserve">Blatt beschnitten</t>
  </si>
  <si>
    <t xml:space="preserve">welches 1763. den 10. August, zum Andenken, der evangelischen Schuljugend ausgetheilet worden: nach Anleitung der Worte Ps. 102. v. 19.</t>
  </si>
  <si>
    <t xml:space="preserve">August Scheller inv. et del. A.V.
Jer. Gottlob Rugendas sculps.</t>
  </si>
  <si>
    <t xml:space="preserve">links unterhalb des Bildes
rechts unterhalb des Bildes</t>
  </si>
  <si>
    <t xml:space="preserve">Nr. 2809</t>
  </si>
  <si>
    <t xml:space="preserve">Die ersten Verse des Blattes preisen die Wiederherstellung des Friedens nach 1648. In seinem Angedenken opfert die Personifikation der Stadt Augsburg, umgeben von Bürgern, "Dem Friedensgotte [...] am heiligen Denkaltar". Die folgenden Verse interpretieren den Vertrag von Hubertusburg als Erneuerung des Westfälischen Friedens: "Du hast zum festen Grund Westphalens Friedensruh, / Und setzest solchem Glück ein neues Siegel zu." Die Jahreszahlen beider Ereignisse sind oberhalb der Obelisken notiert. Die Angabe 1650 verweist auf die erwirkten Friedensbestimmungen, die zur Gleichstellung von Katholiken und Protestanten in Augsburg führten. Auf den Zeitraum vor ihrer Durchsetzung bezieht sich die Formulierung&amp;nbsp;"Das lang erlittne Leid von vierzehn Kummerjahren", in denen die Augsburger Protestanten keine eigenen Gotteshäuser nutzen durften und weiteren Einschränkungen unterlagen. Der Stich zählt zu den Augsburger Friedensgemälhden, die in diesem und den beiden darauffolgenden Jahren historische Ereignisse reflektierten. Die Künstlerfamilie Rugendas steuerte insgesamt 16 Stiche bei.
ALS
&amp;nbsp;
</t>
  </si>
  <si>
    <t xml:space="preserve">linke Kartusche: 1648.d.15.Fbr. Osnabrück.
rechte Kartusche: A°.1763.d.15.Febr. Hubertusburg.
um Gottesname im Dreieck: Ehre sey / Gott in / der Höhe
aus der Posaune des linken Engels: Friede auf Erden&amp;nbsp;
aus der Posaune des rechten Engels, allerdings mit Buchstaben auf dem Kopf: Friede auf Erden
linker Olivenkranz: 1650
rechter Olivenkranz: 1763
Banderole zwischen beiden Obelisken: den Menschen ein Wohlgefallen
augestelltes Buch: Ps. 102. 19. / Das / werde ge= / schrie= //ben auf / die / Nachkom/ men.
im Postament: Dem Gott des Friedens.
Text:
Überschrift:&amp;nbsp;
Reimerklärung&amp;nbsp;
des gewöhnlichen Friedensgemäldes, welches 1763. den 10. August, zum Andenken, der evangelischen Schuljugend
ausgetheilet worden: nach Anleitung der Worte Ps. 102. v. 19.
[linke Spalte]:
Kommt liebe Kinder kommt! und schmücket euch aufs beste:&amp;nbsp;
Zieht in das Heiligthum an eurem frohen Feste
Mit lautem Jubelein. Bringt in vereinter Schaar&amp;nbsp;
Dem Friedensgotte Lob am heiligen Dankaltar.
Volk, das geschaffen ward, den Mächtigen zu loben,
Der seiner Gnade Ruhm in Zions Heil erhoben,
Preis seine Wunder hoch, die er den Vätern that,
Und die ihr dankbar Herz auf dich geschrieben hat.
Dies Denkmal mag sie dir heut abermal erneuern:
Er läßt Dich wiederum den alten Festtag feyern,
Der in dem fünfzigsten nach sechzehnhundert Jahr,
Wie jene Säule zeigt, zuerst begangen war.
Da schuf der treue Gott ein grosses Wohlgefallen;
Die Alten jauchzten DAnk in ihrer Kinder Lallen;
So furh er fort bis jetzt und schenkte Gnad und Treu&amp;nbsp;
Und zeigete, daß er der Gott des Friedens sey.
&amp;nbsp; &amp;nbsp; &amp;nbsp; In diesem Bilde kniet mit andachtvollem Flehen
Sein Zion, das er sich in Augsburg ausersehen,
Um frohen Dankaltar, das Rauchfaß in der Hand
Und opfert hohes Lob, daß er sein Leid gewandt.
Das lang erlittne Leid von vierzehn Kummerjahren,
In welchen Kirch und Schul für sie gesperret waren,
Und wo nur kümmerlich und sparsam Brünnlein floß,
Das in ihr armes Herz zum Labsal sich ergoß.
Bis hin ihr lautes Schreyn und schwere Trübsal rührte
Und er das Friedenswerk zu Osnabrüg vollführte,
Dadurch von Kirch und Schul die schweren Riegel schob
Und sie im Regiment zu gleichem Recht erhob.
&amp;nbsp; &amp;nbsp; &amp;nbsp; &amp;nbsp; Das war dein Werk, o Gott! Ein Wunder deiner Rechte;
Die ungebohrne Welt, das künftige Geschlechte
Sollts sehn und fröhlich seyn; drum sagest du bisher
Stets Friede zu und machst der Gnaden täglich mehr.
&amp;nbsp; &amp;nbsp; &amp;nbsp; Das müße, wie im Buch vor Zion aufgeschlagen,
In Davids Psalmen steht, ein Tag dem andern sagen,
Das isige Geschlecht mach es dem andern kund,
Und seiner Güte Ruhm erzähl der Nachwelt Mund.
&amp;nbsp; &amp;nbsp; &amp;nbsp; So wie im Bilde hier die froh vereinte Tugend
Im schönen Friedensschmuck die Herrlichkeit und Tugend
Des Gottes, der da half, an dem Altare preist,
Auf den ihr wundernd Aug und muntrer Finger weist;
[rechte Spalte]
So stimme junge Schaar auch du in frohen Chören
In seinem offnen Haus, zu seines Namens Ehren,
Heut deiner Andacht Dank und Lobelieder an,
Denn du genießt es noch, was er vormals getahn.
Der beyden Engel Wort: FRied, großer Fried auf ERden!
Ließ er zu Osnabrüg und Münster Wahrheit werden;
Und Augsburgs Zion schmeckt noch ist voll Sicherheit
Bey weiser Väter Sorg die Wohltat jener Zeit.
Doch nicht nur dazumal entschied sein Wink und Wille
Des Krieges lange Noth, und machte Völker stille
Und Länder voller Ruh: denk Jugend, denk zurück,
Und wirf auf jenen SChild auch einen kurzen Blick.
Du si hest Hubertusburg, das SChloß in seiner Mitten,
Bey deßen Bau die Kunst mit Pracht und Fleiß gestritten:
O welch ein großes Werk kam da dies Jahr zu stand,
Als Gott der Mächte Herz im Fried aufs neu verband?
Gesegnet sey der Tag, und müß es ewig bleiben,
Man müß ihn feyerlich auf Kindeskinder schreiben,
Den hocherseufzten Tag, da Deutschland stille ward,
Das unter Angst und Flehn so lang auf ihn geharrt.
Gott sprachs und es war Fried: der Krieg entwich von hinnen,
Die Thränen hörten auf aus Angst und Schmerz zu rinnen;
Die Jubel schalleten durch Deutschlands weites Reich,
Und mit dem Frieden kam Heil, Ruh und Glück zugleich.
&amp;nbsp; &amp;nbsp; &amp;nbsp;O Friede, süßer Trost auf blutige Beschwerden,
Du göttliches Geschenk den Bürgern deutscher Erden,
Du hast zum festen Grund Westphalens Friedensruh,
Und setzest solchem Glück ein neues Siegel zu.
&amp;nbsp; &amp;nbsp; &amp;nbsp;Auf Jugend! daß man dich dafür dann dankbar sehe!
Richt deine Hand und Aug zum Herrscher in der Höhe;
STimm hohe Psalmen an im schönen Heiligthum,
Gib seinem Namen Ehr, sind seiner Gnade Ruhm.
Stimm fromm mit heilgem Dank ins Lob der Seraphinen,
Die ehrfurchtsvoll verhüllt vor seinem Antlitz dienen;
Lob unserm Friedensgott, wie seinem Volck geziemt!
Lob dem Allmächtigen, wie ihn der Himmel rühmt.
Beherrscher aller Welt! laß deine Gnade dauern,
So lang der Erdball grünt, schaff daß in unsern MAuern
Das Glücke Zion blüh, von Tag zu Tag erneurt,
Bis daß die Sonn erlischt, der Mond den Glanz verleurt.
MATW
</t>
  </si>
  <si>
    <t xml:space="preserve">http://friedensbilder.gnm.de/sites/default/files/HB6717_.tif</t>
  </si>
  <si>
    <t xml:space="preserve">Die ersten Verse des Blattes preisen die Wiederherstellung des Friedens nach 1648. In seinem Angedenken opfert die Personifikation der Stadt Augsburg, umgeben von Bürgern, ”Dem Friedensgotte [...] am heiligen Denkaltar“. Die folgenden Verse interpretieren den Vertrag von Hubertusburg als Erneuerung des Westfälischen Friedens: ”Du hast zum festen Grund Westphalens Friedensruh, / Und setzest solchem Glück ein neues Siegel zu.“ Die Jahreszahlen beider Ereignisse sind oberhalb der Obelisken notiert. Die Angabe 1650 verweist auf die erwirkten Friedensbestimmungen, die zur Gleichstellung von Katholiken und Protestanten in Augsburg führten. Auf den Zeitraum vor ihrer Durchsetzung bezieht sich die Formulierung ”Das lang erlittne Leid von vierzehn Kummerjahren“, in denen die Augsburger Protestanten keine eigenen Gotteshäuser nutzen durften und weiteren Einschränkungen unterlagen. Der Stich zählt zu den&amp;nbsp;Augsburger Friedensgemälhden, die in diesem und den beiden darauffolgenden Jahren historische Ereignisse reflektierten. Die Künstlerfamilie Rugendas steuerte insgesamt 16 Stiche bei.ALS</t>
  </si>
  <si>
    <t xml:space="preserve">Frieden durch göttliches Handeln</t>
  </si>
  <si>
    <t xml:space="preserve">Reimerklärung des gewöhnlichen Friedensgemähldes,, HB 6717, Kapsel 1249</t>
  </si>
  <si>
    <t xml:space="preserve">https://friedensbilder-neu.gnm.de/sites/default/files/2019-06/HB6717.png</t>
  </si>
  <si>
    <t xml:space="preserve">Reimerklärung des gewöhnlichen Friedensgemähldes,</t>
  </si>
  <si>
    <t xml:space="preserve">http://friedensbilder.gnm.de/content/frieden_foto_order1f9414</t>
  </si>
  <si>
    <t xml:space="preserve">Allegorie auf die Friedensverhandlungen zwischen Spanien und den niederländischen Generalstaaten</t>
  </si>
  <si>
    <t xml:space="preserve">HB 19102, Kapsel 1313</t>
  </si>
  <si>
    <t xml:space="preserve">um 1608</t>
  </si>
  <si>
    <t xml:space="preserve">Verleger
Stecher
Zeichner
Vorlage</t>
  </si>
  <si>
    <t xml:space="preserve">Firens, Pierre
Bosche, Elias van den
Haen, Willem de</t>
  </si>
  <si>
    <t xml:space="preserve">Paris</t>
  </si>
  <si>
    <t xml:space="preserve">Dlugaiczyk 2005
Kaulbach 2003a
Ausst. Kat. Stuttgart 2012
Atlas van Stolk
Muller
Hollstein Dutch and Flemish
Kaulbach 2013
Mäder 1971
McGrath 1975
Thieme Becker</t>
  </si>
  <si>
    <t xml:space="preserve">S. 58–64; S. 335, Kat.-Nr. 14
S. 185–186
S. 113, Kat.-Nr. 54
Nr. 1242
Bd. I, S. 157, Nr. 1268
Bd. III, S. 128, Nr. W4
S. 113–114, Kat.-Nr. 54
S. 14
S. 206
Bd. IV, S. 39</t>
  </si>
  <si>
    <t xml:space="preserve">25,3 x 34,5</t>
  </si>
  <si>
    <t xml:space="preserve">Rijksmuseum
Staatsgalerie, Graphische Sammlung
Historisches Museum Rotterdam, Sammlung Atlas van Stolk</t>
  </si>
  <si>
    <t xml:space="preserve">Amsterdam
Stuttgart
Rotterdam</t>
  </si>
  <si>
    <t xml:space="preserve">RP-P-BI-4189
A 18081
15358</t>
  </si>
  <si>
    <t xml:space="preserve">"schlechte Kopie" nach W. de Haen, blad: h 262 mm × b 352 mm; 1(2): Templum Religioni, Velum TutU, ohne Beligici Zusatz, ohne Verlagsadresse
Höhe-Blatt: 26,1 cm; Breite-Blatt: 35,7 cm; Zustand 1(2): Templum Religioni, Velum TutU, ohne Beligici Zusatz, ohne Verlagsadresse
25,8 x 35,5; Zustand 2(2): Templum Concordia, Velum Tuto, Status BELGICI, mit Verlagsadresse</t>
  </si>
  <si>
    <t xml:space="preserve">Depot</t>
  </si>
  <si>
    <t xml:space="preserve">Plattenzustand</t>
  </si>
  <si>
    <t xml:space="preserve">2(2)</t>
  </si>
  <si>
    <t xml:space="preserve">Helias van den Bossche Fecit
P. Firens excudit A Paris rue S' Iac. a. la</t>
  </si>
  <si>
    <t xml:space="preserve">links unten</t>
  </si>
  <si>
    <t xml:space="preserve">Das Blatt des flämischen Stechers Helias van den Bossche behandelt den spanisch-niederländischen Waffenstillstand von 1609. Mit den politischen Protagonisten folgt der Stich einem etablierten Personenkanon: Den seit 1598 die Niederlande regierenden Statthaltern&amp;nbsp;Albert und Isabella ist der Geistliche&amp;nbsp;Johan de Ney beigestellt.&amp;nbsp;Moritz von Nassau-Oranien&amp;nbsp;und&amp;nbsp;Ambrogio Spinola&amp;nbsp;führen der spanischen Seite die Repräsentanten der sieben Provinzen zu. Die&amp;nbsp;Porträtmedaillons bilden weitere am Waffenstillstand beteiligte Personen ab.[fn]Den spanischen Militär Charles de Bucquoy sowie Frederik Hendrik von Nassau-Oranien. Die Medaillons fanden durch Hogenbergs Geschichtsblätter große Verbreitung, vgl. Ausst. Kat. Düsseldorf 1989, S. 28–29.[/fn]Van den Bossche griff nicht auf die sonst&amp;nbsp;bei der Darstellung eines Waffenstillstandes&amp;nbsp;übliche Personifikation der Pax zurück.[fn]Zu dieser siehe eine Zeichnung von David Vinckboons (Paris, Ecole Nationale Supérieure des Beaux-Arts, Inv.-Nr. M 2110 und 52421), vgl. Dlugaiczyk 2005, S. 50–58. [/fn] Ausgehend von Psalm 85,11 setzte er statt dessen im Verbund mit Misericordia&amp;nbsp;und&amp;nbsp;Veritas&amp;nbsp;die vier Töchter Gottes als neues Figurenensemble ein.Die sich zur gegnerischen Seite wendenden Figuren ließen vermuten, dass der Auftrag für das Blatt aus Spanien kam, doch dagegen sprechen andere Elemente: die Abführung des Mars, die mit den Versen aus Jesaja 2,4 überschriebene Schmieden von Waffen zu Ackergerät und die Stadtansicht Antwerpens als Unterzeichnungsort des temporären Friedensabkommens.Der vorliegende Druckzustand ist bei Hollstein nicht verzeichnet.[fn]Aufgrund der fehlenden Angabe der Verlags-Adresse auf dem Blatt des ersten Zustands schrieb es Wurzbach (Bd. I, S. 146, Nr. 4) dem Verleger Peter Overradt (Köln) zu. Dort war Bossche aber erst ab 1620 tätig.[/fn]ALS</t>
  </si>
  <si>
    <t xml:space="preserve">http://friedensbilder.gnm.de/sites/default/files/HB19102_.tif</t>
  </si>
  <si>
    <t xml:space="preserve">Friedensverhandlungen zwischen Spanien und den niederländischen Generalstaaten, HB 19102, Kapsel 1313</t>
  </si>
  <si>
    <t xml:space="preserve">Friedensverhandlungen zwischen Spanien und den niederländischen Generalstaaten</t>
  </si>
  <si>
    <t xml:space="preserve">http://friedensbilder.gnm.de/content/frieden_foto_order204da0</t>
  </si>
  <si>
    <t xml:space="preserve">Libretto (Druck)</t>
  </si>
  <si>
    <t xml:space="preserve">I brindesi nell’occasione del lautissimo banchetto fatto in Roma dall’Eminentssimo Sig. Card. Antonio Barberino a i Ministri del Re Cattolico </t>
  </si>
  <si>
    <t xml:space="preserve">Biblioteca Vallicelliana</t>
  </si>
  <si>
    <t xml:space="preserve">Rom</t>
  </si>
  <si>
    <t xml:space="preserve">ARCA VII 24_1</t>
  </si>
  <si>
    <t xml:space="preserve">Verleger
Drucker</t>
  </si>
  <si>
    <t xml:space="preserve">Corvo, Giuseppe
Lupardi, Bartolomeo</t>
  </si>
  <si>
    <t xml:space="preserve">Gialdroni 2017
Amendola 2016</t>
  </si>
  <si>
    <t xml:space="preserve">S. 33–54
S. 39–50</t>
  </si>
  <si>
    <t xml:space="preserve">http://cantataitaliana.it/query_bid.php?id=6525</t>
  </si>
  <si>
    <t xml:space="preserve">La musa seria parte prima [-seconda] delle poesie per musica di Giampietro Monesio</t>
  </si>
  <si>
    <t xml:space="preserve">I, S. 10–12</t>
  </si>
  <si>
    <t xml:space="preserve">Chiara Pelliccia</t>
  </si>
  <si>
    <t xml:space="preserve">Abschluss</t>
  </si>
  <si>
    <t xml:space="preserve">Per la pace stabilitasi tra le due corone, di Francia e di Spagna</t>
  </si>
  <si>
    <t xml:space="preserve">http://friedensbilder.gnm.de/sites/default/files/1.tif
http://friedensbilder.gnm.de/sites/default/files/2.tif</t>
  </si>
  <si>
    <t xml:space="preserve">Friedenszeit</t>
  </si>
  <si>
    <t xml:space="preserve">I brindesi nell’occasione del lautissimo banchetto fatto in Roma dall’Eminentssimo Sig. Card. Antonio Barberino a i Ministri del Re Cattolico,, ARCA VII 24_1</t>
  </si>
  <si>
    <t xml:space="preserve">https://friedensbilder-neu.gnm.de/sites/default/files/2019-06/ARCA-VII-24-1-01_0.png
https://friedensbilder-neu.gnm.de/sites/default/files/2019-06/ARCA-VII-24-1-02_0.png</t>
  </si>
  <si>
    <t xml:space="preserve">I brindesi nell’occasione del lautissimo banchetto fatto in Roma dall’Eminentssimo Sig. Card. Antonio Barberino a i Ministri del Re Cattolico,</t>
  </si>
  <si>
    <t xml:space="preserve">http://friedensbilder.gnm.de/content/frieden_foto_order1df5a0</t>
  </si>
  <si>
    <t xml:space="preserve">ARCA VII 24</t>
  </si>
  <si>
    <t xml:space="preserve">http://cantataitaliana.it/query_bid.php?id=6508</t>
  </si>
  <si>
    <t xml:space="preserve">http://friedensbilder.gnm.de/sites/default/files/1_0.tif
http://friedensbilder.gnm.de/sites/default/files/2_0.tif</t>
  </si>
  <si>
    <t xml:space="preserve">http://friedensbilder.gnm.de/content/frieden_objecte3d4</t>
  </si>
  <si>
    <t xml:space="preserve">http://friedensbilder.gnm.de/content/frieden_foto_order1df8e7</t>
  </si>
  <si>
    <t xml:space="preserve">Allegorie auf den Frieden</t>
  </si>
  <si>
    <t xml:space="preserve">Graph. A1: 1061</t>
  </si>
  <si>
    <t xml:space="preserve">Stecher
Zeichner</t>
  </si>
  <si>
    <t xml:space="preserve">Heumann, Georg Daniel</t>
  </si>
  <si>
    <t xml:space="preserve">Ausst. Kat. Stuttgart 2012
Meiern </t>
  </si>
  <si>
    <t xml:space="preserve">S. 106, Kat.-Nr. 47
Bd. VI, Vorbericht, unpaginiert [S. 5–8]</t>
  </si>
  <si>
    <t xml:space="preserve">237 x 225</t>
  </si>
  <si>
    <t xml:space="preserve">Staatsgalerie, Graphische Sammlung</t>
  </si>
  <si>
    <t xml:space="preserve">Stuttgart</t>
  </si>
  <si>
    <t xml:space="preserve">An 1424</t>
  </si>
  <si>
    <t xml:space="preserve">G. D. Heumann del. et sculp. Norimb:</t>
  </si>
  <si>
    <t xml:space="preserve">Das Blatt war als Schluss-Vignette für die »Acta Pacis Westphalicae Publica« bestimmt, die ab 1734 erscheinende Ausgabe der Akten und Urkunden des Westfälischen Friedens. Im »Vorbericht« erläuterte der Verfasser Johann Gottfried von Meiern das Bild: Im Vordergrund sitzt „»Irene oder der Frieden«", in der linken Hand einen Ölzweigkranz, auf dem Schoß das Füllhorn. Zu ihr tritt ein kleiner Genius mit einer Laute, Zeichen der Harmonie. Dahinter kann die Zwietracht nur noch grimmig zuschauen. Mit ihrer rechten Hand deutet Eirene auf den Janus-Tempel, dessen Tore im antiken Rom nur zu Friedenszeiten geschlossen waren. Auf dessen Stufen sitzt der schlafende Kriegsgott Mars neben zerbrochenem Kriegsgerät. Eirene gegenüber stehen die „»Deutsche Freyheit und Religion«, die durch den Westfälischen Frieden gesichert wurden. Auf alles fällt von oben göttliches Licht. Drei kleine Genien im Vordergrund halten Ölzweige und binden das Pfeilbündel der Eintracht zusammen; Segelschiffe im Hintergrund weisen auf die Sicherheit des Handels im Frieden. Die Motive auf dem Rahmen stehen für Künste und Wissenschaften, die im Frieden blühen, und die Landarbeit. Unten sind zwei antike Münzen abgebildet, die von Meiern ausführlich erläutert; rechts angeblich das »Templum Pacis«, der in Rom unter Kaiser Vespasian errichtete Friedenstempel.HMK&amp;nbsp;</t>
  </si>
  <si>
    <t xml:space="preserve">Infos&amp;nbsp;Staatsgalerie StuttgartFriedensbilder in Europa. Verbundprojekt: „Übersetzungsleistungen von Diplomatie und Medien im vormodernen Friedensprozess. Europa 1450-1789." Gefördert vom Bundesministerium für Bildung und Forschung, 2009-2012.Staatsgalerie StuttgartInfos HAB (http://diglib.hab.de/?grafik=graph-a1-1061)auf ein zweites Blatt aufgeklebt, auf dessen Verso-Seite sich ein gedruckter Text befindetThieme-Becker, Bd. XVII, S. 4f.</t>
  </si>
  <si>
    <t xml:space="preserve">http://friedensbilder.gnm.de/sites/default/files/HAB_Graph.A1_1061.jpg</t>
  </si>
  <si>
    <t xml:space="preserve">Allegorie auf den Frieden, Graph. A1: 1061</t>
  </si>
  <si>
    <t xml:space="preserve">http://friedensbilder.gnm.de/content/frieden_foto_order205405</t>
  </si>
  <si>
    <t xml:space="preserve">Einladung zum sechsten Actu Oratorio zum Gedächtnis des Religionsfriedens von 1555</t>
  </si>
  <si>
    <t xml:space="preserve">HB 10498, Kapsel 1365</t>
  </si>
  <si>
    <t xml:space="preserve">Verleger
Verfasser</t>
  </si>
  <si>
    <t xml:space="preserve">Arnold, Michael
Jungendres, Sebastian Jacob</t>
  </si>
  <si>
    <t xml:space="preserve">Will 1764
Acta Historico-Ecclesiastica 1755</t>
  </si>
  <si>
    <t xml:space="preserve">S. 30–31
S. 871–873</t>
  </si>
  <si>
    <t xml:space="preserve">34,1 x 21,7</t>
  </si>
  <si>
    <t xml:space="preserve">Anlässlich des Augsburger Religionsfriedens ordnete der Nürnberger Stadtrat ein Dank- und Gedächtnisfest für den 21. September 1755 an.&amp;nbsp;Es bestand nicht nur aus Predigten und Lesungen während der Gottesdienste, sondern auch aus diversen Veranstaltungen in den evangelischen Schulgemeinden. Der Rector der Lorenzer Schule,&amp;nbsp;Sebastian Jacob Jugendres, lud mit diesem Schreiben zu einer derartigen Veranstaltung ein.[fn]"Ins besondere ist etwas davon im Drucke erschienen, da ein öffentlicher actus oratorius bey dieser Gelegenheit in der Lorenzerschule gehalten worden. Der Rector derselben, Herr M. Sebstian Jakob Jungendres [...] machte solchen teutschen actum oratorium nicht nur in einer Einladungsschrift bekannt, darinnen er die Frage abhandelte: ob es einem Lande nachtheilig sey, mehr als eine Religions darinnen zu dulden? sondern beschrieb auch auf einem besonderen Bogen die Einrichtung desselben und den Inhalt der am 17. Sept. zu haltenden Reden und Gespräche, welchem er die dabey abzusingenden Cantaten beyfügte", nach Will 1764, S. 30–31.[/fn] Neben drei das Oratorium begleitenden Kantaten schilderten verschiedene Sprecher die Entstehung des Religionsfriedens – etwa den Reichstag zu Augsburg 1555 und die Rolle Nürnbergs auf diesem.Schnabel 1995, S. 460.&amp;nbsp;–&amp;nbsp;Will 1764, S. 30–31.ALS</t>
  </si>
  <si>
    <t xml:space="preserve">http://friedensbilder.gnm.de/sites/default/files/HB10498_1 (1).tif
http://friedensbilder.gnm.de/sites/default/files/HB10498_2 (2)_0.tif</t>
  </si>
  <si>
    <t xml:space="preserve">Einladung zum sechsten Actu Oratorio zum Gedächtnis des Religionsfriedens von 1555, HB 10498, Kapsel 1365</t>
  </si>
  <si>
    <t xml:space="preserve">http://friedensbilder.gnm.de/content/frieden_foto_order204eef</t>
  </si>
  <si>
    <t xml:space="preserve">Auf die Zweihundertjahrfeier der Confessio Augustana</t>
  </si>
  <si>
    <t xml:space="preserve">HB 26676, Kapsel 1248a</t>
  </si>
  <si>
    <t xml:space="preserve">Rogg, Gottfried</t>
  </si>
  <si>
    <t xml:space="preserve">Marsch 1980</t>
  </si>
  <si>
    <t xml:space="preserve">S. 95–96; Abb. 117–118</t>
  </si>
  <si>
    <t xml:space="preserve">19,7 x 13,9</t>
  </si>
  <si>
    <t xml:space="preserve">Graph. A1: 2249</t>
  </si>
  <si>
    <t xml:space="preserve">Augspurgisches Iubel-Gedächtnüs das ist,</t>
  </si>
  <si>
    <t xml:space="preserve">[S.] 59</t>
  </si>
  <si>
    <t xml:space="preserve">Gottfrid Rogg: del: et exc. Aug: Vind.</t>
  </si>
  <si>
    <t xml:space="preserve">Germanisches Nationalmuseum </t>
  </si>
  <si>
    <t xml:space="preserve">Nr. 1076a</t>
  </si>
  <si>
    <t xml:space="preserve">Faltblatt von Gottfried Rogg anlässlich des zweihundertjährigen Jubiläums der&amp;nbsp;Confessio Augustana. Häufig als Tauf- oder Konfirmationsbrief verwendet,[fn]Siehe Scharfe 1968, S. 231–233 und Pieske 1942.[/fn] enthielten die Blätter Szenen der Reformationsgeschichte in Kombination mit typologischen Darstellungen. Als Initiatoren&amp;nbsp;der&amp;nbsp;Confessio Augustana&amp;nbsp;befinden sich oberhalb der Übergabe des Schrifstücks an&amp;nbsp;Kaiser Karl V.&amp;nbsp;die Porträts&amp;nbsp;Martin Luthers&amp;nbsp;und&amp;nbsp;Philipp Melanchthons.&amp;nbsp;In den Rahmenmedaillons sind die Kerninhalte (der einzelnen Artikel) des Bekenntnisses wiedergegeben. Die Abbildung zeigt die Innenseite des Briefes, der in das "Augspurgische[s] Iubel-Gedächtnüs das ist, Alle Sin[n]reiche Inventiones oder so genandte Iubel-Gemählde" (1730)&amp;nbsp;von Johann Michael Roth aufgenommen wurde.[fn]Die handschriftliche Notiz auf dem Wolfenbütteler Exemplar verweist darauf: "aus der Rothischen Sammlung unter dem Titel: Augsbugisches Jubel=Gedächtnüs auf das J. (.1730)"[/fn] Dabei handelt es sich um ein Sammelwerk zur zweiten Säkularfeier der Confessio Augustana, welches Gedenkblätter von verschiedenen Augsburger Künstlern enthält. Der Maler, Kupferstecher und Verleger Gottfried Rogg ist in dem Werk mehrfach vertreten. Zusammen mit dem ebenfalls ortsansässigen Johann Christoph Kolb schuf er zahlreiche jener Faltblätter und verlegte sie teilweise selbst.&amp;nbsp;Marsch 1980, S. 95–96. –&amp;nbsp;Thieme Becker Bd. XXVIII, [Art.] Gottfried Rogg, S. 516–517 (N. Lieb) –&amp;nbsp;Thieme Becker Bd. XXI, [Art.] Johann Christoph Kolb, S. 223 (A. Hämmerle).ALS&amp;nbsp;&amp;nbsp;&amp;nbsp;</t>
  </si>
  <si>
    <t xml:space="preserve">http://friedensbilder.gnm.de/sites/default/files/HB26676_vs.tif
http://friedensbilder.gnm.de/sites/default/files/HB26676_Außenseite.tif</t>
  </si>
  <si>
    <t xml:space="preserve">Auf die Zweihundertjahrfeier der Confessio Augustana, Innenseite, HB 26676, Kapsel 1248a
 Auf die Zweihundertjahrfeier der Confessio Augustana, Außenseite, HB 26676, Kapsel 1248a</t>
  </si>
  <si>
    <t xml:space="preserve">Auf die Zweihundertjahrfeier der Confessio Augustana, Innenseite
 Auf die Zweihundertjahrfeier der Confessio Augustana, Außenseite</t>
  </si>
  <si>
    <t xml:space="preserve">http://friedensbilder.gnm.de/content/frieden_foto_order204e6a</t>
  </si>
  <si>
    <t xml:space="preserve">Druckgraphik (Album)</t>
  </si>
  <si>
    <t xml:space="preserve">Staatsbibliothek zu Berlin</t>
  </si>
  <si>
    <t xml:space="preserve">Berlin</t>
  </si>
  <si>
    <t xml:space="preserve">2° Df 3810</t>
  </si>
  <si>
    <t xml:space="preserve">http://resolver.staatsbibliothek-berlin.de/SBB00004E5C00000000</t>
  </si>
  <si>
    <t xml:space="preserve">Gedenktext</t>
  </si>
  <si>
    <t xml:space="preserve">Band gehört um Altbestand, Stempel Ex Bibliotheka Regia Berolinensis datiert zwischen 1795 und 180--&amp;gt; Bibliotheksstempel. Besitzvermerke von Bibliotheken der BRD, 1998, S. 21, Nr. 11- alle Blätter an eine Papier-Randleiste angeklebt- Titelblatt: Radierung- Anrede an das Buch: Radierung- Durch die Veranstaltung des Jubilari: Radierung- Auflistung der Platten: Radierung- kurzer Diskurs...: Radierung; über Blattkante hinaus&amp;nbsp;- Nessenthaler mit Christus auf CA, mehrfach gefaltet: Radierung mit Kupferstich- Kyrie Elaison, Gottfried Rog: Rückseite bedruckt mit Fürstellung der Evangelischen Kirche...Malabore in Ost-Indien: Radierung- Riedinger, Vorstellung der Ostindiscen Kirche: sehr großformatig, zweimal gefaltet- Miracula Augustana (Ehrenbogen von Elias Beck) Radierung und rückseitig bedruckt mit schriftmäßige Vorstellung der ungeänderten CA: Radierung9r: Corvinus Blatt mit CA: Radierung und rückseitig bedruckt mit christlich wohlgemeynte Gedanken- Setlezky: Hoch tegmine tuta floribit, ebenfalls gefaltet; unten und Längsseite&amp;nbsp;- Almanachblätter? Ausgeschnitten (Kupferstich und Radierung) und aufgeklebt, 16 Stck, Vorder- und Rückseite beklebt (Radierung)13r: Auslegung der Jubel- und Freudenpforten (Radierung)14r: Jubelgedächtnis auf das Jahr 1730 Romanus Haid; beides auf Blatt gedruckt: Radierung und Typendruck14v: Rückseite bedruckt aus zwei Platten, Kupfertsich und Radierung15v: Blatt aus zwei Platten bedruckt, Jeremias Wolff, tietur et inventur und beidseitig bedruckt: Kupferstich15r: Evangelischer Christen-Augenweide: Kupferstich16v: Rogg/Kolb: Blatt mit zwei Obelisken am Rand und Augusta obenauf, Kupferstich und Radierung16r: rückseitig bedruckt mit Evangelischer Christen Erbaulichen Augenbelustigung: Kupferstich17r: Rog und Kolb, Der Schmalkaldische Bundesverwandten: Radierung und Kupferstich17v: rückseitig bedruckt mit: und ich sah einen Engel: Radierung18r: chrisltiches Denkmahl, draunter wahre Abbildung, links und rechts davon auf gedruckt und geklebt: Radierung und Kupferstich18v: rückseitig bedruckt mit: Weil unter denen in Kupfer gebrachten; Radierung19r: Lutherporträt und Gedächtnismünznen Rogg: Radierung und Kupferstich19v: rückseitig bedruckt mit geschraufte Medaillen: Kupferstich20r: dazugehörige Einlagen, Radierung20v: rückseitig bedruckt, Radierung: das jubilierende Augsburg21r: Radierung: Constantia et fortitudine (Platte), subscriptio eingeklebt&amp;nbsp;21v: rückseitig aufgeklebt verschiedene Blätter aus Taschenkalendern?&amp;nbsp;22r: Ehrenpforte: Augusta ab Confessionem Iubilata: Radierung22v: rückseitig beklebt mit Radierungen23r-27v: Faltbriefe, alle gedruckt, nicht eingeklebt. Zwei mit Widmung an den Leser: Radierung und Kupferstich28r: Der Vatter, das Wort und der ewige Geist: Radierung29r: Aufgerichtete Ehrenpforte Augspurgischer Konfession: Radierung30r: Kissell f. 1655! aus zwei Platten: Radierung und Kupferstich</t>
  </si>
  <si>
    <t xml:space="preserve">Augspurgisches Iubel-Gedächtnüs das ist,, 2° Df 3810</t>
  </si>
  <si>
    <t xml:space="preserve">http://friedensbilder.gnm.de/content/frieden_object11c5c
http://friedensbilder.gnm.de/content/frieden_object11d14
http://friedensbilder.gnm.de/content/frieden_object11df7
http://friedensbilder.gnm.de/content/frieden_object11e46
http://friedensbilder.gnm.de/content/frieden_object11ebd</t>
  </si>
  <si>
    <t xml:space="preserve">Ehrenpforte, errichtet in der Jakobikirche zu Augsburg anläßlich der Jubelfeier der Augsburger Konfession 1730</t>
  </si>
  <si>
    <t xml:space="preserve">HB 15098, Kapsel 1248a</t>
  </si>
  <si>
    <t xml:space="preserve">Papier (auf Karton aufgezogen)</t>
  </si>
  <si>
    <t xml:space="preserve">Baeck, Elias</t>
  </si>
  <si>
    <t xml:space="preserve">Marsch 1980
Thulin 1930
Galley 1930</t>
  </si>
  <si>
    <t xml:space="preserve">S. 86–87
S. 121–122
S. 66–75 </t>
  </si>
  <si>
    <t xml:space="preserve">47 x 32,4</t>
  </si>
  <si>
    <t xml:space="preserve">[S.] 47</t>
  </si>
  <si>
    <t xml:space="preserve">Elias Bäck A: H: Kupferstecher a.v.</t>
  </si>
  <si>
    <t xml:space="preserve">rechts unten innerhalb des Bildes</t>
  </si>
  <si>
    <t xml:space="preserve">Die Jubiläums-Feiern des Augsburger Bekenntnisses von 1730 fanden im Vergleich zur ersten Hundertjahrfeier wesentlich ausgedehnter statt. In Augsburg und Wittenberg dauerten sie insgesamt vier Tage – vom 24. bis 28. Juni. Für mehrere Festlichkeiten sind ephemere Triumphbögen und Altäre belegt, die in den verschiedenen Kirchen aufgestellt wurden. Ein Beispiel dafür sehen wir in der hier dargestellten Ehrenpforte aus der St. Jakobi-Kirche zu Augsburg.
Der Bogen trägt Statuen der Fürsten, die 1530 die Confessio Augustana unterzeichneten:[fn]Die gleichen Figuren auch auf&amp;nbsp;HB 24615, Kapsel 1248.[/fn]&amp;nbsp; Georg&amp;nbsp;Markgraf zu Brandenburg, Ernst I.&amp;nbsp;Herzog von Braunschweig-Lüneburg, Johann&amp;nbsp;Kurfürst zu Sachsen, Wolfgang&amp;nbsp;Fürst zu Anhalt und Philipp I.&amp;nbsp;Landgraf zu Hessen. Am Torbogen hingegen befinden sich Medaillons von&amp;nbsp;Melanchthon&amp;nbsp;und&amp;nbsp;Luther. Auf den vorgelagerten Konsolen vor den Säulen stehen zudem Johann Friedrich Herzog von Sachsen und Franz Herzog zu Lüneburg, die auf die in der Bogenarchitektur angebrachten Friedenssymbole explizit hinweisen.
Die flankierenden Personifikationen des Glaubens und der Liebe halten erklärende Tafeln zu den fürstlichen Persönlichkeiten empor, wohingegen die beiden Putti Schriftrollen mit der Auflösung der Embleme präsentieren. Das Blatt wurde in Johann Michael Roths&amp;nbsp;Augspurgisches Iubel-Gedächtnüs&amp;nbsp;aufgenommen, erhielt aber nicht wie einige andere Darstellungen einen erklärenden Text.
&amp;nbsp;
ALS
</t>
  </si>
  <si>
    <t xml:space="preserve">http://friedensbilder.gnm.de/sites/default/files/HB15098_.tif</t>
  </si>
  <si>
    <t xml:space="preserve">Die Jubiläums-Feiern des&amp;nbsp;Augsburger Bekenntnisses&amp;nbsp;von 1730 fanden im Vergleich zur ersten Hundertjahrfeier wesentlich ausgedehnter statt. In Augsburg und Wittenberg dauerten sie insgesamt vier Tage – vom 24. bis 28. Juni. Für mehrere Festlichkeiten sind ephemere Triumphbögen und Altäre belegt, die in den verschiedenen Kirchen aufgestellt wurden. Ein Beispiel dafür sehen wir in der hier dargestellten Ehrenpforte aus der St. Jakobi-Kirche zu Augsburg.
Der Bogen trägt Statuen der Fürsten, die 1530 die Confessio Augustana unterzeichneten: Georg&amp;nbsp;Markgraf zu Brandenburg,&amp;nbsp;Ernst I.&amp;nbsp;Herzog von Braunschweig-Lüneburg,&amp;nbsp;Johann&amp;nbsp;Kurfürst zu Sachsen,&amp;nbsp;Wolfgang&amp;nbsp;Fürst zu Anhalt und&amp;nbsp;Philipp I.&amp;nbsp;Landgraf zu Hessen. Am Torbogen hingegen befinden sich Medaillons von&amp;nbsp;Melanchthon&amp;nbsp;und&amp;nbsp;Luther. Auf den vorgelagerten Konsolen vor den Säulen stehen zudem&amp;nbsp;Johann Friedrich Herzog von Sachsen&amp;nbsp;und&amp;nbsp;Franz Herzog zu Lüneburg, die auf die in der Bogenarchitektur angebrachten Friedenssymbole explizit hinweisen.
Die flankierenden Personifikationen des Glaubens und der Liebe halten erklärende Tafeln zu den fürstlichen Persönlichkeiten empor, wohingegen die beiden Putti Schriftrollen mit der Auflösung der Embleme präsentieren. Das Blatt wurde in&amp;nbsp;Johann Michael Roths&amp;nbsp;Augspurgisches Iubel-Gedächtnüs&amp;nbsp;aufgenommen, erhielt aber nicht wie einige andere Darstellungen einen erklärenden Text.
&amp;nbsp;
ALS
</t>
  </si>
  <si>
    <t xml:space="preserve">Ehrenpforte, errichtet in der Jakobikirche zu Augsburg anläßlich der Jubelfeier der Augsburger Konfession 1730, HB 15098, Kapsel 1248a</t>
  </si>
  <si>
    <t xml:space="preserve">https://friedensbilder-neu.gnm.de/sites/default/files/2019-06/HB15098.png</t>
  </si>
  <si>
    <t xml:space="preserve">http://friedensbilder.gnm.de/content/frieden_foto_order1f921b</t>
  </si>
  <si>
    <t xml:space="preserve">Erinnerungsblatt zur Augsburger Konfession</t>
  </si>
  <si>
    <t xml:space="preserve">HB 1594, Kapsel 1337a</t>
  </si>
  <si>
    <t xml:space="preserve">1708?</t>
  </si>
  <si>
    <t xml:space="preserve">Paas</t>
  </si>
  <si>
    <t xml:space="preserve">Bd. VIII, S. 447, Nr. PA-463</t>
  </si>
  <si>
    <t xml:space="preserve">38 x 28,5</t>
  </si>
  <si>
    <t xml:space="preserve">Für eine inhaltliche Interpretation siehe&amp;nbsp;K 1633, Kapsel 147. Das Blatt ist eine Kopie nach der Neuauflage aus dem Verlag Fürst von 1655. Siehe&amp;nbsp;HB 24680, Kapsel 1248a. Handschriftlich nachgetragen wurde das angebliche Druckdatum, welches sich nicht verifizieren lässt.[fn]In brauner Tinte unten links: "auf neu gedruckt Anno 1708".[/fn]ALS</t>
  </si>
  <si>
    <t xml:space="preserve">http://friedensbilder.gnm.de/sites/default/files/HB1594_.tif</t>
  </si>
  <si>
    <t xml:space="preserve">HB 24680, Kapsel 1248a</t>
  </si>
  <si>
    <t xml:space="preserve">Kopie</t>
  </si>
  <si>
    <t xml:space="preserve">http://friedensbilder.gnm.de/content/frieden_foto_order204efe</t>
  </si>
  <si>
    <t xml:space="preserve">Christliches Denck- und Danck-Mahl Anno MDCCXXX. Bey Feyerlicher Celebrirung des andern Jubel-Fests wegen gnädiger Erhalt-und Ausbreitung der Augspurgischen CONFESSION Wohlmeinend gestifftet und an den Tag gegeben.</t>
  </si>
  <si>
    <t xml:space="preserve">HB 13849, Kapsel 1248a</t>
  </si>
  <si>
    <t xml:space="preserve">Lobeck, Tobias
Wolff, Jeremias</t>
  </si>
  <si>
    <t xml:space="preserve">Wolff Erben</t>
  </si>
  <si>
    <t xml:space="preserve">S. 88</t>
  </si>
  <si>
    <t xml:space="preserve">23,1 x 32,6
48,2 x 34,5</t>
  </si>
  <si>
    <t xml:space="preserve">[S.] 33</t>
  </si>
  <si>
    <t xml:space="preserve">Tobias Lobeck Sculpsit.
Haer. ed. Ier. Wolffy excud. Aug. Vind.</t>
  </si>
  <si>
    <t xml:space="preserve">rechts unterhalb des Bildes</t>
  </si>
  <si>
    <t xml:space="preserve">Das Christliche Denck- und Danck-Mahl feiert das zweihunderjährige Bestehen der Confessio Augustana.&amp;nbsp;Links zieht Luther die Heilige Schrift ”aus dem Schatten ins Licht“ [ex umbris ad lucem]. Hinter ihm ist eine Gruppe zu sehen, welche die Bereinigung der katholischen Bibelübersetzung darstellen soll. Das Emblem, welches der Putto über der Stadt Augsburg in den Händen hält, stammt aus Hadrianus Junius' Emblemata (1565). Im Epigramm heißt es ”Die Gewalt des Boreas wirft in fruchtbarem Wirbel die sich entgegenstemmenden Eschen nieder; das Schilfrohr dagegen steht ungebrochen und verachtet ihn“.[fn]Henkel / Schöne 1967, Sp. 150–151.[/fn] Der Text spricht diese Standhaftigkeit der Stadt Augsburg zu: ”Wie Bäume erst alsdann nur stärcker Wurtzeln fassen / Wann Sie des Windes Sturm dem Schein nach hart verletzt; Dann Gott [...] Auch seinen Schutz und Hülff den'n Seinen nie entziehet.“ Die rechte Bildhälfte schildert, wie das Bekenntnis ”durch reiner Prediger getrostes Stimm-Erheben“ in die Bevölkerung getragen wird. Die beiden Altäre im Hintergrund stehen für die zwei Jahrhunderte, in denen sich das lutherische Bekenntnis bereits bewähren konnte.&amp;nbsp;Das Blatt findet sich auch in Roths&amp;nbsp; Augspurgischem Jubelgedächtnüs. Allerdings hat das Exemplar in der Staatsbibliothek Berlin&amp;nbsp;einen – wenn auch wortgleichen – gestochenen Text. Die Druckplatte stammt von den Erben des Verlags Jeremias Wolff,[fn]Nach dem Tod Wolffs taucht die Verlagsadresse ”Haeredes Jeremiae Wolffii excuderunt“ in dem Zeitraum 1725 bis 1740 vermehrt auf, ohne die Erben genauer zu spezifizieren. Siehe Schwarz 1997, S. 602.[/fn]&amp;nbsp;die das Blatt womöglich mit einem Typendruck herausgaben. Roth könnte bei der Zusammenstellung seines Jubelgedächtnüs&amp;nbsp;einen neuen Stecher zur Anfertigung des Textes beauftragt haben.ALS&amp;nbsp;</t>
  </si>
  <si>
    <t xml:space="preserve">http://friedensbilder.gnm.de/sites/default/files/HB13849_.tif</t>
  </si>
  <si>
    <t xml:space="preserve">Christliches Denck- und Danck-Mahl Anno MDCCXXX. Bey Feyerlicher Celebrirung des andern Jubel-Fests wegen gnädiger Erhalt-und Ausbreitung der Augspurgischen CONFESSION Wohlmeinend gestifftet und an den Tag gegeben., HB 13849, Kapsel 1248a</t>
  </si>
  <si>
    <t xml:space="preserve">http://friedensbilder.gnm.de/content/frieden_foto_order204ea3</t>
  </si>
  <si>
    <t xml:space="preserve">Druck</t>
  </si>
  <si>
    <t xml:space="preserve">Von Gottes Gnaden/ Wir Moritz Wilhelm/ Hertzog zu Sachsen/ Jülich/ Cleve und Berg...fügen...hiermit zu wissen: </t>
  </si>
  <si>
    <t xml:space="preserve">HB 3811, Kapsel 1328</t>
  </si>
  <si>
    <t xml:space="preserve">Verfasser</t>
  </si>
  <si>
    <t xml:space="preserve">Moritz Wilhelm, Sachsen-Zeitz, Herzog</t>
  </si>
  <si>
    <t xml:space="preserve">32,8 x 20,6</t>
  </si>
  <si>
    <t xml:space="preserve">Demnach Se. Königl. Majestät in Pohlen, als Chur-Fürst zu Sachsen wegen des in denen Sächs. Landen etablirten Status der Evangelischen Religion Augspurgischer Confession, nach der mit Uns vorgängig gepflogenen Freund-Vetterl. Communication folgende Assecuration ins Land ergehen zu lassen der Notwendigkeit befunden...</t>
  </si>
  <si>
    <t xml:space="preserve">Im Jahr 1697 konvertierte der sächsische Kurfürst&amp;nbsp;August der Starke&amp;nbsp;zwecks Erlangung der polnischen Krone zum Katholizismus. Um die religiösen Spannungen in Sachsen zu entschärfen, räumte er der protestantischen Liga jedoch einige Zugeständnisse ein. Ihre Ursachen hatten sie nicht zuletzt in einem zweifachen Konfessionswechsels einer&amp;nbsp;herzöglichen Nebenlinie des Kurfürstenhauses:&amp;nbsp;Herzog Moritz Wilhelm zu Sachsen-Zeitz, der das vorliegende Schreiben Augusts bestätigte, war 1715 zum katholischen Glauben konvertiert. Unter dem Druck seiner protestantischen Gegner und nach dem Verlust des Bistums Naumburg,[fn]Im fünften Artikel des Friedens von Osnabrück wurde festgelegt, dass sobald eine der drei Nebenlinien des sächsischen Herrscherhauses (Weissenfels, Merseburg und Zeitz) zum Protestantismus übertrete, deren Besitz (in diesem Falls das Bistum Naumburg) an die kurfürstliche Linie (somit August von Sachsen) fallen würde. Siehe Theiner 1843, S. 218.[/fn] kehrte er im Oktober 1718 zum protestantischen Glauben zurück.Das Schreiben vom 6. Mai 1718 sichert der Bevölkerung Sachsens das lutherische Bekenntnis zu.[fn]So heißt es in dem Schreiben: "Demnach Se. Königl. Majestät in Pohlen, als Chur=Fürst zu Sachsen wegen des in denen Sächs. Landen etablirten Status der Evangelischen Religion Augspurgischer Confession...folgende Assecuration ins Land ergehen zu lassen der Nothwendigkeit befunden" Weiter heißt es auf der Folgeseite "damit Unsere getreute Unterthanen dieserhalben vollkommen, auf alle Arth und Weise, sich und ihre Nachkommen, gesichert erachten könten".[/fn]&amp;nbsp;&amp;nbsp;Theiner 1843, S. 213–221.&amp;nbsp;– Seifert 1964, S.&amp;nbsp;136–151.&amp;nbsp;–&amp;nbsp;Walther 1896.ALS&amp;nbsp;</t>
  </si>
  <si>
    <t xml:space="preserve">http://friedensbilder.gnm.de/sites/default/files/HB3811_ (2).tif
http://friedensbilder.gnm.de/sites/default/files/HB3811_ (1).tif
http://friedensbilder.gnm.de/sites/default/files/HB3811_ (3).tif
http://friedensbilder.gnm.de/sites/default/files/HB3811_ (4).tif</t>
  </si>
  <si>
    <t xml:space="preserve">Ordnungsvorstellungen</t>
  </si>
  <si>
    <t xml:space="preserve">http://friedensbilder.gnm.de/content/frieden_foto_order20509d</t>
  </si>
  <si>
    <t xml:space="preserve">Allegorie auf die Augsburger Konfession, Gedenkblatt zur 200-jährigen Wiederkehr</t>
  </si>
  <si>
    <t xml:space="preserve">HB 23508, Kapsel 1337a</t>
  </si>
  <si>
    <t xml:space="preserve">Verleger
Stecher
Zeichner</t>
  </si>
  <si>
    <t xml:space="preserve">Setletzky, Balthasar Sigmund
Haid, Johann Lorenz</t>
  </si>
  <si>
    <t xml:space="preserve">Marsch 1980
Nagler Künstlerlexikon
AKL
Thieme Becker
Augspurgisches Iubel-Gedächtnüs 1730</t>
  </si>
  <si>
    <t xml:space="preserve">S. 89
Bd. XVI, S. 303, Nr. 10
Bd. LXVIII [Art.] Haid, S. 5, Nr. 6: Johann Lorenz Haid (C. D.-H.)
Bd. XXX, [Art.] Balthasar Siegmund Setleczky, S. 536 (N. Lieb)
Bl. [26]</t>
  </si>
  <si>
    <t xml:space="preserve">http://digital.staatsbibliothek-berlin.de/werkansicht?PPN=PPN657051640&amp;PHYSID=PHYS_0001&amp;DMDID=</t>
  </si>
  <si>
    <t xml:space="preserve">49,8 x 42,8
52 x 43,7</t>
  </si>
  <si>
    <t xml:space="preserve">[S.] 27</t>
  </si>
  <si>
    <t xml:space="preserve">Ioh: Lor: Haid. inv: et del:
Balth. Sim. Setlezky sculpsit et excudit Augusta Vindelicorum</t>
  </si>
  <si>
    <t xml:space="preserve">links unten
mittig unten</t>
  </si>
  <si>
    <t xml:space="preserve">Verso
Recto</t>
  </si>
  <si>
    <t xml:space="preserve">Der figurenreiche Kupferstich von&amp;nbsp;Balthasar&amp;nbsp;Setletzky&amp;nbsp;entstand anlässlich der zweiten Säkularfeier der&amp;nbsp;Confessio Augustana&amp;nbsp;1730. Die Vorlage zeichnete&amp;nbsp;Johann Lorenz Haid, der aus einer bekannten Augsburger Künstlerfamilie stammte. Setletzky stach außerdem einen Text, den&amp;nbsp;Johann Michael Roth&amp;nbsp;zusammen mit dem allegorischen Gedenkblatt in sein&amp;nbsp;Augspurgisches Iubel-Gedächtnüs&amp;nbsp;aufnahm.[fn]Siehe hierzu&amp;nbsp;HB 26676, Kapsel 1248a.[/fn]&amp;nbsp;Die “Christlich wohlgemeynte Gedancken und Emblematische Vorstellungen” werden durch im Bild verteilte lateinische Leitsprüche vermittelt und erläutern die bildlichen Darstellungen. Der aufgeschlagene Stadtprospekt im Zentrum des Bildes verweist auf die&amp;nbsp;Confessio Augustana, die unter dem Schutz des Engels mit dem Flammenschwert steht.&amp;nbsp;Die Sockelzone des Kupferstiches besitzt drei weitere Bildfelder, von denen die zentrale Kartusche eine Stadtansicht Augsburgs wiedergibt, über der die posaunenblasende Fama schwebt.
Die Bedeutung der Augsburger Konfession als die grundlegende Bekenntnisschrift des lutherischen Glaubens wird auch durch Szenen der evangelischen Missionstätigkeit unterstrichen, die auch auf entsprechenden Gedenkmedaillen dargestellt wurde.[fn]siehe Aukt. Kat. Slg. Whiting 1983, S. 60, Nr. 448. Ebenso Galley 1930, S. 86.[/fn] Die erfolgreiche Verbreitung ihrer Lehre verbildlicht allerdings eine große Landkarte Indiens, die von zwei schwarzen Knaben in Federröcken präsentiert wird.[fn]In Indien hatte bis vor Kurzem Bartholomäus Ziegenbalg missioniert, der erste deutsche evangelische Missionar in Indien.[/fn]
MATW/ALS
</t>
  </si>
  <si>
    <t xml:space="preserve">http://friedensbilder.gnm.de/sites/default/files/HB23508_01.tif</t>
  </si>
  <si>
    <t xml:space="preserve">Der figurenreiche Kupferstich von&amp;nbsp;Balthasar&amp;nbsp;Setletzky&amp;nbsp;entstand anlässlich der zweiten Säkularfeier der&amp;nbsp;Confessio Augustana&amp;nbsp;1730. Die Vorlage zeichnete&amp;nbsp;Johann Lorenz Haid, der aus einer bekannten Augsburger Künstlerfamilie stammte. Setletzky stach außerdem einen Text, den&amp;nbsp;Johann Michael Roth&amp;nbsp;zusammen mit dem allegorischen Gedenkblatt in sein&amp;nbsp;Augspurgisches Iubel-Gedächtnüs&amp;nbsp;aufnahm.&amp;nbsp;Die ”Christlich wohlgemeynte Gedancken und Emblematische Vorstellungen“ werden durch im Bild verteilte lateinische Leitsprüche vermittelt und erläutern die bildlichen Darstellungen. Der aufgeschlagene Stadtprospekt im Zentrum des Bildes verweist auf die&amp;nbsp;Confessio Augustana, die unter dem Schutz des Engels mit dem Flammenschwert steht.&amp;nbsp;Die Sockelzone des Kupferstiches besitzt drei weitere Bildfelder, von denen die zentrale Kartusche eine Stadtansicht Augsburgs wiedergibt, über der die posaunenblasende&amp;nbsp;Fama&amp;nbsp;schwebt.Die Bedeutung der Augsburger Konfession als die grundlegende Bekenntnisschrift des lutherischen Glaubens wird auch durch Szenen der evangelischen Missionstätigkeit unterstrichen, die auch auf entsprechenden Gedenkmedaillen dargestellt wurde.&amp;nbsp;Die erfolgreiche Verbreitung ihrer Lehre verbildlicht allerdings eine große Landkarte Indiens, die von zwei schwarzen Knaben in Federröcken präsentiert wird. In Indien hatte bis vor Kurzem&amp;nbsp;Bartholomäus Ziegenbalg&amp;nbsp;missioniert, der erste deutsche evangelische Missionar in Indien.MATW/ALS</t>
  </si>
  <si>
    <t xml:space="preserve">Allegorie auf die Augsburger Konfession, Gedenkblatt zur 200-jährigen Wiederkehr, HB 23508, Kapsel 1337a</t>
  </si>
  <si>
    <t xml:space="preserve">https://friedensbilder-neu.gnm.de/sites/default/files/2019-06/HB23508.png</t>
  </si>
  <si>
    <t xml:space="preserve">http://friedensbilder.gnm.de/content/frieden_foto_order1f9140</t>
  </si>
  <si>
    <t xml:space="preserve">Verlesung der Confessio Augustana und Kalender für 1731</t>
  </si>
  <si>
    <t xml:space="preserve">HB 1719, Kapsel 1241a</t>
  </si>
  <si>
    <t xml:space="preserve">Typendruck
Radierung
Kolorierung (Schablone)</t>
  </si>
  <si>
    <t xml:space="preserve">Druckfarbe (schwarz)
Druckfarbe (rot)</t>
  </si>
  <si>
    <t xml:space="preserve">Pfautz, Johann Gottfried
Heyd, Roman</t>
  </si>
  <si>
    <t xml:space="preserve">S. 94–95</t>
  </si>
  <si>
    <t xml:space="preserve">45,7 x 29,4
28,6 x 24,1 </t>
  </si>
  <si>
    <t xml:space="preserve">[S.] 59 (Druck); [S. 63] (Kalender) / in Berliner Ausgabe [S.] 25 (Druck); [S.] 31 (Kalender)</t>
  </si>
  <si>
    <t xml:space="preserve">Im Rahmen des zweihundertjährigen Bekenntnisjubiläums entstanden im Verlag Roman Heyds zwei Kalender für das Jahr 1731. Die bildliche Ausschmückung geht auf Johann Gottfried Pfautz zurück, der seinem Werk wiederum die Verlesung der Confessio Augstana von Michael Herr zugrunde legte (HB 6895, Kapsel 1248). Über dem Bild des Reichstages ragt der kaiserliche Adler mit dem Motto Karls VI. [Beständigkeit und Tapferkeit]. In der arabesken Rahmung sind zudem, ähnlich anderen Jubliäumsdarstellungen,[fn]Siehe&amp;nbsp;K 1633, Kapsel 147[/fn]&amp;nbsp;Johann von Sachsen und Luther zu sehen. Häufig orientieren sich ihre Porträts an zwei Medaillen, die&amp;nbsp;Sebastian Dadler&amp;nbsp;anlässlich der Hundertjahrfeier 1630 gefertigt hatte&amp;nbsp;(vgl.&amp;nbsp;Med 14479&amp;nbsp;und&amp;nbsp;Med 14495).&amp;nbsp;Die Radierung fand auch in Johann Michael Roths&amp;nbsp;Augspurgische[m] Iubel-Gedächtnüs&amp;nbsp;Aufnahme. In dem Exemplar der SLUB Dresden wurde der eigentlich nur dem Kalender zugehörige Teil mit den Namenserklärungen (von anderer Hand radiert) zusätzlich angeklebt.&amp;nbsp;Der Nürnberger Kalender zeigt ebenfalls Gebrauchsspuren: Entlang des Randes sind Klebestellen zu erkennen. Sie lassen vermuten, dass man die Monatsspalten mit aktuelleren Kalendern überklebte.Marsch 1980, S. 94–95.ALS&amp;nbsp;</t>
  </si>
  <si>
    <t xml:space="preserve">http://friedensbilder.gnm.de/sites/default/files/HB1719_tif.tif</t>
  </si>
  <si>
    <t xml:space="preserve">Verlesung der Confessio Augustana und Kalender für 1731, HB 1719, Kapsel 1241a</t>
  </si>
  <si>
    <t xml:space="preserve">http://friedensbilder.gnm.de/content/frieden_foto_order205093</t>
  </si>
  <si>
    <t xml:space="preserve">Christliches Denkmahl, bey der Begehung des andern Jubel-Festes Anno 1730</t>
  </si>
  <si>
    <t xml:space="preserve">HB 14152, Kapsel 1337a</t>
  </si>
  <si>
    <t xml:space="preserve">Papier </t>
  </si>
  <si>
    <t xml:space="preserve">Verleger
Stecher</t>
  </si>
  <si>
    <t xml:space="preserve">Nessenthaler, Johann D.</t>
  </si>
  <si>
    <t xml:space="preserve">S. 88–89</t>
  </si>
  <si>
    <t xml:space="preserve">32,6 x 41,7
23,7 x 31,5</t>
  </si>
  <si>
    <t xml:space="preserve">Das Gedenkblatt auf die Zweihundertjahrfeier der Confessio Augustana stammt von dem Augsburger Kupferstecher Georg David Nessenthaler. Im Zentrum wird Luther von den Personifikationen des Glaubens und der Wahrheit zu Christus geführt. Hinter ihm schließt sich die Gelehrsamkeit an "Und theilt den Kinderen mit die Confession". Unterstützung findet sie in der Stadtpersonifikation Augusta. Der Zug aus Personifikationen und Bürgern bewegt sich auf den im Zeichen der Trinität thronenden Christus zu, der von Heiligen und Märtyrern umgeben ist. Als Vertreter&amp;nbsp;des Alten Testaments sind vorne links Adam und Eva sowie Moses mit den Gesetzestafeln und der Bundeslade zu erkennen. Über Luther schwebt schließlich ein Engel, der die Botschaft "Verbum Domini Manet In Aeternum" (siehe&amp;nbsp;Med 14495)&amp;nbsp;verkündet.Marsch 1980, S. 88–89.&amp;nbsp;–&amp;nbsp;Thieme Becker, Bd. XXV, [Art.] Georg David Nessenthaler, S. 395 (A. Hämmerle).ALS</t>
  </si>
  <si>
    <t xml:space="preserve">http://friedensbilder.gnm.de/sites/default/files/HB14152_.tif</t>
  </si>
  <si>
    <t xml:space="preserve">Christliches Denkmahl, bey der Begehung des andern Jubel-Festes Anno 1730, HB 14152, Kapsel 1337a</t>
  </si>
  <si>
    <t xml:space="preserve">http://friedensbilder.gnm.de/content/frieden_foto_order204ea8</t>
  </si>
  <si>
    <t xml:space="preserve">Gedenkblatt für das zweite Jubiläum der Augsburger Konfession</t>
  </si>
  <si>
    <t xml:space="preserve">HB 6731, Kapsel 1337a</t>
  </si>
  <si>
    <t xml:space="preserve">Corvinus, Johann August</t>
  </si>
  <si>
    <t xml:space="preserve">43,8 x 52,1</t>
  </si>
  <si>
    <t xml:space="preserve">HB 1221, Kapsel 1248a</t>
  </si>
  <si>
    <t xml:space="preserve">[S.] 24</t>
  </si>
  <si>
    <t xml:space="preserve">Iohann August Corvinus invent. Sculps. et excudit Aug. Vind.</t>
  </si>
  <si>
    <t xml:space="preserve">Johann August Corvinus, seit 1705 Bürger in Augsburg und durch Architekturillustrationen bekannt, entwarf das Blatt anlässlich der zweiten Säkularfeier der Augsburger Konfession. Es wurde mit einer vorangestellten Erläuterung in Johann Michael Roths 'Augspurgisches Jubelgedächtnis' aufgenommen. Um die zentrale Szene, die die Verlesung des Bekenntnisses von 1530 wiedergibt, sind die 21 Artikel&amp;nbsp;mit detailreichen Illustrationen&amp;nbsp;aufgereiht. Die beinahe durchweg neutestamentlichen Verse ergänzen die kurzen Zusammenfassungen unterhalb der Bilder. Als Vorlage diente eine Verlesungsszene von Georg Köhler nach Michael Herr (HB 6895, Kapsel 1248). Zur Gestaltung der Medaillons dienten Medaillen, die 1630 anlässlich der Hundertjahrfeier in Umlauf kamen.[fn]Für Luther siehe&amp;nbsp;Med 14479, für Johann den Beständigen&amp;nbsp;Med 14495.[/fn] Die Personifikationen des Glaubens und der Wahrheit flankieren die Stadtansicht von Augsburg, über der Christus[fn]Vergleiche die Fußhaltung mit der Szene unterhalb des Altars (rechts im Bild) von&amp;nbsp;HB 24615, Kapsel 1248.[/fn] zusammen mit Aposteln und Propheten als Sieger erscheint.
Marsch 89–90.&amp;nbsp;– AKL, Bd. XXI, [Art.] Johann August Corvinus, S. 384–385 (Claudia&amp;nbsp;Däubler-Hauschke).
ALS
</t>
  </si>
  <si>
    <t xml:space="preserve">http://friedensbilder.gnm.de/sites/default/files/HB6731_.tif</t>
  </si>
  <si>
    <t xml:space="preserve">Johann August Corvinus, seit 1705 Bürger in Augsburg und durch Architekturillustrationen bekannt, entwarf das Blatt anlässlich der zweiten Säkularfeier der Augsburger Konfession. Es wurde mit einer&amp;nbsp;vorangestellten Erläuterung&amp;nbsp;in Johann Michael Roths 'Augspurgisches Jubelgedächtnis' aufgenommen. Um die zentrale Szene, die die Verlesung des Bekenntnisses von 1530 wiedergibt, sind die 21 Artikel&amp;nbsp;mit detailreichen Illustrationen&amp;nbsp;aufgereiht. Die beinahe durchweg neutestamentlichen Verse ergänzen die kurzen Zusammenfassungen unterhalb der Bilder. Als Vorlage diente eine Verlesungsszene von Georg Köhler nach Michael Herr. Zur Gestaltung der Medaillons dienten Medaillen, die 1630 anlässlich der Hundertjahrfeier in Umlauf kamen.&amp;nbsp;Die Personifikationen des Glaubens und der Wahrheit flankieren die Stadtansicht von Augsburg, über der Christus.&amp;nbsp;zusammen mit Aposteln und Propheten als Sieger erscheint.
ALS
</t>
  </si>
  <si>
    <t xml:space="preserve">Gedenkblatt für das zweite Jubiläum der Augsburger Konfession, HB 6731, Kapsel 1337a</t>
  </si>
  <si>
    <t xml:space="preserve">https://friedensbilder-neu.gnm.de/sites/default/files/2019-06/HB6731.png</t>
  </si>
  <si>
    <t xml:space="preserve">http://friedensbilder.gnm.de/content/frieden_foto_order1f9239</t>
  </si>
  <si>
    <t xml:space="preserve">Allegorie auf die Augsburger Konfession</t>
  </si>
  <si>
    <t xml:space="preserve">Rijksmuseum</t>
  </si>
  <si>
    <t xml:space="preserve">Amsterdam</t>
  </si>
  <si>
    <t xml:space="preserve">RP-P-OB-68.188</t>
  </si>
  <si>
    <t xml:space="preserve">Monogrammist DP
Jonghe, Clement de</t>
  </si>
  <si>
    <t xml:space="preserve">New Hollstein German
Thulin 1930</t>
  </si>
  <si>
    <t xml:space="preserve">Bd. VIII (Wenzeslaus Hollar), Teil 1, S. 62, Nr. 78, Copy a) I
S. 120</t>
  </si>
  <si>
    <t xml:space="preserve">492 x 398</t>
  </si>
  <si>
    <t xml:space="preserve">mm</t>
  </si>
  <si>
    <t xml:space="preserve">1(2)</t>
  </si>
  <si>
    <t xml:space="preserve">mit zusätzlicher Abbreviatur
Verlagsadresse</t>
  </si>
  <si>
    <t xml:space="preserve">DP f.
Gedruckt tot Amsterdam bij Clement de Jonghe</t>
  </si>
  <si>
    <t xml:space="preserve">Das Blatt ist eine niederländische Kopie von&amp;nbsp;K 1633, Kapsel 147, bei der allerdings die Gesichtszüge des Kurfürsten und Luthers wesentlich ungenauer ausgeführt sind. Außerdem variieren die Darstellungen in den Medaillons des Leuchters, die teilweise andere Verse begleiten. Das Blatt erschien anlässlich der ersten Säkularfeier 1630 im Amsterdamer Verlag von Clement de Jonghe.Harms Bd. II, S. 370-371, Nr. 212.ALS&amp;nbsp;</t>
  </si>
  <si>
    <t xml:space="preserve">http://friedensbilder.gnm.de/sites/default/files/RP-P-OB-68.188.tif</t>
  </si>
  <si>
    <t xml:space="preserve">K 1633, Kapsel 147</t>
  </si>
  <si>
    <t xml:space="preserve">http://friedensbilder.gnm.de/content/frieden_object76453</t>
  </si>
  <si>
    <t xml:space="preserve">http://friedensbilder.gnm.de/content/frieden_foto_order11eeb3</t>
  </si>
  <si>
    <t xml:space="preserve">Medaille</t>
  </si>
  <si>
    <t xml:space="preserve">Staatliche Museen zu Berlin, Münzkabinett</t>
  </si>
  <si>
    <t xml:space="preserve">Gold</t>
  </si>
  <si>
    <t xml:space="preserve">Jaster, Johann Justus</t>
  </si>
  <si>
    <t xml:space="preserve">Stadt Lübeck</t>
  </si>
  <si>
    <t xml:space="preserve">Lübeck</t>
  </si>
  <si>
    <t xml:space="preserve">Kat. Berlin 1984
Behrens 1905
BK Sachsen-Anhalt 2015
Ausst. Kat. Hannover 1983
Schnell 1983
Aukt. Kat. Schott-Wallerstein Münzhandlung / Sally Rosenberg 1904
Aukt. Kat. Karl Kreß Nr. 115
Kat. Philadelphia 1960
Aukt. Kat. Heidrun Höhn Nr. 51
Aukt. Kat. Slg. Whiting 1983</t>
  </si>
  <si>
    <t xml:space="preserve">Kat.-Nr. 23
Nr. 638b
Bd. I.2, S. 762, Nr. 1059
S. 128, Kat.-Nr. 113
S. 207–208, Kat.-Nr. 216
Nr. 1987
Nr. 367
Nr. 261/262
Nr. 4173
S. 55, Nr. 403</t>
  </si>
  <si>
    <t xml:space="preserve">http://ww2.smb.museum/ikmk/object.php?id=18206339</t>
  </si>
  <si>
    <t xml:space="preserve">Durchmesser
Nominal</t>
  </si>
  <si>
    <t xml:space="preserve">23,3</t>
  </si>
  <si>
    <t xml:space="preserve">mm
Dukat</t>
  </si>
  <si>
    <t xml:space="preserve">Gedenkmedaille</t>
  </si>
  <si>
    <t xml:space="preserve">JJJ</t>
  </si>
  <si>
    <t xml:space="preserve">im Münzbild</t>
  </si>
  <si>
    <t xml:space="preserve">Umschrift</t>
  </si>
  <si>
    <t xml:space="preserve">IMPERIAL. CIVIT. LUBECENSIS. 1730.
CONFESS. EVANG. IN. COM. AUG. EXHIBITAE.
SAC. SAECU LAR. SEC. 25 IUN.</t>
  </si>
  <si>
    <t xml:space="preserve">Dauerausstellung (Bode-Museum), Raum</t>
  </si>
  <si>
    <t xml:space="preserve">Den Dukat ließ die Freie Stadt Lübeck prägen. Entsprechend dominiert das Stadtwappen den kaiserlichen Doppeladler, ein Symbol für die Reichsfreiheit. Darunter erscheint das Wappen des im Jahre 1730 amtierenden Bürgermeisters Heinrich Balemann.Die Rückseite ziert eine Personifikation des Glaubens, die ein Kreuz und ein Buch mit den Initialen VDMIAE hält (hierzu siehe&amp;nbsp;Med 14495). Unterhalb des Datums der Säkularfeier befindet sich das Zeichen des Lübecker Münzmeisters Johann Justus Jaster.[fn]Der Zainhaken ist, wie hier gekreuzt oder einzeln, ein häufig verwendetes Münzmeisterzeichen, wurde er doch benötigt um die Schrötlinge von dem stangenförmigen Metall (Zain) abzutrennen.[/fn]Ausst. Kat. Hannover 1983,&amp;nbsp;S. 128, Kat.-Nr. 113.ALS</t>
  </si>
  <si>
    <t xml:space="preserve">http://friedensbilder.gnm.de/sites/default/files/18206339_vs.jpg
http://friedensbilder.gnm.de/sites/default/files/18206339_rs.jpg</t>
  </si>
  <si>
    <t xml:space="preserve">Auf die Zweihundertjahrfeier der Confessio Augustana, Vorderseite, 18206339
Augsburger Medaille auf die Zweihundertjahrfeier der Confessio Augustana, Rückseite, 18206339</t>
  </si>
  <si>
    <t xml:space="preserve">Auf die Zweihundertjahrfeier der Confessio Augustana, Vorderseite
Augsburger Medaille auf die Zweihundertjahrfeier der Confessio Augustana, Rückseite</t>
  </si>
  <si>
    <t xml:space="preserve">http://friedensbilder.gnm.de/content/frieden_foto_order11f4b4</t>
  </si>
  <si>
    <t xml:space="preserve">Jubiläum der Augsburger Konfession</t>
  </si>
  <si>
    <t xml:space="preserve">Germanisches Nationalmuseum (Eigentum der Stadt Nürnberg)</t>
  </si>
  <si>
    <t xml:space="preserve">Med Colmar 109</t>
  </si>
  <si>
    <t xml:space="preserve">Medailleur</t>
  </si>
  <si>
    <t xml:space="preserve">Vestner, Andreas</t>
  </si>
  <si>
    <t xml:space="preserve">Kat. Sachsen-Anhalt 2015
Lochner
Bernheimer 1984</t>
  </si>
  <si>
    <t xml:space="preserve">Bd. I.2, S. 776–777, Kat.-Nr. 1076
Bd. IV, Vorrede, Nr. 151
Katalog Teil II, s. 162, Kat.-Nr. 264</t>
  </si>
  <si>
    <t xml:space="preserve">Durchmesser
Gewicht</t>
  </si>
  <si>
    <t xml:space="preserve">35
14,89</t>
  </si>
  <si>
    <t xml:space="preserve">V.</t>
  </si>
  <si>
    <t xml:space="preserve">im Abschnitt</t>
  </si>
  <si>
    <t xml:space="preserve">IAM TERTIA VIVITVR AETAS.
CC A CONFESS
V. DM. I. AE
EXVLTATE DEO ADIVTORI NOSTRO IVBILATE DEO IACOB. PS: LXXXI. 1</t>
  </si>
  <si>
    <t xml:space="preserve">im Münzbild
zentriert</t>
  </si>
  <si>
    <t xml:space="preserve">Schrank</t>
  </si>
  <si>
    <t xml:space="preserve">Colmar 89–114</t>
  </si>
  <si>
    <t xml:space="preserve">Die Vorderseite der Medaille zeigt eine Palme,[fn]Die Palme findet sich neben ihrer allgemeinen Bedeutung als Friedenssymbol bereits häufig auf Jubiläumsmedaillen des 17. Jahrhunderts zur Reformation und der Confessio Augustana. In diesem Kontext symbolisiert die Palme, angelehnt an Embleme, Beständigkeit. Für Beispiele siehe Ausst. Kat. Hannover 1983, S. 54, Kat.-Nr. 50 und S. 67, Kat.-Nr. 62.[/fn]&amp;nbsp;in deren Stamm "A.CONFESS." eingeschrieben ist und die von einem Genius mit der römischen Zahl 200 versehen wird. Zusammen mit&amp;nbsp;der Umschrift, die von einer 'dritten Generation' (tertia aetas)[fn]Die Umschrift stammt aus Ov. met. 12, 188, in Übersetzung: "verlebt sind zwei Jahrhunderte mir, nun leb' ich das dritte Alter".[/fn] spricht, geben sie das Thema der Medaille preis: das zweihundertjährige Jubiläum der Confessio Augustana.Im Abschnitt ist die abgekürzte Luthersentenz Verbum Domini Manet In Aeternum (Das Wort Gottes bleibt in Ewigkeit, 1 Petr 1,25) und auf der Rückseite Ps 81,1 mit dem Chronogramm 1730 zu lesen.Der Nürnberger Medailleur Andreas Vestner fertigte zusammen mit seinem Vater Georg Wilhelm zahlreiche Gedenkmedaillen auf das Reformationsjubiläum 1717 und die Säkularfeier der Augsburger Konfession.&amp;nbsp;Ob die Medaille im Auftrag der Stadt Nürnberg erschien, ist nicht belegbar: Es fehlt der häufige Zusatz&amp;nbsp;S.P.Q.N. (Senatus Populusque Norimbergensis)&amp;nbsp;der Vestnerschen Gedenkmedaillen.Kat. Sachsen-Anhalt 2015, Bd. I.2, S. 776–777, Kat.-Nr. 1076. – Bernheimer 1984, S. 81 und S. 89.ALS&amp;nbsp;&amp;nbsp;</t>
  </si>
  <si>
    <t xml:space="preserve">http://friedensbilder.gnm.de/sites/default/files/Med-Colmar109_01.tif
http://friedensbilder.gnm.de/sites/default/files/Med-Colmar109_03.tif</t>
  </si>
  <si>
    <t xml:space="preserve">Jubiläum der Augsburger Konfession, Vorderseite, Med Colmar 109</t>
  </si>
  <si>
    <t xml:space="preserve">Jubiläum der Augsburger Konfession, Vorderseite</t>
  </si>
  <si>
    <t xml:space="preserve">http://friedensbilder.gnm.de/content/frieden_foto_order204f49</t>
  </si>
  <si>
    <t xml:space="preserve">Auf das 200-jährige Jubiläum der Augsburger Konfession</t>
  </si>
  <si>
    <t xml:space="preserve">Med Colmar 124</t>
  </si>
  <si>
    <t xml:space="preserve">Nürnberger, Paul Gottlieb</t>
  </si>
  <si>
    <t xml:space="preserve">Kat. Sachsen-Anhalt 2015
Ausst. Kat. Hannover 1983
Aukt. Kat. Karl Kreß Nr. 115
Schnell 1983</t>
  </si>
  <si>
    <t xml:space="preserve">Bd. I.2, S. 771, Kat.-Nr. 1070
S. 127, Kat.-Nr. 112
Nr. 375
Nr. 2003
S. 212, Kat.-Nr. 224</t>
  </si>
  <si>
    <t xml:space="preserve">30
7,44</t>
  </si>
  <si>
    <t xml:space="preserve">N.</t>
  </si>
  <si>
    <t xml:space="preserve">Umschrift
Inschrift
Inschrift</t>
  </si>
  <si>
    <t xml:space="preserve">SO LANG/E GOTT WIRD GOTT VND WAHRHEIT WAHRHEIT / SEYN, WIRD DEINE FINSTERNVs VERWEHREN VNSERN SCHEIN.
V.D.M.I.AE.
MAT. X. 32. / LVC. XII. 8.
CONFESSIO AVGVSTA
BIBLIA.
ALTERA SE/CVLARIS MEMO/RIA CONFESSIONIS/ AVG MDXXX.D.XXV.IVN DIVO CAROL. V ROM.IMP./ S. A. IN COMITIIS TRA/DITAEATQVE DE/FENSAE</t>
  </si>
  <si>
    <t xml:space="preserve">im Abschnitt
im Münzbild</t>
  </si>
  <si>
    <t xml:space="preserve">Colmar 89–144</t>
  </si>
  <si>
    <t xml:space="preserve">Das linke der unter dem Trinitätssymbol aufgeklappten Bücher verweist auf Jesu Aussendungsrede an die Apostel und der damit verbundenen&amp;nbsp;Aufforderung zum furchtlosen&amp;nbsp;Bekenntnis&amp;nbsp;in Mt 10,16–39 und Lk 12, 4–12. Im Abschnitt die Abkürzung der Luthersentenz (siehe hierzu&amp;nbsp;Med Colmar 109).&amp;nbsp;Das in der Umschrift aufgenommene Chronogramm ergänzt die Inschrift der Rückseite, die die zweite Säkularfeier und die Übergabe der Confessio Augustana am 25. Juni 1530 auf dem Reichstag benennt.Der Medailleur Paul Gottlieb Nürnberger setzte von 1721 bis 1743 &amp;nbsp;in vierter Generation die berufiliche Tradition als Münzmeister der Stadt fort.Kat. Sachsen-Anhalt 2015, Bd. I.2, S. 771, Kat.-Nr. 1070.&amp;nbsp;–&amp;nbsp;Ausst. Kat. Hannover 1983,&amp;nbsp;S. 127, Kat.-Nr. 112. &amp;nbsp;ALS</t>
  </si>
  <si>
    <t xml:space="preserve">http://friedensbilder.gnm.de/sites/default/files/Med-Colmar124_01.tif
http://friedensbilder.gnm.de/sites/default/files/Med-Colmar124_03.tif</t>
  </si>
  <si>
    <t xml:space="preserve">Auf das 200-jährige Jubiläum der Augsburger Konfession, Vorderseite, Med Colmar 124
Auf das 200-jährige Jubiläum der Augsburger Konfession, Rückseite, Med Colmar 124</t>
  </si>
  <si>
    <t xml:space="preserve">Auf das 200-jährige Jubiläum der Augsburger Konfession, Vorderseite
Auf das 200-jährige Jubiläum der Augsburger Konfession, Rückseite</t>
  </si>
  <si>
    <t xml:space="preserve">http://friedensbilder.gnm.de/content/frieden_foto_order204db4</t>
  </si>
  <si>
    <t xml:space="preserve">Med Colmar 126</t>
  </si>
  <si>
    <t xml:space="preserve">Dockler, Daniel Sigmund
Nürnberger, Paul Gottlieb</t>
  </si>
  <si>
    <t xml:space="preserve">Kat. Sachsen-Anhalt 2015
Maué / Fischer 2014
Aukt. Kat. Slg. Whiting 1983
Aukt. Kat. Adolph Hess Nachf. Nr. 121</t>
  </si>
  <si>
    <t xml:space="preserve">Bd. I.2, S. 773, Kat.-Nr. 1072
S. 202, Kat.-Nr. 240
S. 54, Nr. 431
Nr. 611</t>
  </si>
  <si>
    <t xml:space="preserve">28
4.65</t>
  </si>
  <si>
    <t xml:space="preserve">N
D</t>
  </si>
  <si>
    <t xml:space="preserve">Inschrift
Umschrift</t>
  </si>
  <si>
    <t xml:space="preserve">DAS ZV AVGSPVRG VBERGEBENE BE:KAETNVS STEHET DVRCH GOTTES GNADE FEST
A.I.H. S.G.H. G.A.P. P.I.T. V.G. G.F. G.V.
DAS ZV AVGSPVRG VBERGEBENE BE-KAETNVS STEHET DVRCH GOTTES GNADE NOCH FEST
I.C.V.I.H. C.G.V. I.S.H. I.S.P. H.W.E. C.B.G. C.F.</t>
  </si>
  <si>
    <t xml:space="preserve">zentriert
über den Wappen am Rand
über den Wappen  am Rand</t>
  </si>
  <si>
    <t xml:space="preserve">Die in Nürnberg entstandene Medaille zeigt auf beiden Seiten die Wappen der "Sieben Älteren Herren" (Septemviri) des reichsstädtischen Rates. Sie bildeten seit Beginn des 15. Jahrhunderts die eigentliche Regierung. Das Chronogramm der Vorderseite ergibt die Jahreszahl 1730 weshalb die Wappen der Fürer, Imhoff, Geuder, Volckamer, Ebner, Holzschuher und Pfinzing zu sehen sind. Auch sind der Medailleur (D für Sigmund Dockler) und Münzmeister (Kreuzzeichen für Paul Gottlieb Nürnberger) identifizierbar.[fn]Eine Aufzeichnung des Losungsamtes von 1737 berichtet von den Medaillen anlässlich der Säkularfeier: "Von Münzmeister Nürnberger gelieferte Jubelmedaillen über das [...] hiesige evangelische Jubiläum; die größten an den Herrn Regierungs-Rath...", siehe Maué / Fischer 2014, S. 202, Kat.-Nr. 240.[/fn] Auf der Rückseite sind die Familienwappen der Septemviri des Jahres 1630 abgebildet.Stadtlexikon Nürnberg, [Art.] Septemvirat, S. 974 (Walter Bauernfeind). – Maué / Fischer 2014, S. 202, Kat.-Nr. 240.ALS</t>
  </si>
  <si>
    <t xml:space="preserve">http://friedensbilder.gnm.de/sites/default/files/Med-Colmar126_01.tif
http://friedensbilder.gnm.de/sites/default/files/Med-Colmar126_02.tif</t>
  </si>
  <si>
    <t xml:space="preserve">Auf das 200-jährige Jubiläum der Augsburger Konfession, Vorderseite, Med Colmar 126
Auf das 200-jährige Jubiläum der Augsburger Konfession, Rückseite, Med Colmar 126</t>
  </si>
  <si>
    <t xml:space="preserve">http://friedensbilder.gnm.de/content/frieden_foto_order204db9</t>
  </si>
  <si>
    <t xml:space="preserve">Med 10286</t>
  </si>
  <si>
    <t xml:space="preserve">Holtzhey, Martin</t>
  </si>
  <si>
    <t xml:space="preserve">Berg / Donga 2010
AuK Slg. Whiting 1983
Fischer / Maué 2010
Kat. Sachsen-Anhalt 2015
Ausst. Kat. Hannover 1983
Aukt. Kat. Schott-Wallerstein Münzhandlung / Sally Rosenberg 1904
Aukt. Kat. Karl Kreß Nr. 115
Schnell 1983
Aukt. Kat. Adolph Hess Nachf. Nr. 121
Marsch 1980</t>
  </si>
  <si>
    <t xml:space="preserve">S. 72–75, Kat.-Nr. 12
S. 48–49, Nr. 354
S. 80, Nr. 1.423
Bd. I.2, S. 726–727, Kat.-Nr. 1010
S. 118, Kat.-Nr. 105
Nr. 1961
Nr. 348
S. 68 und 199, Nr. 196
S. 30, Nr. 543
S. 99 (Abb. 125)</t>
  </si>
  <si>
    <t xml:space="preserve">61,5
82,62</t>
  </si>
  <si>
    <t xml:space="preserve">M: HOLTZHEY. FEC: </t>
  </si>
  <si>
    <t xml:space="preserve">MARTINVS LVTHERVS. D:
CONFESSORES AC DEFENSORES. CAROL: V. CAESARI, IN COMITIIS AVGVSTANIS, D: XXV. IUN: MDXXX. VERITAT: PROFITENT
S. NORIMBERGENSIS. PHIL. LANDGR. KASS: GEORG MARCK: BRAND: IO: DUX SAX: ELECT: ERNST DVX LVNEB: WOLFG: PRINC: ANHALT S. REVTLINGENSIS. 
VERITATI TRIVMPHVS.
BI:BLI:A. SA:CRA.
NVMMVS MNEMONICVS SECVNDI IVBILAEI POST EDITAM AVG. VIND: FIDEI CONF: AMSTELOD: MDCCXXX. D: XXV. IUN: EXC: 
AFLAAT</t>
  </si>
  <si>
    <t xml:space="preserve">Schrank 
Schublade</t>
  </si>
  <si>
    <t xml:space="preserve">25
23</t>
  </si>
  <si>
    <t xml:space="preserve">http://friedensbilder.gnm.de/sites/default/files/Med 10286_1.tif
http://friedensbilder.gnm.de/sites/default/files/Med 10286_2.tif</t>
  </si>
  <si>
    <t xml:space="preserve">Die Vorderseite der Medaille zur&amp;nbsp;Zweihundertjahrfeier der Augsburger Konfession&amp;nbsp;zeigt das Brustbildnis&amp;nbsp;Martin Luthers&amp;nbsp;und die ihn umgebenden Wappen der sieben Unterzeichner der&amp;nbsp;Confessio Augustana.&amp;nbsp;Das Motiv der wahren Religion bestimmt den Tenor des Avers: ”Die Bekenner und Verteidiger treten vor Kaiser Karl V. auf dem Augsburger Reichstag am 25. Juni 1530 öffentlich für die Wahrheit ein“.Auf der Rückseite sitzt&amp;nbsp;Fides&amp;nbsp;unter einer Palme und legt der nackten&amp;nbsp;Wahrheit&amp;nbsp;den Arm um die Hüfte. Während sie selbst die heilige Bibel und ein Kreuz trägt, wartet&amp;nbsp;Veritas&amp;nbsp;nur mit einem Palmzweig auf. Dafür überstrahlt sie alles mit ihrer Reinheit, die jene Charaktereigenschaft symbolisierende Sphäre über ihrem Kopf findet sich auch am Tempel links außen, auf den sie deutet.&amp;nbsp;Diese damit gemeinte wahre Kirche wird nunmehr vor allen schädlichen Einflüssen bewahrt, wie eindrücklich der Erzengel Michael verdeutlicht, der mit seinem Flammenschwert den Teufel abwehrt. Zu Füßen der weiblichen Personifikationen liegen neben Tiara, Kardinalshut und Ablassbriefen [AFLAAT] weitere, aus protestantischer Sicht, verwerfliche Symbole des Katholizismus. Im Hintergrund meißelt&amp;nbsp;Chronos ”CC“ in eine Pyramide, Zeichen für die Zweihundertjahrfeier.MATW/ALS</t>
  </si>
  <si>
    <t xml:space="preserve">Auf das 200-jährige Jubiläum der Augsburger Konfession, Vorderseite, Med 10286
Auf das 200-jährige Jubiläum der Augsburger Konfession, Rückseite, Med 10286</t>
  </si>
  <si>
    <t xml:space="preserve">https://friedensbilder-neu.gnm.de/sites/default/files/2019-06/Med-10286-01.png
https://friedensbilder-neu.gnm.de/sites/default/files/2019-06/Med-10286-02.png
https://friedensbilder-neu.gnm.de/sites/default/files/2019-06/Med-10286-01-doppel.png</t>
  </si>
  <si>
    <t xml:space="preserve">http://friedensbilder.gnm.de/content/frieden_foto_order204daf</t>
  </si>
  <si>
    <t xml:space="preserve">Erfolge Königs Wladislaws IV. von Polen</t>
  </si>
  <si>
    <t xml:space="preserve">Med 14504</t>
  </si>
  <si>
    <t xml:space="preserve">Dadler, Sebastian</t>
  </si>
  <si>
    <t xml:space="preserve">Maué 2008
Wiêcek 1962
Domanig 1907
Gumowski 1925
Gumowski 1924
Gumowski 1938/39
Dutowski 2013
Kat. Posen 2008
Stahr 1990</t>
  </si>
  <si>
    <t xml:space="preserve">S. 81–82, Kat.-Nr. 38
S. 114, Kat.-Nr. 96
Nr. 330
S. 81
S. 45
Nr. 36
S. 114–115
S. 57–58, Kat.-Nr. 44
S. 117–120; S. 232, Kat.-Nr. 46</t>
  </si>
  <si>
    <t xml:space="preserve">80
125,57</t>
  </si>
  <si>
    <t xml:space="preserve">Med Merkel 1.5.4</t>
  </si>
  <si>
    <t xml:space="preserve">SD</t>
  </si>
  <si>
    <t xml:space="preserve">DEI OPT: MAX: AVSPICIO INVICT: VLADISLAI IV POL: SVECIAEQue REG: ARMIS VICTRIC: SMOLENSCVm OBSIDIONE LIBERATVm MOSCI SVBIVGATI SIGNA DVCES PROSTRATI.
.ET. BELLO. ET. PACE. COLENDVS. .TURCAE. PACEM. FERENTES. ET. SVECI.</t>
  </si>
  <si>
    <t xml:space="preserve">17
15</t>
  </si>
  <si>
    <t xml:space="preserve">Die Vorderseite der Medaille zeigt die Kapitulation russischer Belagerungstruppen bei Smolensk am 24. Februar 1634. Vor&amp;nbsp;Wladislaw IV.&amp;nbsp;knien drei Männer, die als Zeichen der Unterwerfung ihre Kopfbedeckungen abgelegt haben und dem König zusammengerollte Standarten präsentieren.[fn]In der Umschrift heißt es "...wurde Smolensk mit siegreichen Waffen von der Besetzung befreit, und die unterworfenen Moskowitischen Fürsten brachten die Feldzeichen", nach Maué 2008.[/fn]Am Horizont ist links das russische Heerlager zu sehen, rechts daneben der militärische Zankapfel Smolensk. Hinter dem polnischen König schließt sich der litauische Fürst&amp;nbsp;Krzysztof Radziwi³³&amp;nbsp;an, der im russisch-polnischen Krieg (1632–1634) die Offensive gegen die Belagerungstruppen bis zum Eintreffen des königlichen Heeres vorbereitet hatte. Maria Stahr konnte überzeugend nachweisen, dass&amp;nbsp;Dadler&amp;nbsp;sich an einem Stich von&amp;nbsp;Salomon Saverij&amp;nbsp;nach einem Gemälde von&amp;nbsp;Adolf Boy&amp;nbsp;orientiert hat.Auf der Rückseite ist Wladislaw umgeben von seinen Truppen und Radziwi³³ zu sehen. Er reitet mit Kommandostab voraus auf drei Türken und Schweden zu, die ihm Olivenzweige entgegenhalten. Über seinem Haupt schwebt ein Putto aus den Wolken und krönt den polnischen König mit Lorbeerkranz und Palmenzweig. Bildsprache und Text ('sowohl im Krieg als auch Frieden verehrungswürdig') weisen den polnischen Monarchen als idealen Herrscher aus, der sowohl in militärischer als auch diplomatischer Hinsicht die Geschicke seines Landes zu lenken weiß.&amp;nbsp;Die Rückseite bezieht sich nicht auf den nach der Belagerung am 14. Juni 1634 geschlossenen Frieden von&amp;nbsp;Poljanovka. Noch im September des gleichen Jahres schloss Polen im Vertrag von Lemberg Frieden mit den Osmanen und unterzeichnete ein Jahr später einen Waffenstillstandsvertrag bei Stuhmsdorf&amp;nbsp;mit Königin&amp;nbsp;Christina von Schweden.ALS&amp;nbsp;&amp;nbsp;</t>
  </si>
  <si>
    <t xml:space="preserve">http://friedensbilder.gnm.de/sites/default/files/Med14504_02.tif
http://friedensbilder.gnm.de/sites/default/files/Med14504_03.tif</t>
  </si>
  <si>
    <t xml:space="preserve">Herrscherrepräsentation</t>
  </si>
  <si>
    <t xml:space="preserve">Erfolge Königs Wladislaws IV. von Polen, Vorderseite, Med 14504
Erfolge Königs Wladislaws IV. von Polen, Rückseite, Med 14504</t>
  </si>
  <si>
    <t xml:space="preserve">Erfolge Königs Wladislaws IV. von Polen, Vorderseite
Erfolge Königs Wladislaws IV. von Polen, Rückseite</t>
  </si>
  <si>
    <t xml:space="preserve">http://friedensbilder.gnm.de/content/frieden_foto_order204ef4</t>
  </si>
  <si>
    <t xml:space="preserve">Auf den Friedens Executions-Haupt-Recess vom 16./26. Juni 1650</t>
  </si>
  <si>
    <t xml:space="preserve">Med Merkel 3.5.7</t>
  </si>
  <si>
    <t xml:space="preserve">Höhn, Johann</t>
  </si>
  <si>
    <t xml:space="preserve">Danzig</t>
  </si>
  <si>
    <t xml:space="preserve">Maué / Fischer 2014
Aukt. Kat. Heinrich Winter Münzhandlung Nr. 120
Ausst. Kat. Stuttgart 2012
Ausst. Kat. Osnabrück 1986
Ausst. Kat. Münster 1988a
Pax in Nummis 1913
Schnell 1983
Will 1764
Imhoff
Aukt. Kat. Slg. Erlanger 1989
Aukt. Kat. Fritz Rudolf Künker Münzhandlung Nr. 51</t>
  </si>
  <si>
    <t xml:space="preserve">S. 110–111, Nr. 111
S. 74, Nr. 514
S. 130, Kat.-Nr. 78 (Hans-Martin Kaulbach)
S. 18
S. 166, Kat.-Nr. 140
s. 40, Nr. 148
S. 335, Kat.-Nr. 526
S. 359, Nr. 5
Bd. II, S. 103, Nr. 68
Nr. 1041
S. 182, Kat.-Nr. 1643</t>
  </si>
  <si>
    <t xml:space="preserve">49
29,92</t>
  </si>
  <si>
    <t xml:space="preserve">I H</t>
  </si>
  <si>
    <t xml:space="preserve">GERMANUM REDIVIVA REDIT CONCORDIA IN ORBEM.
NORINBERG
CORDA MONARCHARUM QVAE TRIA PACE LIGAT. 1650</t>
  </si>
  <si>
    <t xml:space="preserve">13
12</t>
  </si>
  <si>
    <t xml:space="preserve">Die Medaille entstand anlässlich der Unterzeichnung des Hauptrezesses am 16. Juli 1650, die den Nürnberger Friedensexekutionskongress beendete.
Als Zeichen der “zurück gekehrten Eintracht” reichen sich auf der Vorderseite einander zwei Hände. Die Anzahl der am Band befestigten Herzen und die Olivenzweige auf der Rückseite der Medaille, versinnbildlichen die Mächte Frankreich, Deutschland und Schweden: “die drei Herzen der Könige im Frieden vereint”.[fn]Übersetzung nach Maué / Fischer 2014, S. 110[/fn] Ähnlich&amp;nbsp;26252 Mz&amp;nbsp;stellt die Vereinigung der Mächte durch die Kaiserkrone den Frieden unter das Protektorat des römisch-deutschen Kaisers.
Die in der Emblematik für Festigkeit stehenden Palmen symbolisieren die vier Verträge,&amp;nbsp;die den Dreißigjährigen Krieg beendeten: die Friedensverträge von Osnabrück und Münster 1648, der Nürnberger Interimsrezess 1649 und der hier gefeierte Hauptrezess ein Jahr danach.
ALS
</t>
  </si>
  <si>
    <t xml:space="preserve">http://friedensbilder.gnm.de/sites/default/files/MedMerkel3.5.7_vs.tif
http://friedensbilder.gnm.de/sites/default/files/MedMerkel3.5.7_rs.tif</t>
  </si>
  <si>
    <t xml:space="preserve">Paul Wolfgang Merkel’sche Familienstiftung</t>
  </si>
  <si>
    <t xml:space="preserve">Die Medaille entstand anlässlich der Unterzeichnung des Hauptrezesses am 16. Juli 1650, die den Nürnberger Friedensexekutionskongress beendete.Als Zeichen der ”zurück gekehrten Eintracht“ reichen sich auf der Vorderseite einander zwei Hände. Die Anzahl der am Band befestigten Herzen und die Olivenzweige auf der Rückseite der Medaille, versinnbildlichen die Mächte Frankreich, Deutschland und Schweden: so sind ”die drei Herzen der Könige im Frieden vereint“.&amp;nbsp;Diese Vereinigung der Mächte durch die Kaiserkrone stellt den Frieden unter das Protektorat des römisch-deutschen Kaisers.Die in der Emblematik für Festigkeit stehenden Palmen symbolisieren die vier Verträge,&amp;nbsp;die den&amp;nbsp;Dreißigjährigen Krieg beendeten: die Friedensverträge von&amp;nbsp;Osnabrück&amp;nbsp;und&amp;nbsp;Münster&amp;nbsp;1648, der Nürnberger&amp;nbsp;Interimsrezess&amp;nbsp;1649 und der hier gefeierte&amp;nbsp;Hauptrezess&amp;nbsp;ein Jahr danach.ALS</t>
  </si>
  <si>
    <t xml:space="preserve">Auf den Friedens Executions-Haupt-Recess vom 16./26. Juni 1650, Vorderseite, Med Merkel 3.5.7
Auf den Friedens Executions-Haupt-Recess vom 16./26. Juni 1650, Rückseite, Med Merkel 3.5.7</t>
  </si>
  <si>
    <t xml:space="preserve">https://friedensbilder-neu.gnm.de/sites/default/files/2019-06/MedMerkel3.5.1.png
https://friedensbilder-neu.gnm.de/sites/default/files/2019-06/MedMerkel3.5.2.png
https://friedensbilder-neu.gnm.de/sites/default/files/2019-06/MedMerkel3.5_doppel.png</t>
  </si>
  <si>
    <t xml:space="preserve">Auf den Friedens Executions-Haupt-Recess vom 16./26. Juni 1650, Vorderseite
Auf den Friedens Executions-Haupt-Recess vom 16./26. Juni 1650, Rückseite</t>
  </si>
  <si>
    <t xml:space="preserve">http://friedensbilder.gnm.de/content/frieden_foto_order1f91dd</t>
  </si>
  <si>
    <t xml:space="preserve">Auf den Frieden von Rijswijk und die Beendigung des pfälzischen Erbfolgekrieges</t>
  </si>
  <si>
    <t xml:space="preserve">NG-VG-1-1769</t>
  </si>
  <si>
    <t xml:space="preserve">Arondeaux, Regnier</t>
  </si>
  <si>
    <t xml:space="preserve">Klapwyk / Kuyvenhoven 1989
Aukt. Kat. Heinrich Winter Münzhandlung Nr. 120
Manegold 2012
Van Loon
Ausst. Kat. Stuttgart 2012</t>
  </si>
  <si>
    <t xml:space="preserve">S. 547
S. 201, Nr. 1444
S. 159–162
Bd. IV, S. 215, Nr. 2
S. 101–114</t>
  </si>
  <si>
    <t xml:space="preserve">4,9
45,55</t>
  </si>
  <si>
    <t xml:space="preserve">cm
g</t>
  </si>
  <si>
    <t xml:space="preserve">ARONDEAUX .F.</t>
  </si>
  <si>
    <t xml:space="preserve">auf der Abschnittlinie</t>
  </si>
  <si>
    <t xml:space="preserve">CAESA FIRMABANT FOEDERA PORCA.
IANO SACR.
RYSWYK GUILELMI III D.G. M. BRITAN. ETC. R. PALAT.
MDCXCVII</t>
  </si>
  <si>
    <t xml:space="preserve">Der geschlossene Janustempel repräsentierte im antiken Rom die Friedenszeit. Kaiser Augustus rühmte sich, er habe in seiner Regierungszeit dreimal die Tore schließen können. Auf der Medaille von Regnier Arondeaux&amp;nbsp;schließen sie die Gesandten des Friedenskongress von Rijkswijk. Die Motive Altar und Schweineopfer knüpfen eng an die römische Religionspraxis an: ’Durch die Darbringung des Sauopfers besiegelten sie ihre Friedensverträge‘ (nach Manegold 2012). Damit spricht die Umschrift ein bei Livius geschildertes Ritual an (Liv 1, 24, 7–9): zwei Vertragspartner mussten nach Verlesung der Texte ein Sauopfer darbringen, um ihre gegenseitige Treue zu bekunden.&amp;nbsp;Das Opfermotiv und die gleiche Umschrift zeigt bereits ein Dordrechter Rechenpfennig auf das Dreierbündnis zwischen England, Frankreich und den Niederlanden aus dem Jahr 1596.[fn]Dugniolle 1876–1880, Bd. III, S. 137, Nr. 3400. Online einzusehen unter folgendem Link[/fn]Auf der Rückseite ist eine Ansicht des Konferenzschauplatzes Huis ter Nieuburch mit den Wappen der Friedensdelegationen zu sehen. Die Umschrift kennzeichnet den Bau zugleich als Residenz des Statthalters&amp;nbsp;Wilhelm III., in dessen Auftrag Arondeaux die Medaille fertigte. Die gewählte Ansicht dürfte der Medailleur einer druckgraphischen&amp;nbsp;Vorlage&amp;nbsp;entlehnt haben, die die Anreise der Gesandten zeigt. Zudem drückt die Vogelperspektive die positiven Folgen des Friedens aus, indem die gepflegte Gartenanlage in eine fruchtbare Landschaft eingebettet ist.[fn]Siehe hierzu Völkel 2001, S. 252–254.[/fn]ALS</t>
  </si>
  <si>
    <t xml:space="preserve">http://friedensbilder.gnm.de/sites/default/files/NG-VG-1-1769_vs.tif
http://friedensbilder.gnm.de/sites/default/files/NG-VG-1-1769_rs.tif</t>
  </si>
  <si>
    <t xml:space="preserve">Auf den Frieden von Rijswijk und die Beendigung des pfälzischen Erbfolgekrieges, Vorderseite, NG-VG-1-1769
Auf den Frieden von Rijswijk und die Beendigung des pfälzischen Erbfolgekrieges, Rückseite, NG-VG-1-1769</t>
  </si>
  <si>
    <t xml:space="preserve">Auf den Frieden von Rijswijk und die Beendigung des pfälzischen Erbfolgekrieges, Vorderseite
Auf den Frieden von Rijswijk und die Beendigung des pfälzischen Erbfolgekrieges, Rückseite</t>
  </si>
  <si>
    <t xml:space="preserve">http://friedensbilder.gnm.de/content/frieden_foto_order1c3ead</t>
  </si>
  <si>
    <t xml:space="preserve">Auf das Ende des Dreißigjährigen Krieges</t>
  </si>
  <si>
    <t xml:space="preserve">Med 2446</t>
  </si>
  <si>
    <t xml:space="preserve">Guß</t>
  </si>
  <si>
    <t xml:space="preserve">Blei</t>
  </si>
  <si>
    <t xml:space="preserve">Aukt. Kat. Adolph E. Cahn Nr. 70
Ausst. Kat. Münster 1988a
Aukt. Kat. Slg. Antoine-Feill 1907
Aukt. Kat. Künker eLive Nr. 33
Aukt. Kat. Kunsthaus Lempertz Nr. 174
Aukt. Kat. Münzhandlung Adolph Hess Nr. 52
Aukt. Kat. Münzhandlung Adolph Hess Nachf. 1880
Aukt. Kat. Adolph Hess Nachf. Nr. 121
Aukt. Kat. Slg. Horsky 1910
Aukt. Kat. Slg. Weygand 1917
Aukt. Kat. Karl Kreß Nr. 115
Aukt. Kat. Schott-Wallerstein Münzhandlung / Sally Rosenberg 1904
Pax in Nummis 1913
Aukt. Kat. Stockholm 1948
Van Loon
Wiêcek 1962
Aukt. Kat. Heinrich Winter Münzhandlung Nr. 120
Ausst. Kat. Stuttgart 2012
Ausst. Kat. Osnabrück 1986</t>
  </si>
  <si>
    <t xml:space="preserve">Nr. 1855
S. 193 und 228, Kat.-Nr. 174
Nr. 4032
S. 138, Nr. 2747
S. 21, Nr. 730
Nr. 854
Nr. 818
Nr. 254
Nr. 1895
Nr. 3602
Nr. 5480
S. 137, Nr. 1705
S. 19, Nr. 72
Nr. 316
Bd. II,S. 322–323, Nr. IV
S. 102, Nr. 42
S. 201, Nr. 1442
S. 74, Kat.-Nr. 8 (Cornelia Manegold / Hans-Martin Kaulbach)
S. 16</t>
  </si>
  <si>
    <t xml:space="preserve">54
32,9</t>
  </si>
  <si>
    <t xml:space="preserve">LWL-Museum für Kunst und Kultur (Westfälisches Landesmuseum)/ Münzkabinett</t>
  </si>
  <si>
    <t xml:space="preserve">Münster</t>
  </si>
  <si>
    <t xml:space="preserve">26239 Mz</t>
  </si>
  <si>
    <t xml:space="preserve">Silberguss, vergoldet</t>
  </si>
  <si>
    <t xml:space="preserve">AVREA PAX VIGEAT DET DEVS ARMA CADANT
PAX THEMIS ET PIETAS. SAPIENTIA MVSA RESVRGVNT. E CONTRA GLADIVS. BELLICA SIGNA IACENT
DREISIG. IAHR. / HATT. GEWERT. DER / KRIEG, VIEL. BLVTT. VER / GOSEN. WARD. ZVM. SIEG / DIS. IAHR. SCHICKT. GOTT / DEN. FRIEDEN. FEIN. / DEM. SEY. EHR. LOB. / VND. PREYS. ALLEIN / ANNO 1648</t>
  </si>
  <si>
    <t xml:space="preserve">zentriert</t>
  </si>
  <si>
    <t xml:space="preserve">13
17</t>
  </si>
  <si>
    <t xml:space="preserve">Mit ihrer Umschrift spielt die Medaille auf das Ende des Dreißigjährigen Krieges und die Wiederkehr des goldenen Zeitalters an. Ihre bildliche Entsprechung findet sie in der Figur eines Soldaten mit zerbrochenen Waffen als Zeichen des verlorenen Krieges sowie der&amp;nbsp;Pax. Die Allegorie des Friedens erhält aus der Hand Gottes einen Olivenzweig und zu ihren Füßen liegt Ackergerät als Metapher einer wieder aufblühenden Landwirtschaft.&amp;nbsp;Die Umschrift ”Gott gebe, dass goldener Friede blühe und die Waffen fallen“ findet sich auf verschiedenen Medaillen, die anlässlich des Westfälischen Friedens entstanden, beispielsweise auf Gedenkmedaillen von Sebstian Dadler und&amp;nbsp;Friedrich Fecher.[fn]Siehe hierzu Maué 2008, S. 56–58, Kat.-Nr. 8–12 und Ausst. Kat. Münster 1988a, S. 114–116, Kat.-Nr. 94–96. Fecher kannte wohl die Dadlerschen Vorlagen.[/fn] Insgesamt steht bei vielen Medaillen anlässlich des Westfälischen Friedens nicht der Vertragsgegenstand, sondern das Ende der Kriegszeit im Vordergrund. Entsprechend verweist die Inschrift der Rückseite auf die genaue Dauer des Kriegszustandes in Deutschland ”DREISIG.IAHR.HATT.GEWERT.“[/fn]ALS</t>
  </si>
  <si>
    <t xml:space="preserve">http://friedensbilder.gnm.de/sites/default/files/Med2446_vs.tif
http://friedensbilder.gnm.de/sites/default/files/Med2446_rs.tif
http://friedensbilder.gnm.de/sites/default/files/26239Mz_26239Mz_Rs.jpg</t>
  </si>
  <si>
    <t xml:space="preserve">Auf das Ende des Dreißigjährigen Krieges, Vorderseite, Med 2446
Auf das Ende des Dreißigjährigen Krieges, Vordersetite, Med 2446</t>
  </si>
  <si>
    <t xml:space="preserve">Auf das Ende des Dreißigjährigen Krieges, Vorderseite
Auf das Ende des Dreißigjährigen Krieges, Vordersetite</t>
  </si>
  <si>
    <t xml:space="preserve">http://friedensbilder.gnm.de/content/frieden_foto_order204dc3</t>
  </si>
  <si>
    <t xml:space="preserve">http://friedensbilder.gnm.de/content/frieden_foto_order15ad6a</t>
  </si>
  <si>
    <t xml:space="preserve">Medaille auf das Stückschießen von 1671 in Nürnberg</t>
  </si>
  <si>
    <t xml:space="preserve">Med Colmar 89</t>
  </si>
  <si>
    <t xml:space="preserve">Kupferstift
Zinn</t>
  </si>
  <si>
    <t xml:space="preserve">Stempelschneider</t>
  </si>
  <si>
    <t xml:space="preserve">Moller, Christian</t>
  </si>
  <si>
    <t xml:space="preserve">Maué / Fischer 2014
Ausst. Kat. Nürnberg 1985
Imhoff
Will 1764
Riedner 1776</t>
  </si>
  <si>
    <t xml:space="preserve">S. 124, Kat.-Nr. 134
S. 475, Kat.-Nr. 746
Bd. II, S. 111, Nr. 77
S. 70, Nr. 11
S. 140, Nr. XII</t>
  </si>
  <si>
    <t xml:space="preserve">41
24,16</t>
  </si>
  <si>
    <t xml:space="preserve">C M</t>
  </si>
  <si>
    <t xml:space="preserve">SCHLAFFT MARS U: RUHT . HALT DICH IN HUT
INSTRUMENT: MARTIS
ZU. GEDÄCHTNIS DES STUCKSCHISSEN IN NURNBERG: . ANNO . 1671. .AVG: .28.</t>
  </si>
  <si>
    <t xml:space="preserve">Die Medaille erinnert an das Stückschießen auf dem Schießplatz von St. Johannis vor den Toren Nürnbergs im Jahre 1671. Die Inschrift einer Rocaille-Kartusche auf der Vorderseite verweist auf dieses Ereignis, darüber befindet sich eine Wappentrias&amp;nbsp;aus Reichs-, kleinem und großem Stadtwappen.Der an die Kanone gelehnte Kriegsgott auf dem Revers symbolisiert keine akute Bedrohung, vielmehr spricht der Text vom ruhenden Mars, einem Friedenstopos, der sich seit der Mitte des 16. Jahrhunderts nachweisen lässt und in den Allegorien des Westfälischen Friedens häufig auftritt.[fn]Siehe hierzu u.a.&amp;nbsp;HB 25059, Kapsel 1314.[/fn]&amp;nbsp;Der Begriff "Instrumentum Martis" [(Hilfs)Mittel des Mars] ist hier bewusst gewählt, beginnen doch die lateinischen Bezeichnungen der beiden Verträge des Westfälischen Friedens mit "Instrumentum Pacis".[fn]IP Monasteriensis und IP Osnabrugensis.[/fn]ALS&amp;nbsp;</t>
  </si>
  <si>
    <t xml:space="preserve">http://friedensbilder.gnm.de/sites/default/files/Med-Colmar89_01.tif
http://friedensbilder.gnm.de/sites/default/files/Med-Colmar89_03.tif</t>
  </si>
  <si>
    <t xml:space="preserve">Medaille auf das Stückschießen von 1671 in Nürnberg, Vorderseite, Med Colmar 89
Medaille auf das Stückschießen von 1671 in Nürnberg, Rückseite, Med Colmar 89
Medaille auf das Stückschießen von 1671 in Nürnberg, Rückseite, Med Colmar 89</t>
  </si>
  <si>
    <t xml:space="preserve">Medaille auf das Stückschießen von 1671 in Nürnberg, Vorderseite
Medaille auf das Stückschießen von 1671 in Nürnberg, Rückseite
Medaille auf das Stückschießen von 1671 in Nürnberg, Rückseite</t>
  </si>
  <si>
    <t xml:space="preserve">http://friedensbilder.gnm.de/content/frieden_foto_order204f71</t>
  </si>
  <si>
    <t xml:space="preserve">Eygentlycke Afbeeldinghe ende Maniere van de publicatie van den Peys tusschen syne Mayesteyt den Coninck van Spagnien</t>
  </si>
  <si>
    <t xml:space="preserve">K 14869, Kapsel 148</t>
  </si>
  <si>
    <t xml:space="preserve">Hollar, Wenzel</t>
  </si>
  <si>
    <t xml:space="preserve">Antwerpen</t>
  </si>
  <si>
    <t xml:space="preserve">Muller
Pennington 1982
New Hollstein German
Ausst. Kat. Berlin 1984
Ausst. Kat. Nimwegen / Bergen op Zoom 1979/1980
Parthey 1963
Ausst. Kat. Stuttgart 2012
Ausst. Kat. Prag 2007</t>
  </si>
  <si>
    <t xml:space="preserve">Bd. I, S. 276, Nr. 1949a
S. 89–90, Kat.-Nr. 561
Bd. VIII (Wenzeslaus Hollar), Teil 4, S. 14, Nr. 994
S. 33–34, Kat.-Nr. 78
S. 111, Kat.-Nr. 88
S. 117–118, Nr. 561
S. 16, Abb. 6 (Hans-Martin Kaulbach)
S. 76, Kat. I/16 (Alena Volrábová)</t>
  </si>
  <si>
    <t xml:space="preserve">20,8 x 32,9</t>
  </si>
  <si>
    <t xml:space="preserve">Tiff erhalten</t>
  </si>
  <si>
    <t xml:space="preserve">ende de Heeren Staeten Generael van de Vereenichde Nederlanden op eene Heerlycke Stellagie voor het Stadthuys van Antverpen ter Pr=sentie van de Heeren Schouteth Amplman, Borghemeesters, She=penen etc; ende een groote menichte van toehorders den 5. Iuny 1648</t>
  </si>
  <si>
    <t xml:space="preserve">1(4)</t>
  </si>
  <si>
    <t xml:space="preserve">Wenceslaus Hollar delineavit et fecit. Aqua forti, Antverpiae.</t>
  </si>
  <si>
    <t xml:space="preserve">Das Blatt zeigt den Platz vor dem Antwerpener Rathaus, bei dessen Darstellung sich&amp;nbsp;Wenzeslaus Hollar&amp;nbsp;an einer Radierung von&amp;nbsp;Pieter van der Borcht&amp;nbsp;orientierte.[fn]Siehe Joh. Bochii Descriptio publicae gratulationis spectaculorum &amp;amp; ludorum in adventu ser. princ. Ernesti Archid. Austriae ... Antverpiae 1595,&amp;nbsp;nach S. 131.[/fn]&amp;nbsp;Von einer Bühne aus verkünden Beamte der Stadt in Anwesenheit der Bürgermeister den Frieden von Münster. Über ihnen thronen&amp;nbsp;Pax,&amp;nbsp;Justitita&amp;nbsp;und&amp;nbsp;Abundantia, die auf eine neue Blütezeit in Friedenszeiten verweisen. Der Platz ist mit Menschen gefüllt, von denen einige dicke Wintermäntel tragen, obwohl das Ereignis am 5. Juni 1648 stattfand. Die Vorliebe für Kostümillustrationen dürfte Hollar bewegt haben,&amp;nbsp;ungeachtet der tatsächlichen Jahreszeit, Figuren in modische Wintermäntel zu hüllen.Umstritten ist, ob Hollar mit der Signatur ”delineavit“ zum Ausdruck bringen wollte, dass er bei der Bekanntmachung des Friedens von Münster anwesend war.&amp;nbsp;Die Hoffnung auf wirtschaftliche Blüte, die dieses Friedensbild im Jahr 1648 bekundet, verwirklichte sich nicht: Mit dem Vertrag von Münster durfte die Schelde nicht mehr als Schifffahrtsweg genutzt werden, womit der wichtigste Handelsweg der Stadt blockiert war. Der dadurch hervorgerufene Niedergang im 17. Jahrhundert erzeugte eine Welle von Wirtschaftsflüchtlingen, unter ihnen auch Wenzelaus Hollar.ALS</t>
  </si>
  <si>
    <t xml:space="preserve">http://friedensbilder.gnm.de/sites/default/files/K14869.tif</t>
  </si>
  <si>
    <t xml:space="preserve">Eygentlycke Afbeeldinghe ende Maniere van de publicatie van den Peys tusschen syne Mayesteyt den Coninck van Spagnien, K 14869, Kapsel 148</t>
  </si>
  <si>
    <t xml:space="preserve">http://friedensbilder.gnm.de/content/frieden_foto_order204f08</t>
  </si>
  <si>
    <t xml:space="preserve">Eigentliche vnnd kurtze Erklärung welcher gestalt nach getroffenem Stillstand auff 12. Jahr lang/ derselbe zu Antorff den 14. Aprilis Anno 1609. von dem Statthauß abgelesen vnnd verkündigt/ vnd darauff allerley Frewdenspiel gehalten worden</t>
  </si>
  <si>
    <t xml:space="preserve">HB 320, Kapsel 1220</t>
  </si>
  <si>
    <t xml:space="preserve">Typendruck
Radierung</t>
  </si>
  <si>
    <t xml:space="preserve">Verleger</t>
  </si>
  <si>
    <t xml:space="preserve">Hogenberg, Franz</t>
  </si>
  <si>
    <t xml:space="preserve">Paas
Dlugaiczyk 2005
Muller</t>
  </si>
  <si>
    <t xml:space="preserve">Bd. I, S. 217, Nr. P-108
S. 180–224
Bd. I, S. 39, Nr. 413-334.</t>
  </si>
  <si>
    <t xml:space="preserve">18,3 x 25,7</t>
  </si>
  <si>
    <t xml:space="preserve">Aufsess, Hans von und zu
Germanisches Nationalmuseum</t>
  </si>
  <si>
    <t xml:space="preserve">Nr. 2749
Nr. 1076</t>
  </si>
  <si>
    <t xml:space="preserve">Der zwölfjährige Waffenstillstand zwischen Spanien und den Niederlanden bedeutete für Brabant und Flandern zwar die Eingliederung in das spanische Herrschaftsgebiet, dennoch setzte der Magistrat Antwerpens große Hoffnungen in das Abkommen und bot deshalb unmittelbar nach der Unterzeichnung und Ratifizierung verschiedene Feierlichkeiten.[fn]Zu den Feierlichkeiten in Antwerpen siehe Dlugaiczyk 2005 S. 180–224.[/fn]Die Radierung zeigt das Antwerpener Rathaus, vor dessen Schaufassade eine kleine Bühne aufgebaut ist. Anlässlich der Unterzeichnung des Waffenstillstandvertrags fand&amp;nbsp;am 14. April 1609&amp;nbsp;eine öffentliche Verlesung der einzelnen Artikel statt, deren Inhalte der unter der Graphik befindliche Text erläutert. Nach mehreren akustischen Einlagen durch Trompeter, Stadtmusikanten und Glockengeläut betrat die Stadtobrigkeit das Gerüst, und der Sekretär Hendrik de Moy verlas das Abkommen über den Waffenstillstand. Daraufhin wurden Geschütze in der Stadt und auf den im Hafen liegenden Kriegsschiffen abgefeuert, und es folgten Bankette bis in die Nacht hinein. Als Simultandarstellung zeigt die Radierung zudem die Pechtonnen, die von Gilden und Zünften ab Einbruch der Dunkelheit in der ganzen Stadt entzündet wurden. An den Feierlichkeiten nahmen nicht nur Bewohner der südlichen Niederlande, sondern auch aus Middelburg, Holland und Zeeland teil, die ab 1648 zur unabhängigen Republik der Vereinigten Niederlande gehören sollten.Die Radierung befindet sich, mit einem anderen Text, auch in Hogenbergs Geschichtsblättern (siehe&amp;nbsp;HB 19102, Kapsel 1313). Das Werk erschien in unterschiedlichen Auflagen und Zusammenstellungen unter Federführung Franz Hogenbergs&amp;nbsp;und enthält Darstellungen zur Geschichte der Niederlande, Frankreichs und Deutschlands vor allem zwischen 1538 und 1610.[fn]Zu Hogenbergs Geschichtswerk Muller Bd. I, S. 39, Nr. 413. Das Blatt befindet sich dort unter Nr. 413-334.[/fn]ALS</t>
  </si>
  <si>
    <t xml:space="preserve">http://friedensbilder.gnm.de/sites/default/files/HB320_01.tif</t>
  </si>
  <si>
    <t xml:space="preserve">Eigentliche unnd kurtze Erklärung welcher gestalt nach getroffenem Stillstand auff 12. Jahr lang/ derselbe zu Antorff den 14. Aprilis Anno 1609. von dem Statthauß abgelesen unnd verkündigt/ und darauff allerley Frewdenspiel gehalten worden., HB 320, Kapsel 1220</t>
  </si>
  <si>
    <t xml:space="preserve">Eigentliche unnd kurtze Erklärung welcher gestalt nach getroffenem Stillstand auff 12. Jahr lang/ derselbe zu Antorff den 14. Aprilis Anno 1609. von dem Statthauß abgelesen unnd verkündigt/ und darauff allerley Frewdenspiel gehalten worden.</t>
  </si>
  <si>
    <t xml:space="preserve">http://friedensbilder.gnm.de/content/frieden_foto_order204ee2</t>
  </si>
  <si>
    <t xml:space="preserve">Allegorie auf den Frieden von Westfalen 1648</t>
  </si>
  <si>
    <t xml:space="preserve">RP-P-1926-236</t>
  </si>
  <si>
    <t xml:space="preserve">Stecher
Zeichner
Verleger</t>
  </si>
  <si>
    <t xml:space="preserve">Hollar, Wenzel
Schut, Cornelis
Galle, Johannes</t>
  </si>
  <si>
    <t xml:space="preserve">Pennington 1982
New Hollstein German
Muller
Wilmers 1996
Parthey 1963</t>
  </si>
  <si>
    <t xml:space="preserve">S. 69, Kat.-Nr. 467
Wenceslaus Hollar IV, S. 6, Nr. 990
Bd. IV, S. 201, Nr. 1959A
Nr. A88
S. 90, Nr. 467</t>
  </si>
  <si>
    <t xml:space="preserve">399 x 400</t>
  </si>
  <si>
    <t xml:space="preserve">Probedruck</t>
  </si>
  <si>
    <t xml:space="preserve">avant la lettre</t>
  </si>
  <si>
    <t xml:space="preserve">Die Weisheit zeigt Spanien das Bild des gottgesandten Friedens, den König Philipp IV. schließen soll, um nach dem Westfälischen Frieden zwischen dem Kaiser und Frankreich die Befriedung der Welt zu vollenden, &amp;nbsp;Zwietracht und Krieg endgültig zu überwinden, damit ein neues "Goldenes Zeitalter" auch die südlichen Niederlande erreicht. Pax, rechts mit dem Füllhorn, reicht den Ölzweig an Frankreich und das Reich, die sich über dem Globus umarmen. Minerva enthüllt Spaniens Haupt, dem ein Engel das Wappen einer Allianz der drei Reiche zeigt, ein putto bekämpft mit der Fackel Discordia und die Harpye. Gerechtigkeit, Künste und Wissenschaften sollen sich wieder aufrichten, und der halb gefesselte Flußgott weist auf die Schelde, Antwerpens Hoffnung auf Zugang zum Welthandel.&amp;nbsp;HMKFriedensbilder: Archiv Hans-Martin Kaulbach (Staatsgalerie Stuttgart)</t>
  </si>
  <si>
    <t xml:space="preserve">Information Rijksmuseum (http://hdl.handle.net/10934/RM0001.COLLECT.33066):- Hollstein: Zustand 1(3) avant la lettre--&amp;gt; eines der Wappenschilde ist noch nicht ausgefüllt (am Original prüfen)- handschriftliche Notiz unter dem Druck (in brauner Tinte): het original is verkogt in holland [...]"- Allegorie auf den Frieden von WEstfalen 1648, zentral der nackte Friede, dahinter Krieg (Bellona)- verteilt verschiedene allegorische Figuren wie Überfluss, Missgunst und Wahrheit (?)- dazugehöriges Textblatt in WissKI einfügen!</t>
  </si>
  <si>
    <t xml:space="preserve">http://friedensbilder.gnm.de/sites/default/files/RP-P-1926-236.jpg</t>
  </si>
  <si>
    <t xml:space="preserve">Allegorie auf den Frieden von Westfalen 1648, RP-P-1926-236</t>
  </si>
  <si>
    <t xml:space="preserve">Allegorie auf die 100-jährige Jubiläum der niederländischen Freiheit</t>
  </si>
  <si>
    <t xml:space="preserve">RP-P-OB-84.046</t>
  </si>
  <si>
    <t xml:space="preserve">Fokke, Simon
Meijer, Pieter</t>
  </si>
  <si>
    <t xml:space="preserve">Op de Hoek van de Voorburgwal en Molsteeg</t>
  </si>
  <si>
    <t xml:space="preserve">Muller
Atlas van Stolk 1895–1933</t>
  </si>
  <si>
    <t xml:space="preserve">Bd. II, S. 173, Nr. 3961a
Bd. III, S. 98, Nr. 3746</t>
  </si>
  <si>
    <t xml:space="preserve">237 x 172</t>
  </si>
  <si>
    <t xml:space="preserve">S. Fokke delin. et sculpsit, 1748.
P. Meyer excudit.</t>
  </si>
  <si>
    <t xml:space="preserve">Nr. 2228a</t>
  </si>
  <si>
    <t xml:space="preserve">Zwischen 1748 und 1749 entstanden drei Gedichtbände einerseits anlässlich des Aachener Friedens und andererseits der Hundertjahrfeier des Friedens von Münster.[fn]Siehe auch RP-P-OB-84.045.&amp;nbsp;Weiterführende Literatur unter anderem: Muller Bd. IV, Nr. 3961a&amp;nbsp;– Atlas van Stolk Nr. 3746&amp;nbsp;– Jensen 2015b, S. 7–9.[/fn] Für den Band&amp;nbsp;"Dichtkunstig gedenkteeken voor de Nederlandsche vryheid" (1748)[fn]Königliche Bibliothek Den Haag, KW 1754 C 110.[/fn] verfasste&amp;nbsp;Sybrand Feitama&amp;nbsp;unter dem Pseudonym&amp;nbsp;studio fovetur ingenium&amp;nbsp;ein einleitendes Gedicht, dass die Titelradierung von Simon Fokke&amp;nbsp;erläutert.Die drei Sammelwerke dienten nicht nur zur Feier der Friedensverträge, sondern auch zur Glorifizierung der niederländischen Vergangenheit und als Propagandainstrument der Orangisten. Die Statthalter aus dem Hause Oranien-Nassau hatten den Unabhängigkeitskampf der nördlichen Niederlande im 17. Jahrhundert getragen und führten die seit 1648 entstandene Republik der Vereinigten Niederlande bis zum Tod Wilhelm III.&amp;nbsp;Mit Wilhelm IV.&amp;nbsp;hatten die Niederlande seit 1747 nach der zweiten statthalterlosen Periode ihrer Geschichte nicht nur wieder einen oranischen Statthalter, sondern auch die Erblichkeit dieses Amtes anerkannt.&amp;nbsp;Die Radierung bezieht sich auf die Blütezeit der Republik seit dem Frieden von Münster und den Beginn des Goldenen Zeitalters. Von der Personifikation der Vorhersehung gehen zwei Strahlen aus, die die Wahrheit und die Personifikation der niederländischen Freiheit bescheinen. Sie sitzt unter einem Thron, dessen Baldachin mit Symbolen des niederländischen Unabhängigkeitskampfes verziert ist. Verbunden durch den Zweig eines Orangenbaums bekrönen die Büsten der Statthalter&amp;nbsp;Wilhelm I.,&amp;nbsp;Moritz&amp;nbsp;und&amp;nbsp;Frederik Hendrik&amp;nbsp;von Nassau-Oranien den Thron. Darunter sind die Wappen der seit 1648 unabhängigen nördlichen Provinzen angebracht. Auf dem niederländischen Löwen zu den Füßen der Frauenfigur liegt eine Flagge mit dem Konterfei&amp;nbsp;Wilhelms IV., der sich damit zum Garant des Goldenen Zeitalters der Republik stilisiert. Daneben liegen Symbole der Gegner während des Achtzigjährigen Kireges: Symbole des Papsttums und der spanischen Inquisition sowie Büsten des&amp;nbsp;spanischen Königs&amp;nbsp;und des&amp;nbsp;Herzogs von Alba. Während sich dieser Bereich der Radierung auf die nationale Geschichte bezieht, verweist der gallische Hahn auf das aktuelle Zeitgeschehen. Die beiden Wappentiere Frankreichs und der Niedelande tragen Olivenzweige mit sich, die den Friedensvertrag von Aachen visualisieren.&amp;nbsp;Das Blatt zeigt weiterhin verschiedene Friedenssymbole wie links des Thrones eine Personifikation des Gemeinwohls und die Segnungen des Friedens und in der linken unteren Ecke eine Allegorie auf die Dichtkunst, die einen Lorbeerkranz in die Höhe hält.ALS</t>
  </si>
  <si>
    <t xml:space="preserve">Gleiches Wasserzeichen wie bei Feuerwerksdarstellungen!Komposition ähnlich einem Stich von Erasmus Quellinus, siehe&amp;nbsp;Diels 2009, S. 109, Abb. 74Ist die Büste im Schatten Willem III.?&amp;nbsp;https://www.rijksmuseum.nl/nl/collectie/RP-P-1908-107&amp;nbsp;--&amp;gt; Ausgrenzung Willem II. und zu seiner Rolle siehe&amp;nbsp;Groenveld 2007, S. 150 und P. Geyl: Het stadhouderschap in de partijliteratuur onder de Witt. Amsterdam 1947; G.O. van de Klashorst. Metten schijn van monarchie getempert. De verdediging van het stadhouderschap in de partijliterauur 1650-1686, in: H.W. Blom en I.W. Wildenberg: Pieter de la court en zijn tijd (1618-1685). Aspecten van een veelzijdig publicist (Amsterdam/Maarssen 1986, S. 93-136; Eysten, Willem II 93-201. Van Nooten, Willem II, 104-171. Groenveld: Unie, religie en militie. Binnenlandse verhoudigen in de Nederlandse Republiek voor en na de Munsterse Vrede, in: De Zeventiende Eeuw 13 (1997), S: 67-87, v.a. 78.Dazu auch Groenveld 2007, S. 159-160:&amp;nbsp;- junger Statthalter wollte den Krieg weiterführen, es kam zu Handlungen der Oranier gegen die Beschlüsse der Generalstaaten- Willem wollten den Frieden so schnell wie möglich vom Tisch haben, indem er zusammen mit Frankreich den Krieg gegen Spanien wieder aufnahm um dann den Stuarts in England im Bürgerkrieg helfen zu können. Armee musste zu diesem Zweck auf Kriegskurs bleiben, obwohl 1643 etwas anderes beschlossen worden war--&amp;gt;die Spannungen resultierten 1650 in einer Belagerung Amsterdams durch das eigene Staatsheer, allerdings ohne Ergebnis, weil der Prins im November 1650 unerwartet plötzlich stirbtZu Alva in der Zeit des Aufstandes siehe&amp;nbsp;&amp;nbsp;D. Horst: Spotprenten op Alva (een inventarisatie en analyse), Universität Amsterdam 1988, nicht veröffentlichte doctoraalscriptie
ÜbersetzungÜber den TiteldruckDas Jahrhundert spricht.Gliebte FREIHEIT, die voll lodernder Sehnsucht,GOTTES ZUVERSICHT zum Rum, mir/mich, aus ihrem&amp;nbsp;Thron&amp;nbsp;gesunken [dalen= sinken, fallen; gedaalen = Partizip],Mit offenen Armen, als ihr Zeitspross wünscht zu empfangen!Wie jauchzt mein Geist mit Ihnen/sich, mit allen Ihren frohen Scharen,Um ihren Schutz, sich/Ihnen, in ihrer Gebutsstunde,&amp;nbsp;und selbst diese Stunde, vergönnt [vergunnen=vergönnen, erlauben, gestatt; vergund=Partizip], bei trotz der Staatsgefahren,in ihrer Beständigkeit bei dem Schütteln ihres Bodens!Recht sie, die seit eh und jeh Sie/Ihnen/sich in ihrer Schwachheit stärkte,Nicht dürftig/klein ihr Helden dann ihre Waffen hält/führt [3 Prsg. enk o.v.t.] (treu) verbunden;Recht ihnen, Ihr Prinzen, durch deren durch deren Treue man ihr Heil bewirkte,Verewigt in ihrem Chor, ja neuer Wundern Früchte,&amp;nbsp;Durch ihren JÜNGSTEN SPROSS; so tut man/sie, auf das mutige Brüllenihres&amp;nbsp;Gartenlöwen&amp;nbsp;[gemeint ist der holländische Löwe], sich/Ihnen/Sie zur Gunst, den kriegssüchtigen&amp;nbsp;Hahn&amp;nbsp;[gallischer Hahn],&amp;nbsp;Ehre FRISOS&amp;nbsp;Flagge&amp;nbsp;und&amp;nbsp;Klinge&amp;nbsp;die das Feld mit Schrecken erfüllen [vervullen= 1-3. Prs. Plural Präsens aktiv]beim Angebot des&amp;nbsp;Olivenzweigs&amp;nbsp;einen Ton des Friedens anschlagen.So lang ihr reiner GLAUBE, behauptet/durchgesetzt durch die GELEHRTHEIT,&amp;nbsp;zur Stütze ihres Tempels, sich auf&amp;nbsp;Zions&amp;nbsp;Festung [hoeksteen=Eckstein, Stütze; vest= Wall, Veste],und frei von schulschem Zwist und dweeponde? Falschheit,&amp;nbsp;ihr&amp;nbsp;Herz&amp;nbsp;der Gottheit weiht; so lang GEMEINWOHL [Gemeenebest]durch ihr Liebesgesetz [?Liefdewet] ihr Handelsschifffahrt tut blühen,vor/für/vorn(e) kneevlende ? Untreue graut, die freie Künste liebt;&amp;nbsp;Du sollst so lange Ge?, in ihren&amp;nbsp;troon, Lands&amp;nbsp;Welvaart&amp;nbsp;an zu grünen,Und NASSAUS HELDENKIND/SPRÖSSLING geliebt in der hohen Regierung.Sie bedecken Des Ibers&amp;nbsp;vierten Philips&amp;nbsp;seines&amp;nbsp;Vaters&amp;nbsp;Zorn,Im Marmor, durch den&amp;nbsp;Frieden, met ihrem geheiligten Kleid;&amp;nbsp;Noch zeichnet, das Ge?, im Triumph, nach dem prellen ihrer&amp;nbsp;Rute,ihre Chartaschändung [?handvest=Charta; schennis= Entweihung, Schändung] ihr GEMÜTSZWANG Zierde zertritt.So bleibt, als eisernes&amp;nbsp;Joch, ihr Marterzeug zerbrochen,Die&amp;nbsp;Ketzermütze&amp;nbsp;[ist der Kardinalshut gemeint?] verschopt?, des grausamen&amp;nbsp;Alvas&amp;nbsp;Bildgeschändet, und der&amp;nbsp;Altar&amp;nbsp;durch DANKBARKEIT entzündet,Da die edle DICHTKUNST, durch große Freud geschmeichelt,Ihre&amp;nbsp;Lorbeeren&amp;nbsp;singend flecht! Derweil, mit schnellen Flügeln,unerschütterliches [onwrikbaar?] LOB, geilt zu/nach/auf ihren erhabnen Rundgang,uns ihrer&amp;nbsp;Hoedren?&amp;nbsp;Tugend neutral/sächlich ich spüre!So muss Ge, Tag für Tag Ihnen/Ihr/sich koestrende? in ihrem Glanz,&amp;nbsp;Sodass GOTTES Almacht uns verwandle in b/hemellingen?,Durch Heil auf Heil verjüngt, ihr Jahrhundertriumphlied singen!1748. &amp;nbsp; &amp;nbsp; &amp;nbsp; &amp;nbsp; &amp;nbsp; &amp;nbsp; &amp;nbsp; &amp;nbsp; &amp;nbsp; &amp;nbsp; &amp;nbsp; &amp;nbsp; &amp;nbsp; &amp;nbsp; &amp;nbsp; &amp;nbsp; &amp;nbsp; &amp;nbsp; &amp;nbsp; &amp;nbsp; &amp;nbsp;STUDIO FOVETUR INGENIUM</t>
  </si>
  <si>
    <t xml:space="preserve">http://friedensbilder.gnm.de/sites/default/files/RP-P-OB-84.046.tif</t>
  </si>
  <si>
    <t xml:space="preserve">Allegorie auf die 100-jährige Jubiläum der niederländischen Freiheit, RP-P-OB-84.046</t>
  </si>
  <si>
    <t xml:space="preserve">Universitätsbibliothek Leiden</t>
  </si>
  <si>
    <t xml:space="preserve">Leiden</t>
  </si>
  <si>
    <t xml:space="preserve">710 B 12</t>
  </si>
  <si>
    <t xml:space="preserve">Herausgeber
Verleger
Verfasser</t>
  </si>
  <si>
    <t xml:space="preserve">Pseudonym
studio fovetur ingenium</t>
  </si>
  <si>
    <t xml:space="preserve">Phileleutherus
Asschenberg, Harmanus
Hulk, Jacob van
Meijer, Pieter
Feitama, Sybrand</t>
  </si>
  <si>
    <t xml:space="preserve">Jensen 2015b</t>
  </si>
  <si>
    <t xml:space="preserve">S. 7–9</t>
  </si>
  <si>
    <t xml:space="preserve">Universitätsbibliothek Leiden
Universitätsbibliothek Amsterdam</t>
  </si>
  <si>
    <t xml:space="preserve">Leiden
Amsterdam</t>
  </si>
  <si>
    <t xml:space="preserve">1222 B 15
OTM: OM 63-180</t>
  </si>
  <si>
    <t xml:space="preserve">Maatschappij Nederlandse Letterkunde
Bijzondere Collecties</t>
  </si>
  <si>
    <t xml:space="preserve">Gedichtband</t>
  </si>
  <si>
    <t xml:space="preserve">Standort UB Leiden:&amp;nbsp;Closed Stack 5</t>
  </si>
  <si>
    <t xml:space="preserve">http://friedensbilder.gnm.de/sites/default/files/Dichtkunstig_gedenkteeken_voor_de_Nederl.pdf</t>
  </si>
  <si>
    <t xml:space="preserve">http://friedensbilder.gnm.de/content/frieden_object1698d</t>
  </si>
  <si>
    <t xml:space="preserve">A 2010/7683 (KK)</t>
  </si>
  <si>
    <t xml:space="preserve">Kupferstich
Handschrift
Kolorierung</t>
  </si>
  <si>
    <t xml:space="preserve">Tusche (braun)</t>
  </si>
  <si>
    <t xml:space="preserve">Papier (auf Papier aufgezogen)</t>
  </si>
  <si>
    <t xml:space="preserve">nach 1763</t>
  </si>
  <si>
    <t xml:space="preserve">Schöningk, Johannes Ulrich
Rugendas, Jeremias Gottlob
Scheller, August
Rogg, Gottfried</t>
  </si>
  <si>
    <t xml:space="preserve">Ausst. Kat. Stuttgart 2012
Jesse 1981
Ausst. Kat. Augsburg 2000
Ausst. Kat. Augsburg 2005</t>
  </si>
  <si>
    <t xml:space="preserve">S. 135, Kat.-Nr. 86
S. 92-93
S. 112
S. 639, Kat.-Nr. IX.16 (Helmut Gier)</t>
  </si>
  <si>
    <t xml:space="preserve">53,4 x 36</t>
  </si>
  <si>
    <t xml:space="preserve">Das vorliegende Blatt setzt sich aus mehreren Werken zusammen. Das Hauptbild im oberen Teil zeigt die Übergabe der Augsburger Konfession, die in den handschriftlichen Notizen erläutert wird. Die aufgeklebten Kartuschen und das kolorierte Versatzstück stammen aus anderen Gedenkblättern. Das Augsburger Friedensgemälde von 1656 des Monogrammisten HIBF lag der Darstellung des bischöflichen Residenzsaales zugrunde.[fn]Siehe Staats- und Stadtbibliothek Augsburg, Inv.-Nr. 2S115 0026.[/fn]&amp;nbsp;Verwendet wurde allerdings eine Kopie des Stiches, die sich ebenfalls im Germanischen Nationalmuseum befindet (HB 4502). Beide gehen auf den 'Urtypus' dieser Darstellung zurück, den Michael Herr (HB 6895) entwarf. Während beide Kartuschen aus dem Augsburger Friedensgemälde von 1763 (HB 6717) stammen, handelt es sich bei dem Mittelstück um die Innenseite eines aufgeklebten Faltbriefes mit den 21 Artikeln der Confessio Augustana&amp;nbsp;(HB 26676). Diese Form der Gedenkgraphik bildete sich unter den Augsburger Kupferstechern im Rahmen der Zweihundertjahrfeier der Confessio aus und stammt in diesem Fall von Gottfried Rogg.&amp;nbsp;Kaulbach 2013, S. 135, Kat.-Nr. 86.&amp;nbsp;– Marsch 1980, S. 95–96.&amp;nbsp;ALS&amp;nbsp;</t>
  </si>
  <si>
    <t xml:space="preserve">&amp;nbsp;</t>
  </si>
  <si>
    <t xml:space="preserve">Die Vngeänderte Augspurgische Confesion oder Glaubens Bekantnuß, wie sie auß H. Schrifft in XXI Lehr-Artickeln verfasset auff dem grossen Reichs Tag zu Augspurg Ao 1530 d. 25 Juny als des nechst. gefolgten Tags nach Johannis des Taüffers. an einem Sambstag vmb 3 Uhr nachmittag in dem Bischöfflichen Saal auff dem Fronhoff, weiland denen Allerhöchst=Höchst und Hochlebe: Kayser. Carolo V. König Ferdinando. Chur:Fürsten und Ständen des gantzen H. Röm. Reichs. von Etlichen Chur:Fürsten. Stätten und Ständen. die Protestierende genant. in vnterthänigstem gehorsamb. zue teutsch und Latein. übergeben von dem Sächsichen Canzler D. Christian Bair. in Teütscher Sprach. offentlich abgelesen und mit vnterschrifft und Sigellen der Protestierenden. Ihrer Kay: May: Secretario.Friedens Gemählde auf das Jahr 1656Tevt 1. Petri, 3.v.15Seyd allezeit bereit zur Verantwortung jederman der Grundfordert der Hoffnung die in euch ist.Es&amp;nbsp;wird vorgestellt die Ubergab der A:C: wie dieselbige. 1530. d:25.Jun: Nachmittags um 3 Uhr allhinn auf der Pfalz, allwo der Kaiser residirte in dem Bischöflichen Saal, von dem ganzen Reichs Collegio abgelesen worden Es ist die Augsburgische Confession ein symbolisches Buch der Evangelischen Kirchen in welchem enthalten die vornehmstn Glaubens Artikel und einige Päbstische Misbräuche durch Hylfe des heil: Geistes aus Befehl Ihro kaiserl: Maj: Caroli V von den protestierenden Ständen D. Matin Luther und Phillippi Melanchtonis aus heil. Schrift zusammenverfasset, wohl erwogen von Churfürst Johann zu Sachsen, und deßen Religions verwandten unterschrieben, in Gegenwart des Kaisers, Röm: Königs Ferdinandi, Churfürsten, Fürsten u: Ständen, durch den Churfürstl: Sächsischen Canzler in teutscher Sprach abgelesen, Ihro Majest: über reichet, Zu dem Ende, damit die Protestierende deroselben Befehl Gehorsam leisten, ihres Glaubens Rechenschaft geben, der wiederwärtigen Lästerungen von sich ablehen und gründlich darthun möchten, daß sie rechtmäßige und nothdringende Ursachen gehabt, in ihren Landen und Städten den Kirchen Staat zu reformiren, und die Misbräuche abzustellenMATW</t>
  </si>
  <si>
    <t xml:space="preserve">http://friedensbilder.gnm.de/sites/default/files/Objekt_SGS_A_2010_7683_72DPI.jpg</t>
  </si>
  <si>
    <t xml:space="preserve">Verlesung der Augsburger Konfession vor Kaiser Karl V. am 25. Juni 1530, A 2010/7683 (KK)
Verlesung der Augsburger Konfession vor Kaiser Karl V. am 25. Juni 1530, A 2010/7683 (KK)
Verlesung der Augsburger Konfession vor Kaiser Karl V. am 25. Juni 1530, A 2010/7683 (KK)</t>
  </si>
  <si>
    <t xml:space="preserve">Verlesung der Augsburger Konfession vor Kaiser Karl V. am 25. Juni 1530
Verlesung der Augsburger Konfession vor Kaiser Karl V. am 25. Juni 1530
Verlesung der Augsburger Konfession vor Kaiser Karl V. am 25. Juni 1530</t>
  </si>
  <si>
    <t xml:space="preserve">http://friedensbilder.gnm.de/content/frieden_foto_order12053a</t>
  </si>
  <si>
    <t xml:space="preserve">200-Jahrfeier des Augsburger Reichs- und Religionsfriedens am 25. September 1755</t>
  </si>
  <si>
    <t xml:space="preserve">Med Colmar 83</t>
  </si>
  <si>
    <t xml:space="preserve">Medailleur
Münzmeister</t>
  </si>
  <si>
    <t xml:space="preserve">Werner, Peter Paul
Förster, Johann Martin</t>
  </si>
  <si>
    <t xml:space="preserve">Maué / Fischer 2014
Kat. Sachsen-Anhalt 2015
Kat. Nationalmuseum Prag 2011
Europische mercurius
Riedner 1776
Schütz 1782
Will 1764
Hagen 1771
Aukt. Kat. Slg. Erlanger 1989
Schnell 1983
Pax in Nummis 1913
Kat. Philadelphia 1960
Aukt. Kat. Schott-Wallerstein Münzhandlung / Sally Rosenberg 1904
Aukt. Kat. Slg. Whiting 1983
Acta Historico-Ecclesiastica 1755</t>
  </si>
  <si>
    <t xml:space="preserve">S. 269–270, Kat.-Nr. 337
Bd. I.2, S. 840, Kat.-Nr. 1170
S. 136, Kat.-Nr. 88
Bd. LXVI, S. 205–206
S. 103, Nr. 422
S. 152–153, Nr. CXIX
S. 31–32
S. 447, Nr. 40
Nr. 2426
S. 221, Kat.-Nr. 248
S. 145, Nr. 585
Kat.-Nr. 307–308
S. 159, Nr. 2057
S. 67, Nr. 504
S. 874–875</t>
  </si>
  <si>
    <t xml:space="preserve">44
29,14</t>
  </si>
  <si>
    <t xml:space="preserve">Jubiläumsmedaille</t>
  </si>
  <si>
    <t xml:space="preserve">P. P. W.</t>
  </si>
  <si>
    <t xml:space="preserve">CAROLVSV. ET. FRANCISCVS. I. IMPERATORES. AVGVSTI.
ILLO DANTE HOC FIRMANTE 
STABILIS ERIT
PAX RELI GIOSA</t>
  </si>
  <si>
    <t xml:space="preserve">2
Colmar 65–88</t>
  </si>
  <si>
    <t xml:space="preserve">Auf der Vorderseite ist&amp;nbsp;Kaiser&amp;nbsp;Karl V.&amp;nbsp;– unter dessen Herrschaft 1555 der&amp;nbsp;Augsburger Religionsfriede&amp;nbsp;geschlossen wurde – dem amtierenden Kaiser&amp;nbsp;Franz I.&amp;nbsp;gegenübergestellt. Das Chronogramm der Legende&amp;nbsp;IILO&amp;nbsp;DANTE HOC&amp;nbsp;FIRMANTE STABILIS ERIT [weil jener ihn gewährt und dieser ihn sichert, wird er (der Religionsfriede) dauerhaft sein] ergibt die Jahreszahl 1755. Somit stellt sich&amp;nbsp;Franz I.&amp;nbsp;anlässlich der 200-Jahrfeier der&amp;nbsp;Pax Augustana&amp;nbsp;in die direkte Nachfolge des friedensstiftenden römisch-deutschen Kaisers.Die&amp;nbsp;zweite Säkularfeier&amp;nbsp;wurde in Nürnberg am 25. September 1755 begangen. Der signierende Medailleur&amp;nbsp;Peter Paul Werner&amp;nbsp;war dort seit 1730 tätig.1 Kat. Prag 2011, Kat.-Nr. 88, S. 136.&amp;nbsp;–&amp;nbsp;Grieb 2007, Bd. II, S. 1658.&amp;nbsp;–&amp;nbsp;Maué / Fischer 2014, S. 269–270, Kat.-Nr. 337.&amp;nbsp;ALS</t>
  </si>
  <si>
    <t xml:space="preserve">http://friedensbilder.gnm.de/sites/default/files/Med-Colmar83_01.tif
http://friedensbilder.gnm.de/sites/default/files/Med-Colmar83_04.tif</t>
  </si>
  <si>
    <t xml:space="preserve">200-Jahrfeier des Augsburger Reichs- und Religionsfriedens am 25. September 1755, Med Colmar 83
200-Jahrfeier des Augsburger Reichs- und Religionsfriedens am 25. September 1755, Rückseite, Med Colmar 83</t>
  </si>
  <si>
    <t xml:space="preserve">200-Jahrfeier des Augsburger Reichs- und Religionsfriedens am 25. September 1755
200-Jahrfeier des Augsburger Reichs- und Religionsfriedens am 25. September 1755, Rückseite</t>
  </si>
  <si>
    <t xml:space="preserve">http://friedensbilder.gnm.de/content/frieden_foto_order20356c</t>
  </si>
  <si>
    <t xml:space="preserve">Hundertjahrfeier der Confessio Augustana</t>
  </si>
  <si>
    <t xml:space="preserve">Med 14495</t>
  </si>
  <si>
    <t xml:space="preserve">Maué 2008
Wiêcek 1962
Kat. Philadelphia 1960
Schnell 1983
Aukt. Kat. Schott-Wallerstein Münzhandlung / Sally Rosenberg 1904
Kat. Sachsen-Anhalt 2015
Aukt. Kat. Slg. Whiting 1983
Aukt. Kat. Karl Kreß Nr. 115
Aukt. Kat. Heidrun Höhn Nr. 51</t>
  </si>
  <si>
    <t xml:space="preserve">S. 62, Nr. 16
S. 105, Nr. 56
Kat.-Nr. 69/70
S. 144, Kat.-Nr. 72
Nr. 1546
Bd. I.1, S. 513, Kat.-Nr. 730
Nr. 119
Nr. 118
S. 14, Nr. 4076</t>
  </si>
  <si>
    <t xml:space="preserve">56
47,4</t>
  </si>
  <si>
    <t xml:space="preserve">Med Merkel 3.1.3</t>
  </si>
  <si>
    <t xml:space="preserve">Silber, Dm. 56 mm</t>
  </si>
  <si>
    <t xml:space="preserve">S D </t>
  </si>
  <si>
    <t xml:space="preserve">Umschrift (zweizeilig)
Inschrift</t>
  </si>
  <si>
    <t xml:space="preserve">VERBVM DOMINI MANET IN AETERNVM / DEN 25 IVNY ANNO 1530.
IOHANNS CHVRFVRST ZV SACHSSEN THVT BEKENNEN FREY AVS HELDENMVTH: DAS DIE LEHR SO ER VBERGEBEN, SEY DIE RICHTISCHNVR ZVM EWIGEN LEBEN. DEN 25 IVNY Anno 1630</t>
  </si>
  <si>
    <t xml:space="preserve">4
2.13</t>
  </si>
  <si>
    <t xml:space="preserve">Die Vorderseite zeigt&amp;nbsp;Johann den Beständigen&amp;nbsp;umgeben von den Wappen der Kurwürde sowie der des Herzogtums Sachsen und der Städte Meissen und Thüringen. Das Motto "Verbum Domini Manet In Aeternum" geht auf I Petr 24–25 zurück und taucht in den frühen 1520er Jahren am sächsischen Hof auf. Es wurde zum offiziellen Leitspruch des Schmalkaldischen Bundes und später häufiger Bestandteil der Reformationsrezeption.Maué 2008, S. 62, Kat.-Nr. 16.&amp;nbsp;– Fritz 2004, S. 75 und S. 361, Kat.-Nr. 48.&amp;nbsp;– Stopp 1969.ALS&amp;nbsp;</t>
  </si>
  <si>
    <t xml:space="preserve">http://friedensbilder.gnm.de/sites/default/files/Med14495_01.tif
http://friedensbilder.gnm.de/sites/default/files/Med14495_03.tif</t>
  </si>
  <si>
    <t xml:space="preserve">Hundertjahrfeier der Confessio Augustana, Vorderseite, Med 14495
Hundertjahrfeier der Confessio Augustana, Rückseite, Med 14495</t>
  </si>
  <si>
    <t xml:space="preserve">Hundertjahrfeier der Confessio Augustana, Vorderseite
Hundertjahrfeier der Confessio Augustana, Rückseite</t>
  </si>
  <si>
    <t xml:space="preserve">http://friedensbilder.gnm.de/content/frieden_foto_order204f44</t>
  </si>
  <si>
    <t xml:space="preserve">Medaille auf die Zweihunderjahrfeier des Augsburger Religionsfriedens</t>
  </si>
  <si>
    <t xml:space="preserve">Med Colmar 1896</t>
  </si>
  <si>
    <t xml:space="preserve">Ausst. Kat. Augsburg 2005
Maué / Fischer 2014
Schnell 1983
Pax in Nummis 1913
Kat. Philadelphia 1960
Ausst. Kat. Münster 1988a
Aukt. Kat. Karl Kreß Nr. 115
Steiger 1998
Aukt. Kat. Slg. Whiting 1983
Kat. Sachsen-Anhalt 2015
Acta Historico-Ecclesiastica 1755
Will 1764</t>
  </si>
  <si>
    <t xml:space="preserve">S. 642–643, Kat.-Nr. IX.21 (Stefan W. Römmelt)
S. 270-271, Kat.-Nr. 338
S. 221-222, Nr. 249
S. 231, Nr. 961
Kat.-Nr. 313–314
S. 252, Kat.-Nr. 265A
Nr. 385
S. 440
S. 67, Nr. 505
Bd. I.2, S. 840, Kat.-Nr. 1171
S. 874–875
S. 25–26</t>
  </si>
  <si>
    <t xml:space="preserve">36
15,11</t>
  </si>
  <si>
    <t xml:space="preserve">Med 14926</t>
  </si>
  <si>
    <t xml:space="preserve">Gips-Abdruck; Dm. 34 mm; 3,64 g</t>
  </si>
  <si>
    <t xml:space="preserve">25
16</t>
  </si>
  <si>
    <t xml:space="preserve">P. P. W. </t>
  </si>
  <si>
    <t xml:space="preserve">PACIS RELIGIOSAE PERENNITAS
D.XXV.SEPT.MDLV.
TRIPLICI COPVLA
MEMORIAE BIS SAECVLARI MDCCLV
AVG CONFESSIO BIBLIA PAX RELIGIOSA</t>
  </si>
  <si>
    <t xml:space="preserve">Colmar 65-88</t>
  </si>
  <si>
    <t xml:space="preserve">Auf der Vorderseite steht die geharnischte Germania mit kaiserlichem Schild vor einem Friedenstempel, dessen Tore nach antiker Tradition in Friedenszeiten geschlossen sind. Der mit dem Füllhorn heraneilende Putto verweist in Verbindung mit der Umschrift [beständige Dauer des Religionsfriedens] auf die wirtschaftliche Blüte und Stabilität des Landes in Friedenszeiten.Die Rückseite zeigt die drei 'Fundamente' des allgemeinen Reichsfriedens: die Confessio Augustana, die Heilige Schrift und den Religionsfrieden. Die beiden Siegel am dritten aufgeklappten Buch deuten auf zwei Dokumente, die die Pax Religiosa wahren. Einerseits bestätigte der Westfälische Friede&amp;nbsp;(Pax&amp;nbsp;Westphalica) den Augsburger Religionsfrieden.&amp;nbsp;Andererseits regulierte die seit 1519 mit Amtsantritt Kaiser Karls V. bestehende Wahlkapitulation (Capitulatio Caesarea) die Befugnisse des deutschen Herrschers.Zu einer weiteren Jubiläumsmedaille von Peter Paul Werner auf das Jahr 1755 siehe&amp;nbsp;Med Colmar 83.Maué / Fischer 2014, S. 270–271, Kat.-Nr. 338.&amp;nbsp;–&amp;nbsp;Kat. Sachsen-Anhalt 2015, Bd. I.2, S. 840–841, Kat.-Nr. 1171.ALS&amp;nbsp;</t>
  </si>
  <si>
    <t xml:space="preserve">http://friedensbilder.gnm.de/sites/default/files/Medc1896_1.tif
http://friedensbilder.gnm.de/sites/default/files/Medc1896_2.tif</t>
  </si>
  <si>
    <t xml:space="preserve">B 8, Nr. 149/3</t>
  </si>
  <si>
    <t xml:space="preserve">Ausgeführte Medaille</t>
  </si>
  <si>
    <t xml:space="preserve">Medaille auf die Zweihunderjahrfeier des Augsburger Religionsfriedens, Vorderseite, Med Colmar 1896
Medaille auf die Zweihunderjahrfeier des Augsburger Religionsfriedens, Rückseite, Med Colmar 1896</t>
  </si>
  <si>
    <t xml:space="preserve">Medaille auf die Zweihunderjahrfeier des Augsburger Religionsfriedens, Vorderseite
Medaille auf die Zweihunderjahrfeier des Augsburger Religionsfriedens, Rückseite</t>
  </si>
  <si>
    <t xml:space="preserve">http://friedensbilder.gnm.de/content/frieden_object15f617</t>
  </si>
  <si>
    <t xml:space="preserve">http://friedensbilder.gnm.de/content/frieden_foto_order204fcb</t>
  </si>
  <si>
    <t xml:space="preserve">Steckenreiterklippe auf den Nürnberger Friedensexekutionskongress</t>
  </si>
  <si>
    <t xml:space="preserve">Med Merkel 1.3.34</t>
  </si>
  <si>
    <t xml:space="preserve">Maué / Fischer 2014
Dethlefs 1996
Kaster / Steinwascher 1996
Ausst. Kat. Osnabrück 1986
Laufhütte 1998
Theatrum Europaeum</t>
  </si>
  <si>
    <t xml:space="preserve">S. 115-116, Kat.-Nr. 123
S. 102–103
S. 102, Nr. 2
S. 60
S. 356
Bd. VI, Sp. 1075a</t>
  </si>
  <si>
    <t xml:space="preserve">22
2,88</t>
  </si>
  <si>
    <t xml:space="preserve">VIVAT FERDINANDus III: ROM: IMP: VIVAT.
FRIEDEN GEDÄCHT-NUS. IN NURNB:
1650</t>
  </si>
  <si>
    <t xml:space="preserve">zentriert
im Münzbild</t>
  </si>
  <si>
    <t xml:space="preserve">13
11</t>
  </si>
  <si>
    <t xml:space="preserve">Die heute noch so bezeichnete Steckenreiterklippe hat ihren Ursprung in den Feierlichkeiten anlässlich des Nürnberger Friedensexekutionskongresses. Durch das Theatrum Europaeum sowie die Friedensdichtungen von Johann Klaj[fn]“Der Reiter ist ein Kind / das Pferd ein langer Stecken/ das sol ein Rappe seyn / diß hier und jens sein Schecken/ das ein Podolisch Roß; die junge Reiterey reit auf den Weinmarckt zu; Sie rücket nun herbey und wird vom Friedefürst / weil sie dem Fried geholdet/ mit neuem Friedensgeld gebnadet und besoldet: das Münzgepräge bringt dem Kaiser einen Gruß/ dann einen Knaben zeigt / der reit und geht zu Fuß.” Aus “Geburtstag des Friedens”, S. 63–64.[/fn] und Sigmund von Birken&amp;nbsp;sind wir bestens über den Entstehungszusammenhang informiert.
In Nürnberg fanden in den Jahren 1649/50 mehrere Festivitäten statt, zu denen auch das große Feuerwerk des kaiserlichen Gesandten Ottavio Piccolomini zählte (siehe hierfür&amp;nbsp;HB 907, Kapsel 1220). Im Anschluss daran gab es weitere kleine Feste, etwa ein Dankesbankett für die jüngeren Mitglieder der Patrizierfamilien, die vor dem Abschießen des Feuerwerks Birkens Schauspiel&amp;nbsp;Teutscher KriegsAb- und Friedens Einzug&amp;nbsp;aufgeführt hatten. Infolge eines Gerüchts ritt ein Teil der Stadtjugend am Sonntag nach dem 4. Juli zur Unterkunft Piccolominis, in der Hoffnung einen vermeintlich angekündigten Friedenspfennig zu erhalten. Auf diesen Wunsch ging der Herzog von Amalfi ein und ließ eine Woche später die Klippen verteilen. Von diesen Steckenreiterklippen haben sich zahlreiche erhalten, wie sich der Beschreibung bei Georg Andreas Will entnehmen lässt, denn man trage die “Gedächtniß-Pfenningen” auch zu seiner Zeit noch als Erinnerungsstück bei sich.[fn]Will 1764, S. 353.[/fn]
Die Klippe enthält auf der Vorderseite eine Widmung an Kaiser Ferdinand III.&amp;nbsp;und zeigt auf der Rückseite einen Knaben mit Mütze, knielanger Hose und Jäckchen, der sein Steckenpferd mit einem Stock antreibt.
ALS
</t>
  </si>
  <si>
    <t xml:space="preserve">http://friedensbilder.gnm.de/sites/default/files/Med Merkel1.3.34_1.tif
http://friedensbilder.gnm.de/sites/default/files/Med Merkel1.3.34_2.tif</t>
  </si>
  <si>
    <t xml:space="preserve">Die heute noch so bezeichnete Steckenreiterklippe hat ihren Ursprung in den Feierlichkeiten anlässlich des Nürnberger Friedensexekutionskongresses. Durch das Theatrum Europaeum sowie die Friedensdichtungen von&amp;nbsp;Johann Klaj&amp;nbsp;und&amp;nbsp;Sigmund von Birken&amp;nbsp;sind wir bestens über den Entstehungszusammenhang informiert.In Nürnberg fanden in den Jahren 1649/50 mehrere Festivitäten statt, zu denen auch das große Feuerwerk des kaiserlichen Gesandten&amp;nbsp;Ottavio Piccolomini&amp;nbsp;zählte. Im Anschluss daran gab es weitere kleine Feste, etwa ein Dankesbankett für die jüngeren Mitglieder der Patrizierfamilien, die vor dem Abschießen des Feuerwerks Birkens Schauspiel&amp;nbsp;Teutscher KriegsAb- und Friedens Einzug&amp;nbsp;aufgeführt hatten. Infolge eines Gerüchts ritt ein Teil der Stadtjugend am Sonntag nach dem 4. Juli zur Unterkunft Piccolominis, in der Hoffnung einen vermeintlich angekündigten&amp;nbsp;Friedenspfennigzu erhalten. Auf diesen Wunsch ging der Herzog von Amalfi ein und ließ eine Woche später die Klippen verteilen. Von diesen Steckenreiterklippen haben sich zahlreiche erhalten, wie sich der Beschreibung bei&amp;nbsp;Georg Andreas Will&amp;nbsp;entnehmen lässt, denn man trage die ”Gedächtniß-Pfenningen“ auch zu seiner Zeit noch als Erinnerungsstück bei sich.Die Klippe enthält auf der Vorderseite eine Widmung an Kaiser&amp;nbsp;Ferdinand III.&amp;nbsp;und zeigt auf der Rückseite einen Knaben mit Mütze, knielanger Hose und Jäckchen, der sein Steckenpferd mit einem Stock antreibt.ALS</t>
  </si>
  <si>
    <t xml:space="preserve">Steckenreiterklippe auf den Nürnberger Friedensexekutionskongress, Vorderseite, Med Merkel 1.3.34
Steckenreiterklippe auf den Nürnberger Friedensexekutionskongress, Rückseite, Med Merkel 1.3.34</t>
  </si>
  <si>
    <t xml:space="preserve">https://friedensbilder-neu.gnm.de/sites/default/files/2019-06/Med-Merkel1-3-1.png
https://friedensbilder-neu.gnm.de/sites/default/files/2019-06/Med-Merkel1-3-2.png
https://friedensbilder-neu.gnm.de/sites/default/files/2019-06/Med-Merkel1-3-doppel.png</t>
  </si>
  <si>
    <t xml:space="preserve">Steckenreiterklippe auf den Nürnberger Friedensexekutionskongress, Vorderseite
Steckenreiterklippe auf den Nürnberger Friedensexekutionskongress, Rückseite</t>
  </si>
  <si>
    <t xml:space="preserve">http://friedensbilder.gnm.de/content/frieden_foto_order1f9423</t>
  </si>
  <si>
    <t xml:space="preserve">Med Merkel 1.3.1</t>
  </si>
  <si>
    <t xml:space="preserve">Böhrer, Conrad</t>
  </si>
  <si>
    <t xml:space="preserve">Kat. Sachsen-Anhalt 2015
Kat. Philadelphia 1960
Forster 1910
Aukt. Kat. Slg. Ampach 1833/1834
Aukt. Kat. Adolph Hess Nachf. Nr. 121
Aukt. Kat. Slg. Whiting 1983
Pax in Nummis 1913</t>
  </si>
  <si>
    <t xml:space="preserve">Bd. I.2, S. 835, Kat.-Nr. 1161
Kat.-Nr. 317–318
S. 20, Nr. 124
Bd. I, S. 125, Nr. 1618
S. 37, Nr. 711
S. 66, Nr. 497
S. 24, Nr. 1265</t>
  </si>
  <si>
    <t xml:space="preserve">29
3,64</t>
  </si>
  <si>
    <t xml:space="preserve">Med Merkel 5.2.42</t>
  </si>
  <si>
    <t xml:space="preserve">6,97 g, Dm. 27 mm, Gold</t>
  </si>
  <si>
    <t xml:space="preserve">B.</t>
  </si>
  <si>
    <t xml:space="preserve">MEMORIA PACIS RELIG. SECVLARIS. AVG. VIND. 1755.
Recess. Imp. D. 25. SEPT. 1555.
Religionis Pax.
POST ARMA SPLENDIDIOR.</t>
  </si>
  <si>
    <t xml:space="preserve">11
2.13</t>
  </si>
  <si>
    <t xml:space="preserve">Die Medaille entstand anlässlich der Zweihundertjahrfeier des Augsburger Religionsfriedens. Im Unterzeichnungsort wurde&amp;nbsp;– im Gegensatz zu größeren Teilen Deutschlands – keine zusätzliche Jubiläumsfeier abgehalten. Diese fand am Augsburger Hohen Friedensfest am 8. August statt, welches sich in seiner Ausprägung auch nicht von den Jahren zuvor unterschied. Dahingegen richtete man trotz des katholischen Herrschers Friedrich August II. vor allem in Sachsen große Feierlichkeiten aus und schmückte die Schlosskirche zu Wittenberg in barocker Manier mit Schaugerüsten.[fn]Überliefert sind die Feierlichkeiten durch Christian Sigismund Georgi,&amp;nbsp;Wittenbergische Jubel=Geschichte&amp;nbsp;[...], Wittenberg 1756. Eine Besonderheit sind die Kupferstiche, die die ephemeren Aufbauten und weitere Details der Feierlichkeiten illustrieren, fehlen sie doch in anderen Jubiläumspublikationen des Jahres 1755.[/fn]Die Vorderseite zeigt das in Rocailleformen gefasste Stadtwappen mit der typischen Zirbelnuss. Die beiden Schriftstücke beziehen sich auf den zweigeteilten Aufbau des Augsburger Reichs- und Religionsfriedens.[fn]Der "Recess" meint die allgemein politischen Belange der Reichsexekutionsordnung, wohingegen die ersten Artikel des Reichsgesetztes von 1555 den Religionsfrieden manifestieren.[/fn]&amp;nbsp;Römmelt 2005, S. 260–262.&amp;nbsp;–&amp;nbsp;Kat. Sachsen-Anhalt 2015, Bd. I.2, S. 835, Kat.-Nr. 1161.ALS</t>
  </si>
  <si>
    <t xml:space="preserve">http://friedensbilder.gnm.de/sites/default/files/MedMerkel1.3.1_01.tif
http://friedensbilder.gnm.de/sites/default/files/MedMerkel1.3.1_02.tif</t>
  </si>
  <si>
    <t xml:space="preserve">Medaille auf die Zweihunderjahrfeier des Augsburger Religionsfriedens, Vorderseite, Med Merkel 1.3.1
Medaille auf die Zweihunderjahrfeier des Augsburger Religionsfriedens, Rückseite, Med Merkel 1.3.1</t>
  </si>
  <si>
    <t xml:space="preserve">http://friedensbilder.gnm.de/content/frieden_foto_order204fd0</t>
  </si>
  <si>
    <t xml:space="preserve">Testobjekt</t>
  </si>
  <si>
    <t xml:space="preserve">Per la pace dell'Italia. </t>
  </si>
  <si>
    <t xml:space="preserve">Biblioteca Nazionale Centrale Vittorio Emanuele III</t>
  </si>
  <si>
    <t xml:space="preserve">Neapel</t>
  </si>
  <si>
    <t xml:space="preserve">74.C.16(3)</t>
  </si>
  <si>
    <t xml:space="preserve">Drucker</t>
  </si>
  <si>
    <t xml:space="preserve">Raillard, Giacomo</t>
  </si>
  <si>
    <t xml:space="preserve">Fortgeschritten</t>
  </si>
  <si>
    <t xml:space="preserve">Verlagsadresse</t>
  </si>
  <si>
    <t xml:space="preserve">Nella stamperia di Giacomo Raillard</t>
  </si>
  <si>
    <t xml:space="preserve">http://friedensbilder.gnm.de/sites/default/files/74C16(3.tif</t>
  </si>
  <si>
    <t xml:space="preserve">Friedenszeit
Der Frieden, der in Europa im Jahr 1697 mit dem Abschluss des Vertrags von Rijswijk eintritt, wird vielerorts mit Festen und festlichem Schmuck gefeiert. Im spanischen Neapel kündigt der Vizekönig Luis Francisco de la Cerda, Herzog von Medinaceli, große Feierlichkeiten an, mit denen die neuen Friedenszeiten im Reich bekanntgegeben werden sollen. Allerdings wird die offizielle Verkündigung des politischen Friedens auf den Januar 1698 verschoben. Zwischen dem 3 und 4.&amp;nbsp;Januar ist es endlich so weit: Die Feierlichkeiten beginnen am Königspalast, um sich auf den Platz vor dem Palast und die ganze Stadt auszubreiten und dauern eine ganze Woche. In der Cappella Reale und in den wichtigsten Kirchen der Stadt singt man das Te Deum. Der Frieden wird mit Festbeleuchtung, Feuerwerken, Banketten und musikalischen Darbietungen (Instrumentalmusik und Kantaten) verkündet. So wird auch die Kantate zu fünf Stimmen „Per la pace dell'Italia“ mit einem von Aniello de Fabricatore verfassten Libretto aufgeführt. Zu den fünf handelnden Personen gehören Marte (Mars, Tenor), Giustizia (Gerechtigkeit, Alt), Zelo (Eifer, Bass), Pace (Frieden, Sopran) und Partenope (Parthenope, zweiter Sopran).
Der Text behandelt das Motiv der Suche nach europäischer Eintracht im Verbund gegen einen gemeinsamen Feind und ruft zum Krieg gegen das osmanische Reich auf. Im Mittelpunkt jedoch steht Pace, die Personifikation des Friedens. Pace, die für die erfolgte Versöhnung steht, ist es zusammen mit Giustizia und Zelo – Eigenschaften, die den Vizekönig auszeichnen – gelungen, Mars zu bezwingen und Parthenope wieder erstrahlen zu lassen. Beschrieben werden die Wohltaten des Friedens, die Zufriedenheit, die das Königreich Neapel dank der Tugenden seines Herrschers genießt sowie die Freude über die neue Friedenszeit.
Die Partitur ist nicht erhalten, aber einige im Libretto enthaltenen Angaben des Dichters ermöglichen eine Vorstellung von ihrer musikalischen Gestaltung. Zu Beginn rühmt Il Mondo (die Welt, die vom fünfstimmigen Ensemble aller Personen dargestellt wird) den neuen Frieden, „che piace“ (der gefällt), „che alletta“ (der lockt) und als einziger allumfassendes Wohl verspricht. In der ersten zweistimmigen Arie besingen Giustizia und Pace ihre Umarmung und das Glück, wieder vereint zu sein. Marte beklagt die neuen Friedensbeschlüsse, aber Zelo antwortet ihm, nur die Vereinigung von Giustizia und Pace könne dafür sorgen, dass die Türen des Janustempels geschlossen und Ruhe, Zufriedenheit und die Wonnen des Friedens in die Welt zurückkehren würden. Namentlich die Angabe zu Beginn des Stücks verlangt, dass eine „sinfonia tutta allegra“ (eine fröhliche Sinfonie) dem Frohlocken und festlichen Klima als Einführung dienen solle – eine Angabe, die wir gewiss als Hinweis auf den klanglichen Charakter der neuen Friedenszeit lesen können.
CP
Friedensbotschaft
„Per la pace dell’Italia“ist eine fünfstimmige Kantate, die im Januar 1698 in Neapel aufgeführt wurde. Der Anlass waren Feierlichkeiten und öffentlichen Freudenfeste („allegrezze“), mit denen der Vizekönig des Königreichs Neapel, Luis Francisco de la Cerda, dem neapolitanischen Volk und dem ganzen Reich den Frieden verkünden wollte, der nach dem Vertrag von Rijswijk (1697) in Europa eingekehrt war. Für die Friedensfeier wird ein komplexes, umfangreiches Programm entworfen, das wochenlanger Vorbereitung und Organisation bedurfte, so dass die offizielle Verkündigung des Friedens vom Herbst 1697 auf den Januar 1698 verschoben wird. Die Feierlichkeiten beginnen in der Nacht vom 3. auf den 4.&amp;nbsp;Januar im Königsschloss und dauern eine Woche. Sie umfassen die Aufführung eines Te Deumin der Cappella Reale und anderen neapolitanischen Kirchen, außerdem Feuerwerke, musikalische Darbietungen und Kantaten, darunter den Pentalog „Per la pace dell'Italia“.
Die Musik des Pentalogs ist nicht erhalten, jedoch erlauben es die Angaben im Libretto, einige Aspekte der Organisation der fünfstimmigen und in zwei Teile gegliederten Musik zu rekonstruieren. Den ersten Teil leitet eine „Sinfonia tutta allegra“ (fröhliche Sinfonie) ein, den zweiten, zentralen Teil eine „Sinfonia di guerra“ (Kriegs-Sinfonie). Diese Unterteilung spiegelt die beiden Kernpunkte der Friedensbotschaft: auf der einen Seite die Freuden der Friedenszeit, auf der anderen der Aufruf zum Krieg gegen den gemeinsamen Feind des christlichen Europa, das Osmanische Reich. Dank des Wirkens von&amp;nbsp;Zelo, Giustizia&amp;nbsp;und&amp;nbsp;Pace&amp;nbsp;(Eifer, Gerechtigkeit und Frieden) ist&amp;nbsp;Marte&amp;nbsp;(Mars) nicht mehr in Italien (und Europa) beschäftigt, sondern kann seinen Kriegsruhm in einem Sieg über Thrakien beweisen. Die Allegorien von&amp;nbsp;Pace, Giustizia, Marte&amp;nbsp;und&amp;nbsp;Zelo&amp;nbsp;(hinter ihm verbirgt sich, nach Ansicht einiger Autoren, der Vizekönig) stehen für die Wohltaten des Friedens, der über&amp;nbsp;Parthenope&amp;nbsp;leuchtet, einer Allegorie für das Königreich Neapel und im weiteren Sinne auch für das spanische Italien. Die Komposition, ein Bestandteil der offiziellen Friedensfeierlichkeiten in Europa, stellt sich so als Friedensbotschaft dar.
CP
</t>
  </si>
  <si>
    <t xml:space="preserve">Friedenszeit
Friedensbotschaft</t>
  </si>
  <si>
    <t xml:space="preserve">https://friedensbilder-neu.gnm.de/sites/default/files/2019-06/74-C_0.png</t>
  </si>
  <si>
    <t xml:space="preserve">http://friedensbilder.gnm.de/content/frieden_foto_order1df962</t>
  </si>
  <si>
    <t xml:space="preserve">Musik</t>
  </si>
  <si>
    <t xml:space="preserve">Quella pace gradita</t>
  </si>
  <si>
    <t xml:space="preserve">Diözesanbibliothek Münster, Santini-Sammlung</t>
  </si>
  <si>
    <t xml:space="preserve">Hs 864_(2)</t>
  </si>
  <si>
    <t xml:space="preserve">Handschrift</t>
  </si>
  <si>
    <t xml:space="preserve">Scarlatti, Alessandro</t>
  </si>
  <si>
    <t xml:space="preserve">https://opac.rism.info/search?id=451002571</t>
  </si>
  <si>
    <t xml:space="preserve">Kantate</t>
  </si>
  <si>
    <t xml:space="preserve">Collection: 1 Toccata, 14 Cantate</t>
  </si>
  <si>
    <t xml:space="preserve">Quella pace gradita, Hs 864_(2)</t>
  </si>
  <si>
    <t xml:space="preserve">Hs 864</t>
  </si>
  <si>
    <t xml:space="preserve">https://opac.rism.info/search?id=451002569</t>
  </si>
  <si>
    <t xml:space="preserve">Begonnen</t>
  </si>
  <si>
    <t xml:space="preserve">http://friedensbilder.gnm.de/content/frieden_object1b2ad</t>
  </si>
  <si>
    <t xml:space="preserve">Friedens-Herold:</t>
  </si>
  <si>
    <t xml:space="preserve">Niedersächsische Staats- und Universitätsbibliothek</t>
  </si>
  <si>
    <t xml:space="preserve">Göttingen</t>
  </si>
  <si>
    <t xml:space="preserve">8 P GERM II, 8581</t>
  </si>
  <si>
    <t xml:space="preserve">Verfasser
Drucker</t>
  </si>
  <si>
    <t xml:space="preserve">Cahlenus, Friedrich
Oelschlägel, Johann Melchior</t>
  </si>
  <si>
    <t xml:space="preserve">Franz 1979</t>
  </si>
  <si>
    <t xml:space="preserve">17-18</t>
  </si>
  <si>
    <t xml:space="preserve"> 7:686018Q</t>
  </si>
  <si>
    <t xml:space="preserve">https://www.gbv.de/vd/vd17/7:686018Q</t>
  </si>
  <si>
    <t xml:space="preserve">Xb 10318 (5)</t>
  </si>
  <si>
    <t xml:space="preserve">28 Bl.</t>
  </si>
  <si>
    <t xml:space="preserve">Franziska Bauer</t>
  </si>
  <si>
    <t xml:space="preserve">Dissertation Bauer</t>
  </si>
  <si>
    <t xml:space="preserve">welchen bey dem von ... Rath der Stadt Halle in Sachsen/ am XVI. Wintermonats absonderlich angestelltem Friedens-Danck-Fest/ in der Schul-kirchen daselbst öffentlich in deutsch-gebundener Rede fürgestellet und auf begehren in druck geben M. Friederich Cahlenus/ Käyserl. Poët und Con-Rector. Friedens-Herold: welchen</t>
  </si>
  <si>
    <t xml:space="preserve">Halle wurde im Deißigjährigen Krieg durch kaiserliche Truppen unter Wallenstein besetzt. Der Text nimmt darauf konkreten Bezug.
Die Verse sind nummeriert; eine Anmerkungen und Erklärungen sind angehangen.
</t>
  </si>
  <si>
    <t xml:space="preserve">http://friedensbilder.gnm.de/sites/default/files/Friedens-Herold.jpg
http://friedensbilder.gnm.de/sites/default/files/bsb00000374_00915.pdf
http://friedensbilder.gnm.de/sites/default/files/bsb00000374_00917.pdf
http://friedensbilder.gnm.de/sites/default/files/bsb00000374_00916.pdf</t>
  </si>
  <si>
    <t xml:space="preserve">Am 16. November 1648 richtete die Stadt Halle/Saale ein Dankfest anlässlich der erfolgreich abgeschlossenen Verhandlungen in Münster aus. Der Theologe und Rektor Friedrich Cahlenus (1616–1663) veröffentlichte aus diesem Anlass seinen „Friedens-Herold“. Laut Titelblatt wurde die enthaltene Rede in gebundener Sprache im Rahmen der Feierlichkeiten öffentlich vorgetragen. Im Dreißigjährigen Krieg hatte Wallenstein 1625 Halle besetzt, nach einer schwedischen Belagerung 1637 brannte die Moritzburg aus. Mit Freude und Dankbarkeit dürften die verbliebenen Einwohner der gebeutelten Stadt die Nachricht vom Frieden aufgenommen haben, wie auch Cahlenus sie in seiner Rede ausdrückt. Seine Gelegenheitsschrift sticht jedoch besonders heraus. Bereits der Titel verweist auf die Verkündigung des Friedens. Dem Friedensherold fiel, ähnlich wie dem Postreiter, die Aufgabe der Nachrichtenvermittlung und öffentlichen Bekanntgabe des Friedens zu, was ihm eine wichtige Rolle in der bürgerlichen Medienkultur, als Sprachrohr der Obrigkeit, zuschrieb. Mit Auftreten der Figur in den Friedensdichtungen wird ein direkter Bezug zur Verkündigungssituation hergestellt.
Cahlenus‘&amp;nbsp;Rede folgt dem gängigen Aufbau einer Friedensdichtung, indem zunächst der Kriegsverlauf und speziell seine Auswirkungen auf Halle beschrieben werden. Anschließend schildert der Autor die zukünftige Friedenszeit und lobt abschließend Gott. Dabei beschreibt er im Text auch die tatsächliche Verkündigungssituation des Friedens: der Herold „[…] kömmt/ und bringt auf seinem Wagen die höchsterwünschte post des Friedens dir getragen/ […]“.
FB
</t>
  </si>
  <si>
    <t xml:space="preserve">Friedens-Herold: welchen bey dem von ... Rath der Stadt Halle in Sachsen/ am XVI. Wintermonats absonderlich angestelltem Friedens-Danck-Fest/ in der Schul-kirchen daselbst öffentlich in deutsch-gebundener Rede fürgestellet und auf begehren in druck geben M. Friederich Cahlenus/ Käyserl. Poët und Con-Rector., 8 P GERM II, 8581</t>
  </si>
  <si>
    <t xml:space="preserve">https://friedensbilder-neu.gnm.de/sites/default/files/2019-06/8-P-GERM-II-8581.png</t>
  </si>
  <si>
    <t xml:space="preserve">Friedens-Herold: welchen bey dem von ... Rath der Stadt Halle in Sachsen/ am XVI. Wintermonats absonderlich angestelltem Friedens-Danck-Fest/ in der Schul-kirchen daselbst öffentlich in deutsch-gebundener Rede fürgestellet und auf begehren in druck geben M. Friederich Cahlenus/ Käyserl. Poët und Con-Rector.</t>
  </si>
  <si>
    <t xml:space="preserve">http://friedensbilder.gnm.de/content/frieden_foto_order1c4424</t>
  </si>
  <si>
    <t xml:space="preserve">Med 7234</t>
  </si>
  <si>
    <t xml:space="preserve">Kat. Sachsen-Anhalt 2015
Schnell 1983
Aukt. Kat. Slg. Ampach 1833/1834
Aukt. Kat. Schott-Wallerstein Münzhandlung / Sally Rosenberg 1904
Aukt. Kat. Karl Kreß Nr. 115
Aukt. Kat. Adolph Hess Nachf. Nr. 121</t>
  </si>
  <si>
    <t xml:space="preserve">Bd. I.2, S. 806–807, Kat.-Nr. 1118
S. 201, Nr. 200
Nr. 9149
S. 154, Nr. 1971
Nr. 318
S. 30. Nr. 549</t>
  </si>
  <si>
    <t xml:space="preserve">43
21,20</t>
  </si>
  <si>
    <t xml:space="preserve">DAS 2 EVANGELISCHE BETH UND DANCKFEST AO. 1730. D. 25. IUNII.
BEHÜTE MICH WIE EINEN AUGAPFEL. PS. 17. V. 8. OPFERE GOTT DANCK. PS. 50 V. 14.
BI:BLIA CONFESSIO AUG
EIN GUT BEKAENTNIS VOR VIELEN ZEUGEN. 1. TIM. 6  DAS IST VOM HERRN GESCHEHEN. PS 118
ZU AUGSPURG VORGELESEN UND ÜBERGEBEN Ao. 1530. d. 25. IUNII.</t>
  </si>
  <si>
    <t xml:space="preserve">25
18</t>
  </si>
  <si>
    <t xml:space="preserve">Der personifizierte Glaube sitzt mit den beiden Grundfesten der lutherischen Lehre (Heilige Schrift und Augsburger Bekenntnis) vor einem rauchenden Altar. Unmissverständlich erklärt die Umschrift die schützende Haltung ihres rechten Armes: "Behüte mich wie einen Augapfel" (Ps 17,8). Die Verlesung des Augsburger Bekenntisses von 1530 in Anwesenheit des Kaisers, die seit der ersten Säkularfeier als gängiges Erinnerungsmotiv etabliert war, ziert die Rückseite der Medaille. Im Unterschied zu älteren Darstellungen, auf denen die Anwesenden um den kaiserlichen Baldachin sitzen, versammeln sie sich hier stehend. Dennoch&amp;nbsp;zeigt die Szene eine deutliche Anlehnung an den Stich von Michael Herr (HB 6895, Kapsel 1248), der den Bruder&amp;nbsp;Karls V.,&amp;nbsp;Ferdinand,&amp;nbsp;und den Mainzer Kurfürsten zur Rechten des&amp;nbsp;Kaisers&amp;nbsp;positioniert.Kat. Sachsen-Anhalt 2015, Bd. I.2, S. 806–807, Kat.-Nr. 1118.&amp;nbsp;– Schnell 1983, S. 201, Kat.-Nr. 200.ALS&amp;nbsp;</t>
  </si>
  <si>
    <t xml:space="preserve">http://friedensbilder.gnm.de/sites/default/files/Med7234_01.tif
http://friedensbilder.gnm.de/sites/default/files/Med7234_03.tif</t>
  </si>
  <si>
    <t xml:space="preserve"> Auf die Zweihundertjahrfeier der Confessio Augustana, Vorderseite, Med 7234
Auf die Zweihundertjahrfeier der Confessio Augustana, Vorderseite, Med 7234
Auf die Zweihundertjahrfeier der Confessio Augustana, Rückseite, Med 7234
Auf die Zweihundertjahrfeier der Confessio Augustana, Rückseite, Med 7234</t>
  </si>
  <si>
    <t xml:space="preserve"> Auf die Zweihundertjahrfeier der Confessio Augustana, Vorderseite
Auf die Zweihundertjahrfeier der Confessio Augustana, Vorderseite
Auf die Zweihundertjahrfeier der Confessio Augustana, Rückseite
Auf die Zweihundertjahrfeier der Confessio Augustana, Rückseite</t>
  </si>
  <si>
    <t xml:space="preserve">http://friedensbilder.gnm.de/content/frieden_foto_order204e6f</t>
  </si>
  <si>
    <t xml:space="preserve">Auf den Frieden von Hubertusburg</t>
  </si>
  <si>
    <t xml:space="preserve">Med 3374</t>
  </si>
  <si>
    <t xml:space="preserve">Kittel, Georg Wilhelm</t>
  </si>
  <si>
    <t xml:space="preserve">Breslau</t>
  </si>
  <si>
    <t xml:space="preserve">Aukt. Kat. Slg. Antoine-Feill 1908
Olding 2003
Henckel'sche Sammlung
Menadier 1901
Julius 1913
Grund 2012
Pax in Nummis 1913
Thieme Becker</t>
  </si>
  <si>
    <t xml:space="preserve">S. 45, Nr. 1220
S. 267, Nr. 929
Nr. 1654
Nr. 2457
S. 7–8, Nr. 15.
S. 57
S. 153, Nr. 613
Bd. XX, S. 393–394</t>
  </si>
  <si>
    <t xml:space="preserve">30
9,67</t>
  </si>
  <si>
    <t xml:space="preserve">32145
35093</t>
  </si>
  <si>
    <t xml:space="preserve">Gold
Silber</t>
  </si>
  <si>
    <t xml:space="preserve">DA UNS DIE FRIEDENS POST VERGNUGT
1763
 FRIEDE
GENUNG GEFOCHTEN UND GESIEGT</t>
  </si>
  <si>
    <t xml:space="preserve">IK</t>
  </si>
  <si>
    <t xml:space="preserve">4
2.1</t>
  </si>
  <si>
    <t xml:space="preserve">Auf der Rückseite verkündet ein Postreiter die Friedensbotschaft durch einen Hornstoß, bei dem sich das Wort FRIEDE lautmalerisch aus dem Horn schwingt. Das im Abschnitt deutlich zu erkennende Datum 1763 lässt keinen Zweifel darüber, dass es sich um eine Medaille zum Frieden von Hubertusburg handelt.
Auf der Vorderseite der Medaille sitzt die Personifikation Preußens (lat.&amp;nbsp;Borussia) in einem Olivenhain. Ihre Linke lehnt auf ihrem Adlerschild, mit der Rechten stützt sie sich auf ihre Lanze, aus der Olivenzweige sprießen. Zu ihren Füßen befindet sich eine brennende Fackel und auf dem Rasen ein Gabenkorb mit Ähren und Früchten.
Problematisch gestaltet sich die Zuschreibung an einen Medailleur. Das Monogramm unterhalb des Borussenschildes lautet “IK”.[fn]Paul Julius liest 1913 noch IR in dem Monogramm, vgl. Julius 1913,&amp;nbsp;S. 7–8, Nr. 15.[/fn] Ältere Sammlungskataloge schreiben die Medaille daher dem bekannten schlesischen Siegelschneider Johann Kittel zu, der allerdings bereits 1740 verstarb. Seine Brüder kommen ebenfalls nicht in Frage, da ihre Initialen von dem Monogramm “IK” abweichen.[fn]Bereits bei Thieme-Becker im Artikel zur Künstlerfamilie Kittel wird auf die Sonderbarkeit hingewiesen, dass sich einige Medaillen mit der Signatur “IK”&amp;nbsp;zeitlich nicht auf Johann Kittel beziehen lassen.&amp;nbsp;Es wäre denkbar, dass Brüder oder Söhne Johanns das Monogramm des erfolgreichen Künstlers weiter nutzten, um an den Erfolg der Marke Kittel anzuschließen.[/fn]&amp;nbsp;Trotzdem wird die Medaille heute weitgehend Georg Wilhelm Kittel zugeschrieben.
ALS/MATW
</t>
  </si>
  <si>
    <t xml:space="preserve">Weiteres Exemplar in Gold aus Berlin http://ww2.smb.museum/ikmk/object.php?id=18230699&amp;nbsp;
</t>
  </si>
  <si>
    <t xml:space="preserve">http://friedensbilder.gnm.de/sites/default/files/Med3374_vs.tif
http://friedensbilder.gnm.de/sites/default/files/Med3374_rs.tif</t>
  </si>
  <si>
    <t xml:space="preserve">Auf der Rückseite verkündet ein Postreiter die Friedensbotschaft durch einen Hornstoß, bei dem sich das Wort FRIEDE lautmalerisch aus dem Horn schwingt. Das im Abschnitt deutlich zu erkennende Datum 1763 lässt keinen Zweifel darüber, dass es sich um eine Medaille zum&amp;nbsp;Frieden von Hubertusburg&amp;nbsp;handelt.
Auf der Vorderseite der Medaille sitzt die Personifikation Preußens (lat.&amp;nbsp;Borussia) in einem Olivenhain. Ihre Linke lehnt auf ihrem Adlerschild, mit der Rechten stützt sie sich auf ihre Lanze, aus der Olivenzweige sprießen. Zu ihren Füßen befindet sich eine brennende Fackel und auf dem Rasen ein Gabenkorb mit Ähren und Früchten.
Problematisch gestaltet sich die Zuschreibung an einen Medailleur. Das Monogramm unterhalb des Borussenschildes lautet “IK”.&amp;nbsp;Ältere Sammlungskataloge schreiben die Medaille daher dem bekannten schlesischen Siegelschneider&amp;nbsp;Johann Kittel&amp;nbsp;zu, der allerdings bereits 1740 verstarb. Seine Brüder kommen ebenfalls nicht in Frage, da ihre Initialen von dem Monogramm “IK” abweichen. Trotzdem wird die Medaille heute weitgehend&amp;nbsp;Georg Wilhelm Kittel&amp;nbsp;zugeschrieben.
ALS/MATW
</t>
  </si>
  <si>
    <t xml:space="preserve">Auf den Frieden von Hubertusburg, Rückseite, Med 3374
Auf den Frieden von Hubertusburg, Vorderseite, Med 3374</t>
  </si>
  <si>
    <t xml:space="preserve">https://friedensbilder-neu.gnm.de/sites/default/files/2019-06/Med3374-01.png
https://friedensbilder-neu.gnm.de/sites/default/files/2019-06/Med3374-02.png
https://friedensbilder-neu.gnm.de/sites/default/files/2019-06/Med3374-02-doppel.png</t>
  </si>
  <si>
    <t xml:space="preserve">Auf den Frieden von Hubertusburg, Rückseite
Auf den Frieden von Hubertusburg, Vorderseite</t>
  </si>
  <si>
    <t xml:space="preserve">http://friedensbilder.gnm.de/content/frieden_foto_order1f91d8</t>
  </si>
  <si>
    <t xml:space="preserve">Auf die Siege in den Drei Schlesischen Kriegen</t>
  </si>
  <si>
    <t xml:space="preserve">Med 2759</t>
  </si>
  <si>
    <t xml:space="preserve">Olding 2003
Bahrfeldt
Aukt. Kat. A. Riechmann &amp; Co Nr. 36
Aukt. Kat. Körner 1770</t>
  </si>
  <si>
    <t xml:space="preserve">S. 149, Nr. 680
Nr. 4764
S. 13, Nr. 1815
S. 32, Nr. 27</t>
  </si>
  <si>
    <t xml:space="preserve">Gewicht
Durchmesser</t>
  </si>
  <si>
    <t xml:space="preserve">43,02
46</t>
  </si>
  <si>
    <t xml:space="preserve">g
mm</t>
  </si>
  <si>
    <t xml:space="preserve">AD IMMORTALEM GLORIAM A TE BIS SENIS CORONATA
TORGAU ZORNDORF LIGNITZ LEUTHEN ROSBACH PRAG SORR KESSELSD LOWSITZ STRIGAU SCASLAU MOLWITZ 
TRIUMPHIS
AETERNIS FASTIS TUA REX TRANSCRIBO TROPHAEA
FRIEDERICUSIIMAGNUS BORUSSORUM REX 1763
EUROP</t>
  </si>
  <si>
    <t xml:space="preserve">im Münzbild
im Abschnitt</t>
  </si>
  <si>
    <t xml:space="preserve">4
2.2</t>
  </si>
  <si>
    <t xml:space="preserve">Die Vorderseite der Medaille präsentiert&amp;nbsp;Friedrich II.&amp;nbsp;im Reiterporträt als siegreichen Feldherrn und Eroberer Europas. Die&amp;nbsp;Vorlage&amp;nbsp;dieses Bildnisses lieferte&amp;nbsp;Johannes Esaias Nilson, der insgesamt vier Reiterbildnisse des preußischen Königs anfertigte.[fn]Schuster 1936, S. 144, Nr. 376 (Folge von vier Reiterbildnissen). Helke 2005, Katalogeintrag in der 'Nilson-Datenbank' (beigefügte CD-Rom).[/fn] Die Rückseite bildet ein Monument auf die Siege Friedrichs des Großen ab. Einzelne Medaillons&amp;nbsp;tragen&amp;nbsp;in chronologischer Reihenfolge&amp;nbsp;die Ortsnamen der wichtigsten Schauplätze aus den drei schlesischen Kriegen.[fn]Eine Gesamtübersicht bietet Ludwig Müller: Kurzgefaßte Beschreibung der drei Schlesischen Kriege zur Erklärung einer Kupfertafel auf welcher sechs und zwanzig Schlachten und Hauptgefechte abgebildet sind, Potsdam 1785. Zum ersten schlesischen Krieg zählt Mollwitz und die Stadt Èáslav (dt. Czaslau), in deren Nähe die Schlacht bei Chotusitz stattfand. Sorr (eigentlich Soor), Kesselsdorf, Lowsitz (für die Region Lausitz) und Striegau (mit der Schlacht am Hohefriedberg) fallen in die Zeit des zweiten Krieges. Die letzten Namen Torgau, Zorndorf, Lignitz, Leuthen, Roßbach und Prag waren Schauplätze des Siebenjährigen Krieges. Ein ähnliches Denkmal befand sich in der Berliner Garnisonkirche, wo über einen längeren Zeitraum die Standarten und Fahnen aus siegreichen Schlachten der schlesischen Kriege zusammengetragen wurden, siehe Zielsdorf 2016, S. 200–205.[/fn]ALS&amp;nbsp;</t>
  </si>
  <si>
    <t xml:space="preserve">http://friedensbilder.gnm.de/sites/default/files/Med2759_01.tif
http://friedensbilder.gnm.de/sites/default/files/Med2759_02.tif</t>
  </si>
  <si>
    <t xml:space="preserve">Auf die Siege in den Drei Schlesischen Kriegen, Vorderseite, Med 2759
Auf die Siege in den Drei Schlesischen Kriegen, Rückseite, Med 2759</t>
  </si>
  <si>
    <t xml:space="preserve">Auf die Siege in den Drei Schlesischen Kriegen, Vorderseite
Auf die Siege in den Drei Schlesischen Kriegen, Rückseite</t>
  </si>
  <si>
    <t xml:space="preserve">http://friedensbilder.gnm.de/content/frieden_foto_order204e5b</t>
  </si>
  <si>
    <t xml:space="preserve">Med 2616</t>
  </si>
  <si>
    <t xml:space="preserve">Ausst. Kat. Stuttgart 2012
Olding 2003
Kat. Breslau 2000
Pax in Nummis 1913
Kaltenhäuser 1974
Grund 2012
Julius 1913</t>
  </si>
  <si>
    <t xml:space="preserve">S. 141, Kat.-Nr. 99 (Hans-Martin Kaulbach)
Nr. 931
S. 86
S. 148, Nr. 595
S. 20, Nr. 70
S. 56
S. 5, Nr. 9 und 10</t>
  </si>
  <si>
    <t xml:space="preserve">21,87
45</t>
  </si>
  <si>
    <t xml:space="preserve">Künstlersignatur</t>
  </si>
  <si>
    <t xml:space="preserve">OEXLEIN.</t>
  </si>
  <si>
    <t xml:space="preserve">D. 15. FEBR. MDCCLXIII.
NVNCIA PACIS
IAM REDIRE AVDET
GERMANIA PACATA</t>
  </si>
  <si>
    <t xml:space="preserve">im Abschnitt
in Abschnitt</t>
  </si>
  <si>
    <t xml:space="preserve">Auf der Vorderseite der Medaille schwebt&amp;nbsp;Fama&amp;nbsp;über der Ansicht des Schlosses Hubertusburg und verkündet die Friedensnachricht. Im Februar 1763 unterzeichneten dort die Abgesandten Österreichs und Preußens&amp;nbsp;den nach der Residenz benannten Friedensvertrag und beendeten somit den Siebenjährigen Krieg. Die Umschrift "nuncia pacis" [Botin des Friedens] ist der Emblematik entlehnt, dort jedoch versinnbildlicht durch die Taube, die Noah einen Ölzweig bringt.[fn]Camerarius, Bd. III, S. 59, Nr. LIX.&amp;nbsp;Johann Vogel verwendete dieses Emblem ebenfalls in seiner wenig bekannten Schrift "Sinnebilder von dem widergebrachten Teutschen Frieden": "Wie lieblich ist der Friedensbott!&amp;nbsp;So lieblich mit dem Zweig des Noahs Taube kam / So lieblich kompt auch uns der Edle Friedens Nahm."[/fn]&amp;nbsp;Die Verwendung der Ruhmespersonifikation&amp;nbsp;Fama impliziert eine Bedeutungsverschiebung: Sie besagt, dass nur ein ruhmreicher Herrscher den Frieden bringen kann.
Die Umschrift des Revers "iam redire audet" [schon wagt sie zurückzukehren], bezieht sich auf die weibliche Figur im betreffenden Münzbild, die vor einem pflügenden Bauern Zepter und Kornähre präsentiert. Eine "Kurze Beschreibung gegenwärtiger Friedens-Medaille"[fn]Stadtarchiv Nürnberg, B 8, Nr. 149.[/fn]&amp;nbsp;identifiziert die Dargestellte als Astraea. Der Text schildert den Mythos, nach dem sie während des Eisernen Zeitalters die Erde verließ und zum Sternenbild wurde: "Hier wird sie nun vorgestellt, wie sie bey dem wiederhergestellten Ruhe- und Friedens-Stand, wieder auf die Erde zurückekehret". Die Umschrift greift versatzstückartig auf Astraea-Erzählungen bei Horaz, Ovid und Vergil zurück.[fn]Hor. carm. saec. 57. Ov. met. I 149. Verg. ecl. IV.6.[/fn]
Eine ähnliche Darstellung hat sich auf einer Großschönauer Friedensdecke aus Damast erhalten.[fn]Germanisches Nationalmuseum Nürnberg, Inv.-Nr. Gew 1070, vgl.&amp;nbsp;Kat. Nürnberg Gewebesammlung, S. 149. Nr. 1069.[/fn]&amp;nbsp;Ihre Ansicht des Schlosses mit dem Wetterhirsch stimmt ebenso mit der Medaille überein wie auch die NVNCIA PACIS posaunende Fama. Die vier Ecken der Decke ziert&amp;nbsp;Astraea mit Zepter, Kornähre und der Beischrift GERMANIA PACATA, die auch auf der Rückseite der Medaille erscheint.
ALS
</t>
  </si>
  <si>
    <t xml:space="preserve">http://friedensbilder.gnm.de/sites/default/files/Med2616_vs.tif
http://friedensbilder.gnm.de/sites/default/files/Med2616_rs.tif</t>
  </si>
  <si>
    <t xml:space="preserve">B 8, Nr. 149/5</t>
  </si>
  <si>
    <t xml:space="preserve">Auf der Vorderseite der Medaille schwebt&amp;nbsp;Fama&amp;nbsp;über der Ansicht des Schlosses Hubertusburg und verkündet die Friedensnachricht. Im Februar 1763 unterzeichneten dort die Abgesandten Österreichs und Preußens&amp;nbsp;den nach der Residenz benannten&amp;nbsp;Friedensvertrag&amp;nbsp;und beendeten somit den&amp;nbsp;Siebenjährigen Krieg. Die Umschrift "nuncia pacis" [Botin des Friedens] ist der Emblematik entlehnt, dort jedoch versinnbildlicht durch die Taube, die Noah einen Ölzweig bringt.&amp;nbsp;Die Verwendung der Ruhmespersonifikation&amp;nbsp;Fama impliziert eine Bedeutungsverschiebung: Sie besagt, dass nur ein ruhmreicher Herrscher den Frieden bringen kann.
Die Umschrift des Revers "iam redire audet" [schon wagt sie zurückzukehren], bezieht sich auf die weibliche Figur im betreffenden Münzbild, die vor einem pflügenden Bauern Zepter und Kornähre präsentiert. Eine "Kurze Beschreibung gegenwärtiger Friedens-Medaille"&amp;nbsp;identifiziert die Dargestellte als Astraea. Der Text schildert den Mythos, nach dem sie während des Eisernen Zeitalters die Erde verließ und zum Sternenbild wurde: "Hier wird sie nun vorgestellt, wie sie bey dem wiederhergestellten Ruhe- und Friedens-Stand, wieder auf die Erde zurückekehret". Die Umschrift greift versatzstückartig auf Astraea-Erzählungen bei Horaz, Ovid und Vergil zurück.
Eine ähnliche Darstellung hat sich auf einer Großschönauer Friedensdecke aus Damast erhalten.&amp;nbsp;Ihre Ansicht des Schlosses mit dem Wetterhirsch stimmt ebenso mit der Medaille überein wie auch die NVNCIA PACIS posaunende Fama. Die vier Ecken der Decke ziert&amp;nbsp;Astraea mit Zepter, Kornähre und der Beischrift GERMANIA PACATA, die auch auf der Rückseite der Medaille erscheint.
ALS
</t>
  </si>
  <si>
    <t xml:space="preserve">Auf den Frieden von Hubertusburg, Vorderseite, Med 2616
Auf den Frieden von Hubertusburg, Rückseite, Med 2616
Nuncia Pacis, Med 2616
IAM REDIRE AVDET, Med 2616</t>
  </si>
  <si>
    <t xml:space="preserve">https://friedensbilder-neu.gnm.de/sites/default/files/2019-06/Med2616-01_0.png
https://friedensbilder-neu.gnm.de/sites/default/files/2019-06/Med2616-02_0.png
https://friedensbilder-neu.gnm.de/sites/default/files/2019-06/Med2616-02-doppel_0.png</t>
  </si>
  <si>
    <t xml:space="preserve">Auf den Frieden von Hubertusburg, Vorderseite
Auf den Frieden von Hubertusburg, Rückseite
Nuncia Pacis
IAM REDIRE AVDET</t>
  </si>
  <si>
    <t xml:space="preserve">http://friedensbilder.gnm.de/content/frieden_object15f787</t>
  </si>
  <si>
    <t xml:space="preserve">http://friedensbilder.gnm.de/content/frieden_foto_order1f91d0</t>
  </si>
  <si>
    <t xml:space="preserve">Auf den Frieden von Breslau</t>
  </si>
  <si>
    <t xml:space="preserve">Med 1293</t>
  </si>
  <si>
    <t xml:space="preserve">Vestner</t>
  </si>
  <si>
    <t xml:space="preserve">Bernheimer 1984
Olding 2003
Kat. Breslau 2000
Morgenbesser 1833</t>
  </si>
  <si>
    <t xml:space="preserve">Teil II Katalog, S. 197, Kat.-Nr. 329
S. 68, Nr. 541
S. 38
S. 380</t>
  </si>
  <si>
    <t xml:space="preserve">44
29,53</t>
  </si>
  <si>
    <t xml:space="preserve">VESTER F.</t>
  </si>
  <si>
    <t xml:space="preserve">FRIDERICVS D.G. REX BORVSS. SILES. VTR. DVX SVPR.
PAX GLORIOSA.
VRATISLAVIA. / D. XXVII. IVN. / MDCCXLII.</t>
  </si>
  <si>
    <t xml:space="preserve"> 4
2.2</t>
  </si>
  <si>
    <t xml:space="preserve">Die Vorderseite zeigt eine Büste Friedrichs II., der in der Umschrift als Führer der Preußen bezeichnet wird. Die Medaille unterstützt damit visuell die öffentliche&amp;nbsp;Bekanntmachung des Friedens von Breslau am 27. Juni 1742 in Schlesien.Über der Datumsangabe im rückseitigen Abschnitt ist der antike Held Herakles zu sehen, wie er sich auf seine Keule[fn]Laut Pausanias wurde die Keule zur Erlegung des nemeischen Löwens aus aus einem Olivenbaum gefertigt, dessen Zweige gleichsam als Zeichen des Friedens verwendet werden, vgl. Paus. II,31,10.[/fn] stützt und von zwei Friedensengeln mit dem Lorbeerkranz bekrönt wird.&amp;nbsp;Die Figur kombiniert damit zwei Kompositionsschemata der hellenistischen Plastik: das Standmotiv des Herakles Farnese und den Handgestus von Philosophenporträts.&amp;nbsp;Möglicherweise sollten so die Tugenden eines siegreichen und aufgeklärten Herrschers mit Hilfe antiker Bildmuster verdeutlich werden. Seine Gegner hat der Preußische König&amp;nbsp;–&amp;nbsp;denn auf ihn will der antike Held bezogen werden – jedenfalls besiegt. Auf dem Schlachtfeld vor den Toren Breslaus befindet sich lediglich ein Tropaion, das österreichische Heer hat sich bereits zurückgezogen. In Anlehnung an antike Münzen ist die Medaille damit Zeichen und Demonstration der preußischen Überlegenheit.MATW/ALS</t>
  </si>
  <si>
    <t xml:space="preserve">Laut Pausanias stammt seine Keule zur Erlegung des nemeischen Löwens aus aus einem Olivenbaum.&amp;nbsp;[2.31.10] Here there is also a Hermes called Polygius. Against this image, they say, Heracles leaned his club. Now this club, which was of wild olive, taking root in the earth (if anyone cares to believe the story), grew up again and is still alive; Heracles, they say, discovering the wild olive by the Saronic Sea, cut a club from it. There is also a sanctuary of Zeus surnamed Saviour, which, they say, was made by Aetius, the son of Anthas, when he was king. To a water they give the name River of Gold. They say that when the land was afflicted with a drought for nine years, during which no rain fell, all the other waters dried up, but this River of Gold even then continued to flow as before.http://www.theoi.com/Text/Pausanias2C.html</t>
  </si>
  <si>
    <t xml:space="preserve">http://friedensbilder.gnm.de/sites/default/files/Med1293_vs.tif
http://friedensbilder.gnm.de/sites/default/files/Med1293_rs.tif</t>
  </si>
  <si>
    <t xml:space="preserve">Auf den Frieden von Breslau, Rückseite, Med 1293
Auf den Frieden von Breslau, Vorderseite, Med 1293</t>
  </si>
  <si>
    <t xml:space="preserve">Auf den Frieden von Breslau, Rückseite
Auf den Frieden von Breslau, Vorderseite</t>
  </si>
  <si>
    <t xml:space="preserve">http://friedensbilder.gnm.de/content/frieden_foto_order205b4e</t>
  </si>
  <si>
    <t xml:space="preserve">Auf den Frieden von Breslau 1742</t>
  </si>
  <si>
    <t xml:space="preserve">Med 4195</t>
  </si>
  <si>
    <t xml:space="preserve">Kat. Breslau 2000
Olding 2003
Pax in Nummis 1913
Menadier 1901
Bahrfeldt</t>
  </si>
  <si>
    <t xml:space="preserve">S. 36
S. 66, Nr. 538
S. 132, Nr. 522
S. 82, Nr. 289
Nr. 4723</t>
  </si>
  <si>
    <t xml:space="preserve">43,29
49</t>
  </si>
  <si>
    <t xml:space="preserve">mit zusätzlicher Abbreviatur
Monogramm</t>
  </si>
  <si>
    <t xml:space="preserve">M. HOLTZHEY. FEC.
M. H.</t>
  </si>
  <si>
    <t xml:space="preserve">mittig unten
auf der Abschnittlinie</t>
  </si>
  <si>
    <t xml:space="preserve">FRIDERICVS D.G. REX BORVSS. EL. BRANDENB. ETC.
FACTA FELIX GERMANIA PACE
BRESLAV. / MDCCXLII.</t>
  </si>
  <si>
    <t xml:space="preserve">Der Avers zeigt das Bildnis des Preußischen Königs&amp;nbsp;Friedrich II.&amp;nbsp;Für eine Medaille mit dem gleichen rückseitigen Stempel, aber mit&amp;nbsp;Maria Theresia&amp;nbsp;auf der Vorderseite, siehe&amp;nbsp;Med 3094, die mit einer historisch kontextualisierenden Bildbeschreibung versehen ist.ALS</t>
  </si>
  <si>
    <t xml:space="preserve">http://friedensbilder.gnm.de/sites/default/files/Med4195_01.tif
http://friedensbilder.gnm.de/sites/default/files/Med4195_02.tif</t>
  </si>
  <si>
    <t xml:space="preserve">Auf den Frieden von Breslau 1742, Vorderseite, Med 4195
Auf den Frieden von Breslau 1742, Rückseite, Med 4195</t>
  </si>
  <si>
    <t xml:space="preserve">Auf den Frieden von Breslau 1742, Vorderseite
Auf den Frieden von Breslau 1742, Rückseite</t>
  </si>
  <si>
    <t xml:space="preserve">http://friedensbilder.gnm.de/content/frieden_foto_order204dcd</t>
  </si>
  <si>
    <t xml:space="preserve">Auf die Sonnenfinsternis vom 25. Juli 1748 und Friedenswünsche</t>
  </si>
  <si>
    <t xml:space="preserve">Med 15315</t>
  </si>
  <si>
    <t xml:space="preserve">Richel 1899
Pax in Nummis 1913
Van Loon Fortsetzung</t>
  </si>
  <si>
    <t xml:space="preserve">S. 196 und 205, Nr. 10
S. 139, Nr. 555
Bd. IV, S. 293–295, Nr. 281</t>
  </si>
  <si>
    <t xml:space="preserve">37
19,89</t>
  </si>
  <si>
    <t xml:space="preserve">LVX CVM PACE REDIT
LAETANTE EVROPA
POST TENEBRAS
</t>
  </si>
  <si>
    <t xml:space="preserve">oben
unten
im Abschnitt</t>
  </si>
  <si>
    <t xml:space="preserve">23
22</t>
  </si>
  <si>
    <t xml:space="preserve">Das Avers der Medaille zeigt eine Taube mit Ölzweig, die vor der ihre Strahlen auf die Erde werfenden Sonne herabschwebt. Die Rückseite&amp;nbsp;zeigt hingegen eine Landschaft mit seichten Hügeln, der Andeutung eines Flusses sowie eine Kirche und einige Häusern. Darüber erhebt sich der weite Himmel, der von einer im Zenit stehenden Sonne dominiert wird. Vor dieser zeichnet sich in einem weiteren Kreis der Mond ab, womit sich die Schaumünze auf die Sonnenfinsternis von 1748 bezieht.Die Um- und Inschriften der Vorder- und Rückseite ergeben zusammengenommen folgende Bedeutung: ”Die Sonne verdunkelte den 25. Juli 1748. Nach der Dunkelheit kehrte das Licht mit dem Frieden wieder.&amp;nbsp;Europa erfreut sich dessen.“Mit den letzten beiden Teilen der Kehrseite wird Bezug auf den zweiten Aachener Frieden genommen, dessen Präliminarien bereits vor der Sonnenfinsternis am 30. April desselben Jahres unterzeichnet wurden. Das astronomische Schauspiel, das partiell auch in Asien und Afrika zu bestaunen war,[fn]Die Eklipse erfolgte um halb zwölf mitteleuropäischer Zeit und war außerdem in Nordafrika, sowie West und Zentralasien zu sehen. Vgl. Van Loon Fortsetzung, Bd. IV, S. 294.[/fn] wurde demnach als symbolisches Zeichen (Gottes) verstanden, dass der bevorstehende Friedensschluss erfolgreich vollzogen würde. Auf die dunklen Tage des Krieges würden heitere Zeiten folgen.ALS/MATW</t>
  </si>
  <si>
    <t xml:space="preserve">Aachener Münzfreunde:&amp;nbsp;Kupfer- und Zinnmedaille mit Kupferstift 1748, auf die Sonnenfinsternis und die Friedensverhandlungen in Aachen. Unsigniert.Strahlende Sonne und Friedenstaube über der nördlichen Hemisphäre,Umschrift: LVX CVM PACE REDIT&amp;nbsp; /&amp;nbsp;&amp;nbsp; LAETANTE EVROPASonnenfinsternis über flacher Landschaftim Abschnitt drei Zeilen: DEFLICENTE SOLE. / CI)I)CCXXXXVIII. / XXV. IVG.Umschrift oben: POST TENEBRAS&amp;nbsp;37,3 mm. 18,89 g.&amp;nbsp; Slg. Julius 2187. van Loon 281.</t>
  </si>
  <si>
    <t xml:space="preserve">http://friedensbilder.gnm.de/sites/default/files/Med15315rs.tif
http://friedensbilder.gnm.de/sites/default/files/Med15315vs.tif</t>
  </si>
  <si>
    <t xml:space="preserve">Auf die Sonnenfinsternis vom 25. Juli 1748 und Friedenswünsche, Verso, Med 15315
Auf die Sonnenfinsternis vom 25. Juli 1748 und Friedenswünsche, Recto, Med 15315</t>
  </si>
  <si>
    <t xml:space="preserve">Auf die Sonnenfinsternis vom 25. Juli 1748 und Friedenswünsche, Verso
Auf die Sonnenfinsternis vom 25. Juli 1748 und Friedenswünsche, Recto</t>
  </si>
  <si>
    <t xml:space="preserve">http://friedensbilder.gnm.de/content/frieden_foto_order204e60</t>
  </si>
  <si>
    <t xml:space="preserve">Trostgedichte in Widerwertigkeit des Krieges</t>
  </si>
  <si>
    <t xml:space="preserve">Xb 6452</t>
  </si>
  <si>
    <t xml:space="preserve">Drucker
Verfasser
Verleger</t>
  </si>
  <si>
    <t xml:space="preserve">Köhler, Henning
Opitz, Martin
Müller, David</t>
  </si>
  <si>
    <t xml:space="preserve">Breslau
Leipzig</t>
  </si>
  <si>
    <t xml:space="preserve">Garber 1984
Garber 2012</t>
  </si>
  <si>
    <t xml:space="preserve">116-184</t>
  </si>
  <si>
    <t xml:space="preserve">1:633566E</t>
  </si>
  <si>
    <t xml:space="preserve">http://diglib.hab.de/drucke/xb-6452/start.htm</t>
  </si>
  <si>
    <t xml:space="preserve">102 S.</t>
  </si>
  <si>
    <t xml:space="preserve">In Verlegung David Müllers Buchhendlers in Breßlaw. Leipzig/ Gedruckt bey Henning Kölern</t>
  </si>
  <si>
    <t xml:space="preserve">http://diglib.hab.de/drucke/xb-6452/00003.jpg</t>
  </si>
  <si>
    <t xml:space="preserve">Trostgedichte in Widerwertigkeit des Krieges, Xb 6452</t>
  </si>
  <si>
    <t xml:space="preserve">Wolff, Johann Peter</t>
  </si>
  <si>
    <t xml:space="preserve">Harms 
New Hollstein German
Paas</t>
  </si>
  <si>
    <t xml:space="preserve">Bd. II, S. 372–373, Nr. 213 e)
Bd. VIII (Wenzeslaus Hollar), Teil 1, S. 62, Nr. 78, Copy c)
Bd. VIII, S. 450, Nr. PA-466</t>
  </si>
  <si>
    <t xml:space="preserve">34,2 x 27,4</t>
  </si>
  <si>
    <t xml:space="preserve">IH 145</t>
  </si>
  <si>
    <t xml:space="preserve">3(3)</t>
  </si>
  <si>
    <t xml:space="preserve">Joh: Peter Wolff. Exc:</t>
  </si>
  <si>
    <t xml:space="preserve">Für die inhaltliche Beschreibung siehe&amp;nbsp;K 1633, Kapsel 147. Das im Rahmen der ersten Hundertjahrfeier der&amp;nbsp;Confessio Augustana&amp;nbsp;erschienene Blatt gab wahrscheinlich der Nürnberger Verleger Paulus Fürst&amp;nbsp;heraus. Wesentliche Änderungen betreffen die Bibelverse und die längeren Beischriften. Außerdem sind die Friedensschlüsse auf der Bundeslade um die Osnabrücker und Münsteraner Verträge von 1648 ergänzt. Das von Wenzelaus Hollar entworfene Jubiläumsbild diente&amp;nbsp;bis ins 18. Jahrhundert als Illustrationsvorlage für Medaillen und keramische Objekte.[fn]Auf einem Dukat von Thiebaud siehe Schnell 1983, S. 202, Kat.-Nr 203; Aukt. Kat. Slg. Whiting 1983, S. 49, Nr. 361–362 und Kat. Sachsen-Anhalt 2015 Bd. I.2, S. 735-736, Nr. 1023. Zum Motiv bei Fayencen siehe den 2017 erscheinenden Katalog von&amp;nbsp;Silvia Glaser: Nürnberger Fayencen. Geschichte und Erzeugnisse einer Manufaktur in der Reichsstadt. Bestandskatalog des Germanischen Nationalmuseum.&amp;nbsp;Für weitere Beispiele zu Flugblättern, die sich der Lichtsymbolik im Protestantismus bedienen, siehe Scharfe 1968, S. 184.[/fn]Das vorliegende Blatt ist eine spätere Ausgabe aus dem Verlag Johann Peter Wolffs, der die Nürnberger Verlagsadresse tilgen ließ.Hampe 1915, S. 38–41.&amp;nbsp;– Harms Bd. II, S. 372–373, Nr. 213.&amp;nbsp;– Marsch 1980, S. 66.ALS&amp;nbsp;&amp;nbsp;</t>
  </si>
  <si>
    <t xml:space="preserve">http://friedensbilder.gnm.de/sites/default/files/HB24680_10022.tif</t>
  </si>
  <si>
    <t xml:space="preserve">http://friedensbilder.gnm.de/content/frieden_object11d58
http://friedensbilder.gnm.de/content/frieden_object76453</t>
  </si>
  <si>
    <t xml:space="preserve">http://friedensbilder.gnm.de/content/frieden_foto_order204e65</t>
  </si>
  <si>
    <t xml:space="preserve">Lang-verlangte Friedens-Freude</t>
  </si>
  <si>
    <t xml:space="preserve">IH 241</t>
  </si>
  <si>
    <t xml:space="preserve">Verfasser
Verleger
Zeichner
Vorlage</t>
  </si>
  <si>
    <t xml:space="preserve">Frentzel, Johann
Lanckisch, Friedrich
Müller, Johann Sigmund
Heemskerk, Maarten van</t>
  </si>
  <si>
    <t xml:space="preserve">Leipzig</t>
  </si>
  <si>
    <t xml:space="preserve">Paas
Harms
Gantet 2000c
Zedler
Thieme Becker.</t>
  </si>
  <si>
    <t xml:space="preserve">Nr. 2279
Bd. II, S. 576–577, Nr. 330
S. 218–219
Bd. XXII, S. 251 f.
Bd. XXV, S. 238</t>
  </si>
  <si>
    <t xml:space="preserve">23:675869R</t>
  </si>
  <si>
    <t xml:space="preserve">http://diglib.hab.de/drucke/ih-241/start.htm</t>
  </si>
  <si>
    <t xml:space="preserve">25,4 x 31</t>
  </si>
  <si>
    <t xml:space="preserve">British Library</t>
  </si>
  <si>
    <t xml:space="preserve">London</t>
  </si>
  <si>
    <t xml:space="preserve">74/C.161.f.1.(36.)</t>
  </si>
  <si>
    <t xml:space="preserve">Dem Durchlauchtigsten Hochgebornen Fürsten und Herrn/ Herrn Johann Georgen/ Hertzogen zu Sachsen/ Jülich/ Cleve und Berg ... Zu schuldiger Ehrerweisung und Glückwünschung wegen deß ... Jubel-Frieden-Jahres/ so nach Christi Geburt das 1650ste war / Gehorsambst und Unterthänigst verfertiget und übergeben/ von Johann Müllern/ Kunstbeflissenen</t>
  </si>
  <si>
    <t xml:space="preserve">Verlagsadresse
Künstlersignatur
Verfasserangabe</t>
  </si>
  <si>
    <t xml:space="preserve">Leipzig/gedruckt bey Friedrich Lanckischens S. Erben
Caelo est Studio. Johann: Müllers. 1650.
Ingeniô, SML. Johan: Frentzels:
M. Johann Frentzel.</t>
  </si>
  <si>
    <t xml:space="preserve">mittig unten
unten links
unten rechts</t>
  </si>
  <si>
    <t xml:space="preserve">Der Stich zeigt den sächsischen Kurfürsten Johann Georg I.&amp;nbsp;auf einem Triumphwagen, den unter anderem&amp;nbsp;Personifikationen der Gerechtigkeit (Nr. 15) und Ehre (Nr. 9) begleiten. Das Blatt entstand wahrscheinlich im Auftrag des Landesfürsten, wie die Passage ”gehorsambst und unterthänigst verfertiget und übergeben“ in der Überschrift vermuten lässt. Es wurde entweder anlässlich des&amp;nbsp;Einzugs des Kurfürsten&amp;nbsp;in seine Dresdener Residenz&amp;nbsp;nach der Bestätigung des Westfälischen Friedens am 24. Juli oder&amp;nbsp;im Rahmen des sächsischen Friedensfestes am 28. Juli 1650 gedruckt. Als Triumphator wird Johann Georg zum ”Friedens-Keiser“[fn]Bei dem Exemplar in der British Library, Inv.-Nr. 74/C.161.f.1.(36.) ist der Text erhalten geblieben. Siehe auch&amp;nbsp;Paas, Bd. VIII, S. 93, Nr. P-2279[/fn] stilisiert, dessen dreifache Krönung im Bild durch die weltliche (Nr. 9), militärische (Nr. 10) und göttliche (Nr. 21) Macht bestätigt wird. Über der Stadtansicht Dresdens wölbt sich ein Regenbogen, der auf die alttestamentliche Bundestheologie (Jesaja 54,10) verweist. Sowohl der Vers als auch die Anagramme am oberen Bildrand und die fünf Siegessäulen[fn]Sie entsprechen der Anzahl der Bücher Mose.[/fn] eröffnen eine typologische Interpretation. Der Augsburger Maler Johann Sigmund Müller nahm ein Blatt Maarten van Heemskercks als Vorlage (Triumph des Friedens).ALS</t>
  </si>
  <si>
    <t xml:space="preserve">http://friedensbilder.gnm.de/sites/default/files/HAB_IH_241.jpg
http://friedensbilder.gnm.de/sites/default/files/British_Library_C.161.f.1.(36)_72dpi.tif</t>
  </si>
  <si>
    <t xml:space="preserve">Lang-verlangte Friedens-Freude, IH 241
Lang-verlangte Friedens-Freude, IH 241</t>
  </si>
  <si>
    <t xml:space="preserve">Lang-verlangte Friedens-Freude
Lang-verlangte Friedens-Freude</t>
  </si>
  <si>
    <t xml:space="preserve">http://friedensbilder.gnm.de/content/frieden_foto_order11fbb4</t>
  </si>
  <si>
    <t xml:space="preserve">http://friedensbilder.gnm.de/content/frieden_foto_order11f2a2</t>
  </si>
  <si>
    <t xml:space="preserve">Med 14479</t>
  </si>
  <si>
    <t xml:space="preserve">Medailleur
Münzherr</t>
  </si>
  <si>
    <t xml:space="preserve">Dadler, Sebastian
</t>
  </si>
  <si>
    <t xml:space="preserve">Maué 2008
Bringmeier 1974
Aukt. Kat. Heidrun Höhn Nr. 51
Schnell 1983
Ausst. Kat. Osnabrück 1988a
Kat. Sachsen-Anhalt 2015
Hess / Hirschfelder 2010</t>
  </si>
  <si>
    <t xml:space="preserve">S. 63–64; Kat.-Nr. 18
Abb. 29–31
S. 14, Nr. 4077
S. 144, Kat.-Nr. 73V
Kat.-Nr. 59
Bd. I.1, S. 514, Kat.-Nr. 731
S. 431, Kat.-Nr. 407</t>
  </si>
  <si>
    <t xml:space="preserve">54
47,4</t>
  </si>
  <si>
    <t xml:space="preserve">SCHEME DICH NICHT DES ZEVGNISZES MEINES HERRN SCHEME DICH AVCH MEINER NICHT PAVL: 2. TIM: 1 25 IVNY 1530.
IETZT IVBILIRT DIE CHRISTENHEIT,VND DANCKT GOTT FVR DIE GNADENZEIT: DA D: LVTHERS HAND VND MVND, SEIN WORT DER KIRCHEN MACHTE KVNDT. DEN 25 IVNY Ao 1630.</t>
  </si>
  <si>
    <t xml:space="preserve">Dauerausstellung (Renaissance Barock Aufklärung), Raum</t>
  </si>
  <si>
    <t xml:space="preserve">Die vorderseitige Umschrift ruft zum öffentlichen Bekenntnis des Evangeliums auf.&amp;nbsp;Luther&amp;nbsp;zeigt auf einen Vers aus I Petr 1,25.&amp;nbsp;Das von Sebastian Dadler gefertigte Medaillenporträt geht auf eine Vorlage&amp;nbsp;Lucas Cranachs d.J.&amp;nbsp;zurück. Ausgehend von diesem Holzschnitt entwickelte sich ab 1546 ein neuer Porträttypus:&amp;nbsp;Luther wird als Gelehrter in einer Schaube dargestellt, der seine Hände um ein Buch schließt.[fn] Eine Variante mit pelzbesetztem Kragen im Germanischen Nationalmuseum, Inv.-Nr. H 4685, Kapsel 37. Weitere in Hollstein German, Bd. VI, S. 145–147, Nr. 39–43.[/fn] Dieses Bildnis diente als Illustration für eine Gedenkschrift anlässlich seines Todes.[fn]Vgl. Ausst. Kat. Wittenberg 2015, S. 236, Kat. 2/7 (Armin Kunz). Mit weiteren Beispielen vgl. Kunz 2015.[/fn] Unabhängig vom Memorialkult entwickelte es eine reformatorische Propagandawirkung, die noch Jahrhunderte danach genutzt wurde.Kat. Sachsen-Anhalt 2015, Bd. I.1, S. 514, Kat.-Nr. 731.&amp;nbsp;–&amp;nbsp;Maué 2008, S. 63–65, Kat.-Nr. 18–19.&amp;nbsp;–&amp;nbsp;Kunz 2015, S. 236, Kat.-Nr. 2/7.ALS&amp;nbsp;</t>
  </si>
  <si>
    <t xml:space="preserve">http://friedensbilder.gnm.de/sites/default/files/Med14479_vs.tif
http://friedensbilder.gnm.de/sites/default/files/Med14479_rs.tif</t>
  </si>
  <si>
    <t xml:space="preserve">Hundertjahrfeier der Confessio Augustana, Vorderseite, Med 14479</t>
  </si>
  <si>
    <t xml:space="preserve">Hundertjahrfeier der Confessio Augustana, Vorderseite</t>
  </si>
  <si>
    <t xml:space="preserve">http://friedensbilder.gnm.de/content/frieden_foto_order204f3f</t>
  </si>
  <si>
    <t xml:space="preserve">Triumph des Friedens</t>
  </si>
  <si>
    <t xml:space="preserve">RP-P-1963-175</t>
  </si>
  <si>
    <t xml:space="preserve">ca. 1565</t>
  </si>
  <si>
    <t xml:space="preserve">Zeichner
Verleger
Stecher</t>
  </si>
  <si>
    <t xml:space="preserve">Heemskerk, Maarten van
Galle, Theodor
Cort, Cornelis</t>
  </si>
  <si>
    <t xml:space="preserve">Ausst. Kat. Stuttgart / Bochum 1997/1998
Vandommele 2011
Ausst. Kat. Haarlem 1986
Williams / Jacquot 1960
Veldman 1977
Dlugaiczyk 2005
New Hollstein Dutch and Flemish 
Hollstein Dutch and Flemish
Kerrich 1829
Peters 2005</t>
  </si>
  <si>
    <t xml:space="preserve">S. 151–156, Kat.-Nr. 40.8 (Hans-Martin Kaulbach)
S. 131
S. 47–57, Nr. 6.8
S. 362–374
S. 133–141
S. 144–145
Maarten van Heemskerck, Bd. II, S. 167–168, Nr. 489
Bd. IV, S. 230, Nr. 165
Bd. VIII, S. 240, Nr. 134
S. 85, Nr. 8
S. 386–388</t>
  </si>
  <si>
    <t xml:space="preserve">224 x 299</t>
  </si>
  <si>
    <t xml:space="preserve">Allegorie</t>
  </si>
  <si>
    <t xml:space="preserve">2(3)</t>
  </si>
  <si>
    <t xml:space="preserve">MHemskerck inuentor
Theodor Galle excude</t>
  </si>
  <si>
    <t xml:space="preserve">links unten im Bild</t>
  </si>
  <si>
    <t xml:space="preserve">Kreislauf der Welt</t>
  </si>
  <si>
    <t xml:space="preserve">http://friedensbilder.gnm.de/sites/default/files/RP-P-1963-175.tif</t>
  </si>
  <si>
    <t xml:space="preserve">Triumphwagen des Friedens, RP-P-1963-175</t>
  </si>
  <si>
    <t xml:space="preserve">Triumphwagen des Friedens</t>
  </si>
  <si>
    <t xml:space="preserve">Med 3094</t>
  </si>
  <si>
    <t xml:space="preserve">Kat. Amsterdam 1755
Histoire métallique 1747
Sanders 2003
Olding 2003
Bahrfeldt
AuK Slg. Montenuovo 1895</t>
  </si>
  <si>
    <t xml:space="preserve">S. 28–29, Kat.-Nr. 31
S. 104, Nr. 131
S. 71–73, Nr. 31
S. 258, Nr. 903
4723
Nr. 1709–1710</t>
  </si>
  <si>
    <t xml:space="preserve">39,14 g
49</t>
  </si>
  <si>
    <t xml:space="preserve">HOLTZHEY. FEC. 
M.H.</t>
  </si>
  <si>
    <t xml:space="preserve">links, unter Ärmel
auf der Abschnittlinie</t>
  </si>
  <si>
    <t xml:space="preserve">MARIA THERESIA D G. REG. HVNG. BOHEM. ETC.
FACTA FELIX GERMANIA PACE.
BRESLAV. MDCCXLII.</t>
  </si>
  <si>
    <t xml:space="preserve">3.2
70</t>
  </si>
  <si>
    <t xml:space="preserve">Im Ersten Schlesischen Krieg standen sich&amp;nbsp;preußischen und habsburgischen Herrscher&amp;nbsp;Friedrich II.&amp;nbsp;und&amp;nbsp;Maria Theresia&amp;nbsp;gegenüber und rangen um die Vorherrschaft in Schlesien. Nach umfangreichen Gebietsgewinnen für den König in Preußen unterlag Prinz&amp;nbsp;Karl von Lothringen&amp;nbsp;im Mai 1742. Als Generalkapitän der österreichischen Niederlande hatte er die habsburgischen Truppen gegen Preußen in die Schlacht bei Chotusitz geführt, deren Niederlage in den Verträgen von Breslau und Berlin mündete.Der Vorvertrag von Breslau handelte die Hauptpunkte des Friedens von Berlin aus, der den ersten Schlesischen Krieg beendete und die beteiligten Länder befriedete. Daher hält die auf Wolken schwebende Friedenspersonifikation auf dem Revers die verbundenen Wappen Preußens und Österreichs in die Höhe. Vor ihr rechts im Münzbild haben sich Friedrich II. und Karl von Lothringen&amp;nbsp;versöhnt und legen gemeinsam die Kriegsgöttin Bellona in Ketten, die bereits mit zerbrochenen Waffen am Boden liegt.&amp;nbsp;Die idyllische Landschaft im Hintergrund befindet sich bereits wieder im wirtschaftlichen Aufschwung, der pflügende Bauer steht sinnbildlich für diesen Topos.Die Vorderseite der vorliegenden Medaille zeigt eine Büste Maria Theresias, doch stellte der Medailleur Martin Holtzhey&amp;nbsp;auch Exemplare mit dem Bildnis des preußischen Herrschers her,[fn]Siehe&amp;nbsp;Med 4195.[/fn]&amp;nbsp;die er ebenfalls mit dem rückseitigen Stempel kombinierte.ALS</t>
  </si>
  <si>
    <t xml:space="preserve">http://friedensbilder.gnm.de/sites/default/files/Med3094_vs.tif
http://friedensbilder.gnm.de/sites/default/files/Med3094_rs.tif</t>
  </si>
  <si>
    <t xml:space="preserve">Auf den Frieden von Breslau 1742, Vorderseite, Med 3094
Auf den Frieden von Breslau 1742, Rückseite, Med 3094</t>
  </si>
  <si>
    <t xml:space="preserve">http://friedensbilder.gnm.de/content/frieden_foto_order204dc8</t>
  </si>
  <si>
    <t xml:space="preserve">Hertzliche Glückwünschunge zur Friedmnachung deßlöblichen Hauses Sachsen und Brandenburg/ mit deß gantzen Christlichen Kreisses vorschub und besten vollenzogen zu Jutrobock den 21. Martij anno Christi 1611</t>
  </si>
  <si>
    <t xml:space="preserve">H: T 611.4° Helmst. (4)</t>
  </si>
  <si>
    <t xml:space="preserve">Taubmann, Friedrich</t>
  </si>
  <si>
    <t xml:space="preserve">Magdeburg</t>
  </si>
  <si>
    <t xml:space="preserve">14:081346A</t>
  </si>
  <si>
    <t xml:space="preserve">http://diglib.hab.de/drucke/t-611-4f-helmst-4/start.htm</t>
  </si>
  <si>
    <t xml:space="preserve">4 Bl. </t>
  </si>
  <si>
    <t xml:space="preserve">verkürzte Signatur</t>
  </si>
  <si>
    <t xml:space="preserve">Zu Magdeburgk/ Anno 1611.</t>
  </si>
  <si>
    <t xml:space="preserve">Im unteren Teil des Titelblattes finden sich zwei Wappen. Dabei handelt es sich zum einen um das Wappen der Stadt Wittenberg (links) sowie um das Wappen des Heiligen Römischen Reiches deutscher Nation (rechts).&amp;nbsp;&amp;nbsp;</t>
  </si>
  <si>
    <t xml:space="preserve">http://diglib.hab.de/drucke/t-611-4f-helmst-4/00001.jpg</t>
  </si>
  <si>
    <t xml:space="preserve">Hertzliche Glückwunschunge zur Friedmachung deß löblichen Hauses Sachsen und Brandenburg, H: T 611.4° Helmst. (4)</t>
  </si>
  <si>
    <t xml:space="preserve">Hertzliche Glückwunschunge zur Friedmachung deß löblichen Hauses Sachsen und Brandenburg</t>
  </si>
  <si>
    <t xml:space="preserve">  Friedens-Triumph Wegen der Vergleichung Die Durch Gottes Gnad/ und Zuthun Vieler Christlicher Könige/ Fürsten und Stände/ darzu verordneten Herrn Abgesandten.</t>
  </si>
  <si>
    <t xml:space="preserve">Xb 9350</t>
  </si>
  <si>
    <t xml:space="preserve">September 1635</t>
  </si>
  <si>
    <t xml:space="preserve"> 23:713214M</t>
  </si>
  <si>
    <t xml:space="preserve"> Zwischen Der Kron Pohlen unnd Schweden zu Stumsdorff in Preussen glücklichen getroffen ist</t>
  </si>
  <si>
    <t xml:space="preserve">622956590"</t>
  </si>
  <si>
    <t xml:space="preserve">Verfasser sowie Drucker und Druckort sind unbekannt. Darüber hinaus lassen sich keine weiterführenden Informationen zu der Quelle finden. Eine Besonderheit des Gedichtes stellt die direkte Anrede des Lesers dar. </t>
  </si>
  <si>
    <t xml:space="preserve">Friedens-Triumph Wegen der Vergleichung Die Durch Gottes Gnad/ und Zuthun Vieler Christlicher Könige/ Fürsten und Stände/ darzu verordneten Herrn Abgesandten., Xb 9350</t>
  </si>
  <si>
    <t xml:space="preserve">Friedens-Triumph Wegen der Vergleichung Die Durch Gottes Gnad/ und Zuthun Vieler Christlicher Könige/ Fürsten und Stände/ darzu verordneten Herrn Abgesandten.</t>
  </si>
  <si>
    <t xml:space="preserve">Ecloga oder Gespräch zweyer Hirten nemlichen des Damons und Coridons vom Krieg und Friede. </t>
  </si>
  <si>
    <t xml:space="preserve">202.79 Quod. (42) </t>
  </si>
  <si>
    <t xml:space="preserve">Herz/Ball 2008</t>
  </si>
  <si>
    <t xml:space="preserve">72-74</t>
  </si>
  <si>
    <t xml:space="preserve"> 23:235198T</t>
  </si>
  <si>
    <t xml:space="preserve">http://diglib.hab.de/drucke/202-79-quod-42/start.htm</t>
  </si>
  <si>
    <t xml:space="preserve">171.42 Quod. (27)</t>
  </si>
  <si>
    <t xml:space="preserve">8 Bl. </t>
  </si>
  <si>
    <t xml:space="preserve">Gehalten zwischen etlichen Eichen im Jahr 1639.</t>
  </si>
  <si>
    <t xml:space="preserve">331490730"</t>
  </si>
  <si>
    <t xml:space="preserve">Das Werk stammt vermutlich von Christian Gueintz (1592-1650). Das kann aus einer Korrespondenz zwischen Diederich von Werder und Fürst Ludwig von Anhalt-Köthen entnommen werden. Darin übermittelt Werder dem Fürsten die Dichtung.[fn]vgl. http://diglib.hab.de/content.php?dir=edoc/ed000218&amp;amp;distype=optional&amp;amp;xml=briefe%2F400514.xml&amp;amp;xsl=tei-transcript.xsl&amp;amp;metsID=edoc_ed000218_briefe_1640_400514_1[/fn] Werder, Gueintz und Fürst Ludwig gehörten der Fruchtbringenden Gesellschaft an.Gueintz war Pädagoge und Grammatiker und arbeitete u.a. als Erzieher Gebhards von Alvensleben und Philipps von Zesen. 1641 wurde er als der Ordnende in die Fruchtbringende Gesellschaft aufgenommen.Herz/Ball 2008</t>
  </si>
  <si>
    <t xml:space="preserve">http://diglib.hab.de/drucke/202-79-quod-42/00000003.gif</t>
  </si>
  <si>
    <t xml:space="preserve">Ecloga oder Gespräch zweyer Hirten nemlichen des Damons und Coridons vom Krieg und Friede. Gehalten zwischen etlichen Eichen im Jahr 1639., 202.79 Quod. (42) </t>
  </si>
  <si>
    <t xml:space="preserve">Ecloga oder Gespräch zweyer Hirten nemlichen des Damons und Coridons vom Krieg und Friede. Gehalten zwischen etlichen Eichen im Jahr 1639.</t>
  </si>
  <si>
    <t xml:space="preserve">Friedensrede</t>
  </si>
  <si>
    <t xml:space="preserve">A: 171.42 Quod. (9)</t>
  </si>
  <si>
    <t xml:space="preserve">Drucker
Verfasser</t>
  </si>
  <si>
    <t xml:space="preserve">Gundermann, Tobias 
Werder, Diederich von dem</t>
  </si>
  <si>
    <t xml:space="preserve">Hamburg</t>
  </si>
  <si>
    <t xml:space="preserve">Dünnhaupt 1973
Ball 2009</t>
  </si>
  <si>
    <t xml:space="preserve">23:235156B</t>
  </si>
  <si>
    <t xml:space="preserve">http://diglib.hab.de/drucke/171-42-quod-9/start.htm
http://diglib.hab.de/edoc/ed000218/start.htm</t>
  </si>
  <si>
    <t xml:space="preserve">Xb 10318 (3)</t>
  </si>
  <si>
    <t xml:space="preserve">43 S.</t>
  </si>
  <si>
    <t xml:space="preserve">Hamburg/ Bey Tobias Gundermann. Im Jahr 1639.</t>
  </si>
  <si>
    <t xml:space="preserve">Es können vier zeitgenössische Ausgaben der Friedensrede verzeichnet werden (Hamburg 1639 und 1640, Köthen 1639, Weimar 1640). Dünnhaupt datiert die erste Aufführung der Rede auf den August oder September 1639. Außerdem gibt er an, dass der Druck der Erstausgabe in der fürstlichen Druckerei zu Köthen erfolgte, was aus Korrepsondenzen zwischen Werder und dem Füsten Ludwig von Anhalt-Köthen hervorgeht. Die Erstausgabe gilt heute als verschollen. Die hier vorliegende Ausgabe, gedruckt in Hamburg 1639, kann aufgrund von zahlreichen Satzfehlern als Raubdruck eingestuft werden. Es hat sich nur ein Unikat im Vredespaleis (Friedenspalast) in Den Haag erhalten. Zum Ende des Ersten Weltkrieges wurde ein Nachdruck der Hamburger Ausgabe veröffentlicht. Die Friedensrede kann als Teilparaphrase der Klage des Friedens des Erasmus von Rotterdam (1517) angesehen werden. In der Forschung wird die Nennung des Sohnes, Paris von dem Werder, als Autor auf die Bescheidenheit Diederichs zurückgeführt.[fn]Dünnhaupt 1973, S.77-100.[/fn] Seine Verfasserschaft kann zweifelsfrei anhand von fruchtbringerischen Briefwechseln nachgewiesen werden. Ball 2009 — Dünnhaupt 1973</t>
  </si>
  <si>
    <t xml:space="preserve">Der Schreibtstil ist für einen mündlichen Vortrag geeignet. Die Rede wurde u.a. auf dem Kurfürstentag in Nürnberg 1640 aufgeführt. Die Zuhörerschaft scheint gemischt, was aufgrund der Anreden zu Beginn abgeleitet werden kann. Neben dem bloßen Vortrag, wird der Sohn (Paris von dem Werder) als Frieden kostümiert. Außerdem wird das Bühnenbild geändert; entsprechende Anweisungen finden sich im Text. Damit versucht die Rede eine starke Wirkung sowohl durch die Sprache, als auch durch den Vortrag bei den Zuhörern zu erzielen. [fn]Dünnhaupt 1973, S.77-100.[/fn]</t>
  </si>
  <si>
    <t xml:space="preserve">http://diglib.hab.de/drucke/171-42-quod-9/00001.jpg</t>
  </si>
  <si>
    <t xml:space="preserve">Friedensrede, A: 171.42 Quod. (9)</t>
  </si>
  <si>
    <t xml:space="preserve">Friedenswunsch Dem Durchleuchtigen und Hochgebornen Fürsten und Herren/ Herrn Augusto, Hertzogen zu Braunschweig und Lüneburg/ [et]c. </t>
  </si>
  <si>
    <t xml:space="preserve">H: Q 163.2° Helmst. (186)</t>
  </si>
  <si>
    <t xml:space="preserve">Gruber, Balthasar
Schottel, Justus Georg</t>
  </si>
  <si>
    <t xml:space="preserve">Braunschweig</t>
  </si>
  <si>
    <t xml:space="preserve">Berns 1984</t>
  </si>
  <si>
    <t xml:space="preserve">23:668276B</t>
  </si>
  <si>
    <t xml:space="preserve">http://diglib.hab.de/drucke/g-3-a-25/start.htm</t>
  </si>
  <si>
    <t xml:space="preserve">40,5 x 33,5 </t>
  </si>
  <si>
    <t xml:space="preserve">G3:A25</t>
  </si>
  <si>
    <t xml:space="preserve">1 Bl.</t>
  </si>
  <si>
    <t xml:space="preserve">Zum Hochverhofften Glücklichen Eingange deß 1642. Jahres Unterthänigst überreichet</t>
  </si>
  <si>
    <t xml:space="preserve"> 	 53712098X</t>
  </si>
  <si>
    <t xml:space="preserve">Braunschweig/ Gedruckt bey Balthasar Grubern/ Im Jahr nach Christi unsers Erlösers und Seeligmachers Geburth 1642.</t>
  </si>
  <si>
    <t xml:space="preserve">Im Text finden sich Verweise auf Vergils Aeneis.Das Flugblatt kommt ohne graphische Darstellung aus. Der Text wird in zwei Spalten wiedergegeben. Anmerkungen am Rand helfen dem Leser beim Verständnis des Textes. Da Schottelius zu dieser Zeit am Wolfenbüttler Hof als Erzieher der Fürstenkinder tätig war, liegt die Annahme nahe, dass es sich um eine Auftragsarbeit handelt.</t>
  </si>
  <si>
    <t xml:space="preserve">http://diglib.hab.de/drucke/g-3-a-25/g-3-a-25.jpg</t>
  </si>
  <si>
    <t xml:space="preserve">Friedenswunsch Dem  Durchleuchtigen und Hochgebornen Fürsten und Herren/ Herrn Augusto, Hertzogen zu Braunschweig und Lüneburg/ [et]c. Zum Hochverhofften Glücklichen Eingange deß 1642. Jahres Unterthänigst überreichet, H: Q 163.2° Helmst. (186)</t>
  </si>
  <si>
    <t xml:space="preserve">Friedenswunsch Dem  Durchleuchtigen und Hochgebornen Fürsten und Herren/ Herrn Augusto, Hertzogen zu Braunschweig und Lüneburg/ [et]c. Zum Hochverhofften Glücklichen Eingange deß 1642. Jahres Unterthänigst überreichet</t>
  </si>
  <si>
    <t xml:space="preserve">Neu erfundenes Freudenspiel genandt Friedens Sieg. </t>
  </si>
  <si>
    <t xml:space="preserve">M: Lo 6992</t>
  </si>
  <si>
    <t xml:space="preserve">Buno, Konrad
Schottel, Justus Georg</t>
  </si>
  <si>
    <t xml:space="preserve">Bertram 2003
Berns 1984
Berns 1981</t>
  </si>
  <si>
    <t xml:space="preserve">23:249409D</t>
  </si>
  <si>
    <t xml:space="preserve">http://diglib.hab.de/wdb.php?dir=drucke/lo6992&amp;pointer=2</t>
  </si>
  <si>
    <t xml:space="preserve">157 S.</t>
  </si>
  <si>
    <t xml:space="preserve">In Gegenwart vieler Chur- und fürstlicher auch anderer Vornehmen Personen, in dem fürstl. Burgsaal zu Braunschweig im Jahr 1642 von lauter kleinen Knaben vorgestellt.</t>
  </si>
  <si>
    <t xml:space="preserve">Das Friedensfestspiel, ein gutes Beispiel für ein Gelegenheitsdrama, wurde uraufgeführt im Februar 1642 in Braunschweig (Burg Dankwarderode), nachdem der Dreißigjährige Krieg in den welfischen Herzogtümern durch den Separatfrieden von Goslar zwischen dem Welfenhaus, dem Kaiser und Brandenburg beendet worden war. Im Oktober 1648, nach Beendigung der Verhandlungen in Münster und Osnabrück, fand eine zweite Vorführung im Schloss Wolfenbüttel statt, bei der auch der Kurfürst Friedrich Wilhelm von Brandenburg sowie Herzog Julius Heinrich von Sachsen anwesend waren. Gedruckt wurde das Werk erst nach der Friedensfeier in Wolfenbüttel als illustrierter Separatdruck. Im Vorwort des Verfassers wird deutlich, dass die Veröffentlichung von verschiedenen Seiten gewünscht wurde. Bereits vor Abschluss der Friedensverhandlungen wurde die Veröffentlichung geplant. Schottel beklagt in seinem Schauspiel das verarmte Deutschland, die Gier der Menschen und ihre Uneinigkeit, stellt jedoch heraus, dass am Ende doch erkannt werden muss, dass nur Frieden die geschwächte wirtschaftliche und politische Situation in Deutschland verbessern kann. Der Text greift auf eine kindliche Naivität zurück, "[...] um die Reinheit des gottgeschenkten Ereignisses ins Bewusstsein zu rufen."[fn]van Ingen 1998, S.360.[/fn] Zudem stellt er den Pazifismus des Wolfenbüttler Hofes deutlich heraus. Herzogin Anna Sophia von Braunschweig-Lüneburg komponierte die Musik für das Stück. Die Handlung ist aufgeteilt in drei Akte, die jeweils eingeteilt sind in eine Vor-, Zwischen- und Nachrede; dazwischen eingeschobene Lieder. Außerdem können zwei Trionfo-Schemata in dem Stück nachgewiesen werden (Glück und Frieden). Neben dem Ausdruck über den wiedererlangten Frieden gehören Wertevermittlung und Rühmung der deutschen Sprache zu den Hauptzielen Schottels. Die Hauptrollen wurden besetzt durch die Söhne Augusts II. von Braunschweig-Wolfenbüttel; Schottel war zur Zeit der Aufführung deren Präzeptor. So spielte Anton Ulrich das Glück und Heinrich den Löwen, Ferdinand Albrecht stellte den Frieden und Cupido dar. Die anderen Figuren wurden von Söhnen des Ministerialadels und Pagen verkörpert. Damit wird die höfische Hierarchie in der Besetzung wiedergegeben. Gleichzeitg kann in dem Werk eine scharfe Kritik des Absolutismus festgemacht werden. Mehrere Aufführungen und zwei Druckauflagen lassen darauf schließen, dass das Friedensspiel viel Anklang fand.
Bertram 2003&amp;nbsp;— Roick 2013 — Berns 1981 — Roloff 2010
</t>
  </si>
  <si>
    <t xml:space="preserve">Ordnungsvorstellungen der realen Welt in die Welt der Sprache transportiert
</t>
  </si>
  <si>
    <t xml:space="preserve">http://diglib.hab.de/drucke/lo6992/00003.jpg
http://friedensbilder.gnm.de/sites/default/files/Schottel.jpg</t>
  </si>
  <si>
    <t xml:space="preserve">1642 schlossen Kaiser Ferdinand III., das Kurfürstentum Brandenburg und das Welfenhaus den Separatfrieden von Goslar, mit dem der seit 1618 andauernde Krieg im Fürstentum Braunschweig-Lüneburg beendet wurde. Zu diesem Anlass verfasste Justus Georg Schottel (1612–1676) sein Schauspiel, welches noch im selben Jahr uraufgeführt wurde. Nach den endgültigen Friedensverhandlungen in Münster und Osnabrück 1648 wurde das Stück ein zweites Mal aufgeführt und auch gedruckt. Das Schauspiel besteht aus drei Akten; die Musik komponierte die Herzogin Sophie Elisabeth von Braunschweig-Wolfenbüttel (1613–1676). Die Hauptrollen besetzte Schottel mit den Söhnen Augusts II. (1579–1666). So spielte Anton Ulrich (1633–1714) das Glück und Heinrich den Löwen, sein Bruder Ferdinand Albrecht (1636–1687) den Frieden und Cupido. Andere auftretende Charaktere wurden von den Söhnen des Ministerialadels und von Pagen verkörpert. Die höfische Hierarchie spiegelte sich auf diese Weise in der Besetzung wider. Schottel beklagt in seinem Schauspiel das verarmte Deutschland, die Gier der Menschen und die Uneinigkeit zwischen ihnen. Nur der Friede könne die wirtschaftlichen und zwischenmenschlichen Verhältnisse verbessern. Daneben rühmt Schottel die deutsche Sprache. Als Mitglied der Fruchtbringenden Gesellschaft und des Pegnesischen Blumenordens beteiligte er sich rege an der Sprachdebatte der Zeit. Und so projiziert er in diesem Text die realen Verhältnisse auf die Welt der Sprache. Die tatsächliche Kriegssituation wird mit dem Sprachenkrieg gleichgesetzt, denn für Schottel und seine Mitstreiter galten das Land und seine Sprache als überfremdet. Das Deutsche sollte verteidigt werden.&amp;nbsp;
&amp;nbsp;
FB
</t>
  </si>
  <si>
    <t xml:space="preserve">Neu erfundenes Freudenspiel genandt Friedens Sieg, M: Lo 6992</t>
  </si>
  <si>
    <t xml:space="preserve">https://friedensbilder-neu.gnm.de/sites/default/files/2019-06/M_Lo_6992.png</t>
  </si>
  <si>
    <t xml:space="preserve">Neu erfundenes Freudenspiel genandt Friedens Sieg</t>
  </si>
  <si>
    <t xml:space="preserve">http://friedensbilder.gnm.de/content/frieden_foto_order1c445a</t>
  </si>
  <si>
    <t xml:space="preserve">Lob-Gesang/ Uber den nun viel Jahr hero von so vieler Tausend Christen Seelen geseufftzeten! </t>
  </si>
  <si>
    <t xml:space="preserve">N 8.2° Helmst. (19)</t>
  </si>
  <si>
    <t xml:space="preserve">Reich, Johann</t>
  </si>
  <si>
    <t xml:space="preserve">23:269893V</t>
  </si>
  <si>
    <t xml:space="preserve">http://www.gbv.de/vd/vd17/23:269893V</t>
  </si>
  <si>
    <t xml:space="preserve">4 Bl.</t>
  </si>
  <si>
    <t xml:space="preserve">Franziska Bauer </t>
  </si>
  <si>
    <t xml:space="preserve">Nunmehr aber/ durch Gottes überreiche Gnade/ erlangten lieben Frieden</t>
  </si>
  <si>
    <t xml:space="preserve">Die Jahreszahl der Veröffentlichung ist dargestellt in einem Chronogramm, am Textanfang steht jedoch 1645, am Textende 1650. Eventuell handelt es sich dabei um einen Druckfehler.&amp;nbsp; Es gibt noch einen zweiten Druck an der ULB Sachsen-Anhalt, der nicht mit hier vorliegenden Exemplar identisch ist, dabei ist das Chronogramm auf dem Titelbaltt ebenfalls 1650.(VD17  3:674220K)</t>
  </si>
  <si>
    <t xml:space="preserve">http://www.gbv.de/durl/597ccf33-9787-48bf-8440-536abc82b4b2?width=0</t>
  </si>
  <si>
    <t xml:space="preserve">Lob-Gesang/  Uber den nun viel Jahr hero von so vieler Tausend Christen Seelen geseufftzeten! , N 8.2° Helmst. (19)</t>
  </si>
  <si>
    <t xml:space="preserve">Lob-Gesang/  Uber den nun viel Jahr hero von so vieler Tausend Christen Seelen geseufftzeten! </t>
  </si>
  <si>
    <t xml:space="preserve">Seuffzer nach dem Guldinen Friden</t>
  </si>
  <si>
    <t xml:space="preserve">HB 692, Kapsel 1220</t>
  </si>
  <si>
    <t xml:space="preserve">Heyden, Jakob van der</t>
  </si>
  <si>
    <t xml:space="preserve">Straßburg</t>
  </si>
  <si>
    <t xml:space="preserve">Paas
Ausst. Kat. München 1980
Westphal 2008
Harms
Niemitz 2008
Ausst. Kat. Coburg 1983</t>
  </si>
  <si>
    <t xml:space="preserve">Bd. VII, S. 305, Nr. P-2173
Bd. II, Kat.-Nr. 769
S. 128–129
Bd. II, S. 542, Nr. 310
S. 152–154 und S. 432, Abb. 163
S. 212, Kat.-Nr. 103 (Beate Rattay)</t>
  </si>
  <si>
    <t xml:space="preserve">22,2 x 34,2 cm </t>
  </si>
  <si>
    <t xml:space="preserve">Bayerische Staatsbibliothek</t>
  </si>
  <si>
    <t xml:space="preserve">München</t>
  </si>
  <si>
    <t xml:space="preserve">Einbl. V,8 a-98</t>
  </si>
  <si>
    <t xml:space="preserve">52,5 x 38,5 cm (Blatt)</t>
  </si>
  <si>
    <t xml:space="preserve">Allen Christlichen Potentaten / ja allen Christlichen Hertzen zu bedencken.</t>
  </si>
  <si>
    <t xml:space="preserve">Symbol</t>
  </si>
  <si>
    <t xml:space="preserve">rechts unten im Bild</t>
  </si>
  <si>
    <t xml:space="preserve">Nr. 2809
Nr. 1076</t>
  </si>
  <si>
    <t xml:space="preserve">Den Mittelpunkt der Komposition bildet ein Tisch, an dem Papst&amp;nbsp;Innozenz X.&amp;nbsp;und ein Jesuit als Vertreter der katholischen Seite sowie ein protestantischer Geistlicher in eine Diskussion vertieft sind. Links im Vordergrund ist Christus zu sehen, hinter ihm ein "Straff-Engel", der die Leiden des Krieges durch Marterwerkzeuge visualisiert. "Die unschuldigen Seelen" verkörpern zwei Kinder – eines davon verstümmelt – die ihre Bitten an Christus richten. Um die Hauptszene sitzen weltliche und geistliche Fürsten, die als Zeichen ihrer Friedfertigkeit mit Olivenzweigen umwickelte Schwerter tragen.[fn]In der Reihe unmittelbar hinter dem Papst und dem Jesuiten befinden sich von links nach rechts:&amp;nbsp;Kaiser&amp;nbsp;Ferdinand III.,&amp;nbsp;Ludwig XIV., König&amp;nbsp;Philipp IV.&amp;nbsp;von Spanien, der sächsische Kurfürst&amp;nbsp;Johann Georg I.&amp;nbsp;und&amp;nbsp;Kurfürst&amp;nbsp;Friedrich Wilhelm&amp;nbsp;von Brandenburg.&amp;nbsp;Für folgende Figuren war eine Namensänderung nur im Text nötig (1645 bereits verstorben):&amp;nbsp;Kaiser&amp;nbsp;Ferdinand II.,&amp;nbsp;Ludwig XIII.&amp;nbsp;und&amp;nbsp;Georg Wilhelm, Kurfürst von Brandenburg, der Herzog von Lothringen&amp;nbsp;Karl IV.,&amp;nbsp;Georg II. Rákóczi&amp;nbsp;(seit 1642 gemeinsam mit seinem Vater Fürst von Siebenbürgen) und König&amp;nbsp;Johann IV.&amp;nbsp;von Portugal. An den beiden Längsseiten folgen links der Kurfürst von Köln&amp;nbsp;Ferdinand von Bayern, der&amp;nbsp;Mainzer Erzbischof&amp;nbsp;Anselm Casimir&amp;nbsp;und&amp;nbsp;Maximilian I. von Bayern. Gegenüber befinden sich der schwedische Reichskanzler&amp;nbsp;Axel Oxenstierna&amp;nbsp;und&amp;nbsp;Friedrich Heinrich von Oranien. Über der letzten Figur wurde der Name des hessischen Landgrafen auf der Platte getilgt, was zugleich einen Hinweis auf die Genese der Darstellung liefert.[/fn]
Die Radierung Jacob van der Heydens&amp;nbsp; erschien erstmals 1636 in Straßburg.[fn] Im gleichen Jahr erschien ein ähnliches Blatt in Amsterdam 1636, ein Exemplar heute ein der Herzog-August-Bibliothek Wolfenbüttel, "Raet en middel tot vrede...", Inv.-Nr. IH 21. Der Typendruck besteht aus niederländischen Rederijkerversen, dazu gibt es eine kurze deutsche Zusammenfassung in Alexandrinern. Die an den Seiten sitzenden Figuren rahmen als Porträtmedaillons die Hauptszene. Da alle weiteren Auflagen das Blatt van der Heydens kopieren und es sonst keine weiteren niederländischen Beispiele gibt, dürfte das Straßburger Exemplar den Originalentwurf geliefert haben. Zur niederländischen Ausgabe von 1636 siehe Harms Bd. II, S. 542, Nr. 310. Zur ersten von van der Heyden 1636 siehe Niemitz 2008, S. 152–154; S. 432, Abb. 163.&amp;nbsp; Zur Ausgabe von 1647 Ausst. Kat. Coburg 1983, S. 212, Kat.-Nr. 103 (Beate Rattay).[/fn]&amp;nbsp;Das Blatt im Germanischen Nationalmuseum stammt aus dem Jahr 1645, zeigt dieselbe Szene, variiert allerdings die anwesenden Figuren.&amp;nbsp;Der hessische Landgraf&amp;nbsp;Wilhelm V. war 1637 verstorben und&amp;nbsp; da&amp;nbsp;Wilhelm VI.&amp;nbsp;erst 1650 dessen Nachfolge antrat, fällt das hier vorliegende Blatt in die Zeit der mütterlichen Vormundschaft unter&amp;nbsp;Amalie Elisabeth von Hanau-Münzenberg. Das männliche Porträt behielt man unverändert bei, doch ließ der Verleger[fn]Alle späteren Auflagen tragen das Monogramm&amp;nbsp;Jacob van der Heydens. Laut AKL Bd. LXXIII, [Art.] Jacob van der Heyden, S. 43 (Georges Frechet) verstarb dieser jedoch bereits 1636 und sein Bruder Lazare übernahm das Anwesen (und den Verlag?) in der Rue de l'Outre in Straßburg. Auch Meurer verweist auf die mögliche Verwechslung mit einer Arnheimer Familie gleichen Namens, die in den 1640er Jahren noch produktiv war. Die letzten datierbaren Werke von Jacob van der Heyden stammen aus dem Jahr 1636, siehe Peter Meurer: Der Straßburger Kartenverlag Jacob van der Heyden, in: Paula van Gestel-van het Schip und Peter van der Krogt (Hrsg.): Mappae Antique. Liber Amicorum Günter Schilder. 'T Goy 2007, S. 221–243.[/fn]&amp;nbsp;den Namen tilgen und begnügte sich mit der Nennung Hessens. Auch die bereits Verstorbenen&amp;nbsp;Ferdinand von Spanien&amp;nbsp;und&amp;nbsp;Viktor Amadeus I. von Savoyen&amp;nbsp;wurden im Bild durch den ungarischen und den portugiesischen Fürsten ersetzt.
Der zugehörige Text ist inhaltlich dreigeteilt: Den Hauptteil nimmt die Diskussion der Geistlichen ein, in der Christus vor allem die Kriegsgräuel scharf kritisiert. Daran schließen die Klagen der Kinder an, bevor im letzten Teil die weltlichen und geistlichen Fürsten ihre Bereitschaft zum Frieden beteuern. Anders als das Bild, trägt der Text gegenüber der veränderten politischen Situation keine Rechnung. Wie auch in der Erstauflage von 1636 ist der Friede von Prag (1635) das Thema, auf das sich die Rede des sächsischen Kurfürsten bezieht “Ich bin auff Keysers Seit getretten mit begir / &amp;nbsp;Vermeyn das gantze Reich solt richtig folgen mir.”
1647 erschien eine dritte Auflage, deren bedeutendste Veränderung wohl in einer Neubenennung des Repräsentanten der Niederlande liegen dürfte. Hier sitzt nun nicht mehr Frederik Hendrik von Oranien-Nassau, der im März 1647 gestorben war und somit einen&amp;nbsp;terminus post quem&amp;nbsp;für die dritte Auflage liefert, sondern ein Vertreter der “General Staden”. Statthalterlicher Nachfolger war zwar bereits im gleichen Jahr&amp;nbsp;Wilhelm II.,&amp;nbsp;doch da sich dieser gegen die Friedensverhandlungen mit Spanien wandte, fand er in dem Friedensbild keinen Platz.
ALS
</t>
  </si>
  <si>
    <t xml:space="preserve">http://daten.digitale-sammlungen.de/~db/0009/bsb00099481/images/bsb00099481_00001.jpg
http://friedensbilder.gnm.de/sites/default/files/HB692.tif</t>
  </si>
  <si>
    <t xml:space="preserve">Den Mittelpunkt der Komposition bildet ein Tisch, an dem&amp;nbsp;Papst&amp;nbsp;Innozenz X.&amp;nbsp;und ein Jesuit als Vertreter der katholischen Seite sowie ein protestantischer Geistlicher in eine Diskussion vertieft sind. Links im Vordergrund ist Christus zu sehen, hinter ihm ein "Straff-Engel", der die Leiden des Krieges durch Marterwerkzeuge visualisiert. "Die unschuldigen Seelen" verkörpern zwei Kinder – eines davon verstümmelt – die ihre Bitten an Christus richten. Um die Hauptszene sitzen weltliche und geistliche Fürsten, die als Zeichen ihrer Friedfertigkeit mit Olivenzweigen umwickelte Schwerter tragen.
Die Radierung&amp;nbsp;Jacob van der Heydens&amp;nbsp; erschien erstmals 1636 in Straßburg. Das Blatt im Germanischen Nationalmuseum stammt aus dem Jahr 1645, zeigt dieselbe Szene, variiert allerdings die anwesenden Figuren.&amp;nbsp;Der hessische Landgraf&amp;nbsp;Wilhelm V.&amp;nbsp;war 1637 verstorben und&amp;nbsp; da&amp;nbsp;Wilhelm VI.&amp;nbsp;erst 1650 dessen Nachfolge antrat, fällt das hier vorliegende Blatt in die Zeit der mütterlichen Vormundschaft unter&amp;nbsp;Amalie Elisabeth von Hanau-Münzenberg. Das männliche Porträt behielt man unverändert bei, doch ließ der Verleger den Namen tilgen und begnügte sich mit der Nennung Hessens. Auch die bereits Verstorbenen&amp;nbsp;Ferdinand von Spanien&amp;nbsp;und&amp;nbsp;Viktor Amadeus I. von Savoyen&amp;nbsp;wurden im Bild durch den ungarischen und den portugiesischen Fürsten ersetzt.
Der zugehörige Text ist inhaltlich dreigeteilt: Den Hauptteil nimmt die Diskussion der Geistlichen ein, in der Christus vor allem die Kriegsgräuel scharf kritisiert. Daran schließen die Klagen der Kinder an, bevor im letzten Teil die weltlichen und geistlichen Fürsten ihre Bereitschaft zum Frieden beteuern. Anders als das Bild, trägt der Text gegenüber der veränderten politischen Situation keine Rechnung. Wie auch in der Erstauflage von 1636 ist der Friede von Prag (1635) das Thema, auf das sich die Rede des sächsischen Kurfürsten bezieht “Ich bin auff Keysers Seit getretten mit begir / &amp;nbsp;Vermeyn das gantze Reich solt richtig folgen mir.”
1647 erschien eine dritte Auflage, deren bedeutendste Veränderung wohl in einer Neubenennung des Repräsentanten der Niederlande liegen dürfte. Hier sitzt nun nicht mehr Frederik Hendrik von Oranien-Nassau, der im März 1647 gestorben war und somit einen&amp;nbsp;terminus post quem&amp;nbsp;für die dritte Auflage liefert, sondern ein Vertreter der “General Staden”. Statthalterlicher Nachfolger war zwar bereits im gleichen Jahr&amp;nbsp;Wilhelm II.,&amp;nbsp;doch da sich dieser gegen die Friedensverhandlungen mit Spanien wandte, fand er in dem Friedensbild keinen Platz.
ALS
</t>
  </si>
  <si>
    <t xml:space="preserve">Seuffzer nach dem Guldinen Friden /, HB 692, Kapsel 1220
Seuffzer nach dem Guldinen Friden /, HB 692, Kapsel 1220</t>
  </si>
  <si>
    <t xml:space="preserve">https://friedensbilder-neu.gnm.de/sites/default/files/2019-06/HB692.png</t>
  </si>
  <si>
    <t xml:space="preserve">Seuffzer nach dem Guldinen Friden /
Seuffzer nach dem Guldinen Friden /</t>
  </si>
  <si>
    <t xml:space="preserve">http://friedensbilder.gnm.de/content/frieden_foto_order1f941e</t>
  </si>
  <si>
    <t xml:space="preserve">Frieden-Seufftzer:</t>
  </si>
  <si>
    <t xml:space="preserve">Q: 153.2° Helmst. (51)</t>
  </si>
  <si>
    <t xml:space="preserve">23:272674B </t>
  </si>
  <si>
    <t xml:space="preserve">http://www.gbv.de/durl/b5653d99-7108-47e9-8ac6-e862ef3edff3?width=800</t>
  </si>
  <si>
    <t xml:space="preserve">31,5 x 18,5 </t>
  </si>
  <si>
    <t xml:space="preserve"> Daß der rechte Frieden-Gott uns den langgewündschten güldenen Religion und Prophan-Frieden geben wolle </t>
  </si>
  <si>
    <t xml:space="preserve">Jahreszahl abgebildet durch ein Chronogramm
</t>
  </si>
  <si>
    <t xml:space="preserve">http://friedensbilder.gnm.de/sites/default/files/titelblatt_3.tif</t>
  </si>
  <si>
    <t xml:space="preserve">Der Text des Einblattdrucks von 1648 bedient sich einiger sprachlicher und stilistischer Besonderheiten, um seine Botschaft, die Sehnsucht nach einem allgemeinen Frieden, zu vermitteln. Das Akrostichon kommt ohne das Wort Krieg aus, dem Frieden wird stattdessen der Unfrieden gegenübergestellt. Außerdem kommt das Wort Friede in jedem Vers vor und ist immer in Versalien gedruckt. Der Untertitel des Flugblattes lautet: „Daß der rechte Frieden-Gott uns den langgewündschten güldnen Religion und Prophan-Frieden geben wolle.“ Unter dem Profanfrieden versteht man den Ewigen Reichslandfrieden von 1495. Die Verbindung des Profanfriedens mit dem Augsburger Religionsfrieden von 1555 umfasst die wichtigsten Friedenseinigungen als Reichsgrundgesetz. Geht man vom Text des Flugblattes aus, scheinen die Verhandlungen in Münster und Osnabrück 1648 noch nicht abgeschlossen zu sein. Es wäre daher denkbar, dass der Autor hier Verbindung zwischen den bereits bestehenden Bestimmungen und den Verhandlungen herstellen wollte.&amp;nbsp;
FB
</t>
  </si>
  <si>
    <t xml:space="preserve">Frieden-Seufftzer:  Daß der rechte Frieden-Gott uns den langgewündschten güldenen Religion und Prophan-Frieden geben wolle , Q: 153.2° Helmst. (51)</t>
  </si>
  <si>
    <t xml:space="preserve">https://friedensbilder-neu.gnm.de/sites/default/files/2019-06/Q-153.2°-Helmst.-(51).png</t>
  </si>
  <si>
    <t xml:space="preserve">Frieden-Seufftzer:  Daß der rechte Frieden-Gott uns den langgewündschten güldenen Religion und Prophan-Frieden geben wolle </t>
  </si>
  <si>
    <t xml:space="preserve">http://friedensbilder.gnm.de/content/frieden_foto_order1c43ab</t>
  </si>
  <si>
    <t xml:space="preserve">Leichbegengnuß Des nunmehr zum Endgeloffenen und verstorbenen Treves in den Niederländischen Provincien wie derselbige begraben und mit grossen Wehklagen zur Erden bestetiget wird</t>
  </si>
  <si>
    <t xml:space="preserve">HB 24519, Kapsel 1313</t>
  </si>
  <si>
    <t xml:space="preserve">Zeichner</t>
  </si>
  <si>
    <t xml:space="preserve">Dlugaiczyk 2005
Muller
Atlas van Stolk
Hollstein Dutch and Flemish
Harms
Paas
Niemetz 2008
Ausst. Kat. Münster 1983</t>
  </si>
  <si>
    <t xml:space="preserve">S. 66–69, S. 337, Kat.-Nr. 18
Bd. I, Nr. 1449
Nr. 1526
Bd. XXXIX, Nr. 38
Bd. II, S. 344, Nr. 194
Bd. III, S. 289, Nr. P-737
S. 105–106
S. 61</t>
  </si>
  <si>
    <t xml:space="preserve">16,9 x 35,5</t>
  </si>
  <si>
    <t xml:space="preserve">Ende des Treves.</t>
  </si>
  <si>
    <t xml:space="preserve">Im Achtzigjährigen Krieg bestand von 1609 bis 1621 zwischen den von Spanien beherrschten südlichen und den unabhängigen nördlichen Niederlanden ein Waffenstillstand. Nach Ende der zwölf Jahre entstand dieses Blatt, welches den Vertrag in Form eines Leichenzuges zeigt. Der besagte Waffenstillstand (ndl. treves) wird zu Grabe getragen, die Dauer symbolisiert die Anzahl der Sargträger.&amp;nbsp;Auf dem Sargdeckel befinden sich die Namen zweier Befürworter des Vertrages:&amp;nbsp;Erzherzog Albrecht&amp;nbsp;(gest. Juli 1621) und der Vertreter der spanischen Erbstatthalter in Brabant,&amp;nbsp;Pieter Peck. Peck war der zuständige Unterhändler aus Brüssel, konnte jedoch in Den Haag keine Verlängerung des Waffenstillstandes bewirken. Anders als bei Dlugaiczyk zu lesen, starb Peck nicht im gleichen Jahr wie Albrecht durch Hinrichtung, sondern erst 1625 eines natürlichen Todes.&amp;nbsp;
Dem Trauerzug schließen sich Geistliche, Pilger, Bauern und Bettler an. Sie bewegen sich auf ein Monument zu, das bereits in früheren Stichen aus den Jahren 1618/19 zu finden ist.[fn]Siehe Dlugaiczyk 2005, S. 357, Kat.-Nr. 60 und 61.[/fn] Diese thematisieren die Auseinandersetzung zwischen Remonstranten und Kontraremonstranten, welche durch&amp;nbsp;Jacobus Arminius&amp;nbsp;und&amp;nbsp;Johan van Oldenbarnevelt&amp;nbsp;auf der einen sowie&amp;nbsp;Moritz von Oranien&amp;nbsp;und&amp;nbsp;Franciscus Gomarus&amp;nbsp;auf der anderen Seite vertreten wurden. Mit der Unterzeichnung des Waffenstillstandes erkannte Spanien zumindest auf dem Papier die Unabhängigkeit der nördlichen Provinzen an, was für die innenpolitische Situation jedoch kaum Veränderungen brachte. Die Streitigkeiten zwischen den Remonstranten, die die calvinistische Prädestinationslehre ablehnten, und den Kontraremonstranten hatten das Land fest im Griff. Nach Ausbleiben einer Vertragsverlängerung 1621 flammte der Konflikt stärker auf als zuvor. Dies versinnbildlicht auch Mars in der rechten Bildecke, der sich hier 'widerumb zu feld rüst'.
ALS
&amp;nbsp;
&amp;nbsp;
</t>
  </si>
  <si>
    <t xml:space="preserve">http://friedensbilder.gnm.de/sites/default/files/HB24519.tif</t>
  </si>
  <si>
    <t xml:space="preserve">Im Achtzigjährigen Krieg bestand von 1609 bis 1621 zwischen den von Spanien beherrschten südlichen und den unabhängigen nördlichen Niederlanden ein Waffenstillstand.&amp;nbsp;Das vorliegende Blatt entstand im Anschluss an diesen Interimsfrieden und stellt dessen Aufkündigung als Leichenzug dar. Der besagte Waffenstillstand (ndl. treves)&amp;nbsp;wird von zwölf Sargträgern zu Grabe geführt, welche die Anzahl der Friedensjahre symbolisieren.Der wohlwollend zu Grabe getragene Waffenstillstand wird damit zu einem augenscheinlichen Paradox, welches dem Blatt einen satirischen Impetus verleiht und im darunter befindlichen Text konkret formuliert wurde: ”Der Treues (…) soll auch sein verdorben (…) hat bey Tag und Nacht Die böse Nahrung verursacht“. Der Prozession schließen sich Geistliche, Pilger, Bauern und Bettler an, deren Ziel ein mehrstöckiges Monument mit teilweise enthaupteten ”Lantverretern“ ist, zu dessen Füßen eine Grube für den Sarg ausgehoben wurde. Das Monument ist bereits auf Stichen der Jahre 1618/19 zu finden&amp;nbsp;und thematisiert die Auseinandersetzung zwischen Remonstranten und Kontraremonstranten, welche durch&amp;nbsp;Jacobus Arminius&amp;nbsp;und&amp;nbsp;Johan van Oldenbarnevelt&amp;nbsp;auf der einen, sowie&amp;nbsp;Moritz von Oranien&amp;nbsp;und&amp;nbsp;Franciscus Gomarus&amp;nbsp;auf der anderen Seite vertreten wurden. Mit der Unterzeichnung des Waffenstillstandes von 1609 erkannte Spanien zwar die Unabhängigkeit der nördlichen Provinzen an, die interpolitischen Spannungen zwischen den Spanischen Niederlanden und den Vereinigten Provinzen bestanden aber fort. Nach dem Ausbleiben einer Vertragsverlängerung 1621 flammte der Konflikt stärker auf als zuvor. Dies versinnbildlicht zukunftsweisend der Kriegsgott Mars rechts unten im Bild, der sich ”widerumb zu feld rüst“.ALS/MATW</t>
  </si>
  <si>
    <t xml:space="preserve">Leichbegengnuß Des nunmehr zum Endgeloffenen und verstorbenen Treves in den Niederländischen Provincien wie derselbige begraben und mit grossen Wehklagen zur Erden bestetiget wird., HB 24519, Kapsel 1313</t>
  </si>
  <si>
    <t xml:space="preserve">https://friedensbilder-neu.gnm.de/sites/default/files/2019-06/HB24519.png</t>
  </si>
  <si>
    <t xml:space="preserve">Leichbegengnuß Des nunmehr zum Endgeloffenen und verstorbenen Treves in den Niederländischen Provincien wie derselbige begraben und mit grossen Wehklagen zur Erden bestetiget wird.</t>
  </si>
  <si>
    <t xml:space="preserve">http://friedensbilder.gnm.de/content/frieden_foto_order1f925c</t>
  </si>
  <si>
    <t xml:space="preserve">AVGVRIVM PACIS</t>
  </si>
  <si>
    <t xml:space="preserve">HB 491, Kapsel 1220</t>
  </si>
  <si>
    <t xml:space="preserve">Spirinx, Louis</t>
  </si>
  <si>
    <t xml:space="preserve">Ausst. Kat. Münster / Osnabrück 1998
Harms
Burkhardt 1998a
Burkhardt 1998b</t>
  </si>
  <si>
    <t xml:space="preserve">Bd. III, S. 224, Kat.-Nr. 659 (Wolfgang Harms)
Bd. IV, S. 338–339, Nr. 255
S. 101
S. 58</t>
  </si>
  <si>
    <t xml:space="preserve">Darstellung
Blatt</t>
  </si>
  <si>
    <t xml:space="preserve">31,8 x 38,7
35,1 x 39,6 </t>
  </si>
  <si>
    <t xml:space="preserve">Quod Imperio Romano Germanico Dei Benignitas, Consilia Hominum, et Bonorum Suspiria Pontendunt.</t>
  </si>
  <si>
    <t xml:space="preserve">Gegenstand des Gedenkblattes mit der Bildlegende ”Tochter GOTTES, welche die Erde erreicht hat...“ ist der Triumphzug des Friedens. Ausgestattet mit Kaiserkrone und Olivenzweig thront Pax auf einem Triumphwagen, den die Eintracht anführt.[fn]Zum Triumphzug als Motiv in Friedensdarstellungen siehe Kaulbach 1998, S. 598–599.[/fn] Sie lenkt das Vierergespann mit den Wappen Frankreichs, Schwedens, des Reiches und Spaniens durch vier Säulen, die Sinnbilder der guten Regierung tragen:&amp;nbsp;Staatsräson, Liebe zum Vaterland, Vergebung und Neutralität (RATIO STATVS, AMOR PATRIAE, AMNISTIA, NEVTRALITAS).[fn]So findet sich in Mathias Holtzwarts ”Emblematvm Tyrocinia“ (1581) ein in einem Käfig gefangener Vogel einem zweiten freien gegenübergestellt, um so den Wert der Freiheit zu verdeutlichen. Das bekannte Emblem und zugleich Imprese Königs Alfons von Aragon PRO LEGE ET PRO GREGE liegt dem seine Jungen nährenden Pelikan zugrunde. Siehe Henkel / Schöne 1967, Sp. 754–755 und Sp. 811–812.[/fn] Der durch&amp;nbsp;Jonas Suyderhoffs&amp;nbsp;Stich (siehe&amp;nbsp;HB 192, Kapsel 1030a) bekannt gewordene Spruch PAX OPTIMA RERVM befindet sich über&amp;nbsp;Pax, deren Wagen weitere Figuren des Friedens (Opulentia und Merkur) und Krieges (Discordia) begleiten. Mars ist durch die Hufe der Pferde zu Boden gegangen, dessen Waffen als Zeichen des Kriegsendes zerbrochen neben ihm liegen. Am Rande beobachten Personen, die sich den einzelnen sozialen Schichten einer Stadt zuordnen lassen, den Triumphzug.&amp;nbsp;Im Hintergrund wacht über weiteren Sinnbildern des neuen Wohlstandes die an das Emblem&amp;nbsp;post nubila phoebus&amp;nbsp;angelehnte Friedenssonne und ein Regenbogen. Im Mittelpunkt über der Kartusche mit der Inschrift AVGVRUM PACIS (Die Vorzeichen des Friedens) befindet sich das Wappen des Auftraggebers&amp;nbsp;Marquard II. Schenk von Castell, der zur Zeit des Friedensschlusses Bischof von Eichstätt war.ALS</t>
  </si>
  <si>
    <t xml:space="preserve">http://friedensbilder.gnm.de/sites/default/files/HB491.tif</t>
  </si>
  <si>
    <t xml:space="preserve">Natur</t>
  </si>
  <si>
    <t xml:space="preserve">AVGVRIVM PACIS, HB 491, Kapsel 1220
AVGVRIVM PACIS, HB 491, Kapsel 1220</t>
  </si>
  <si>
    <t xml:space="preserve">AVGVRIVM PACIS
AVGVRIVM PACIS</t>
  </si>
  <si>
    <t xml:space="preserve">http://friedensbilder.gnm.de/content/frieden_foto_order203572</t>
  </si>
  <si>
    <t xml:space="preserve">Der Mars ist nun im Ars</t>
  </si>
  <si>
    <t xml:space="preserve">HB 25059, Kapsel 1314</t>
  </si>
  <si>
    <t xml:space="preserve">nach 1648</t>
  </si>
  <si>
    <t xml:space="preserve">Altzenbach, Gerhard
Greflinger, Georg</t>
  </si>
  <si>
    <t xml:space="preserve">Köln</t>
  </si>
  <si>
    <t xml:space="preserve">Ausst. Kat. Münster/Osnabrück 1998
Münkner 2008
Dethlefs 2008
Niefanger 2008
Ausst. Kat. Nürnberg 1998
Ausst. Kat. Münster 1976
Maas 1998
Atlas van Stolk
Paas
Ausst. Kat. Delft / Utrecht u.a. 1998</t>
  </si>
  <si>
    <t xml:space="preserve">Bd. III, S. 226, Kat-Nr. 663
S. 114
S. 76–79
S. 61–63, Kat.-Nr. 28
S. 31, Kat.-Nr. 39
S. 199
Nr. 1565
Bd. VII, S. 345, Nr. P-2214
S. 199–200, Abb. 165</t>
  </si>
  <si>
    <t xml:space="preserve">35,5 x 25,3</t>
  </si>
  <si>
    <t xml:space="preserve">HB 12052, Kapsel 1314</t>
  </si>
  <si>
    <t xml:space="preserve">Allegorie auf den Frieden und den toten Mars</t>
  </si>
  <si>
    <t xml:space="preserve">Das Blatt behandelt das Kriegsende und die damit verbundene neue Blüte für Kunst und Handel. Verschiedene Bildfelder,&amp;nbsp;die Kunst (lat. ars) und Gesetz (lat. lex) einander gegenüberstellen, rahmen den Text “Der MARS ist nun im ARS” ein. Der geschlagene Mars&amp;nbsp;– “Mars unser alter Kriegs Leuth Gott, Ligt Hier in Armis und ist Thot.”[fn]Weiter: “Mars mit seine waffen Ist Hier entschlaffe” bezieht sich auf das Motiv des schlafenden Mars, das schon seit der Mitte des 16. Jahrhunderts für die Niederlande belegt ist, siehe hierzu Dlugaiczyk 2005, S. 123–131.[/fn]&amp;nbsp;– ist samt der vom Kriegsschauplatz abziehenden Infanterie und Kavallerie im unteren Bildfeld dargestellt, während das obere Szenen aus Handel und Landwirtschaft sowie ein pastorales Idyll zeigt.
Vor allem im Text liegt eine obszöne Würze. Der Autor Georg Greflinger spielt an mehreren Stellen mit den Begrifflichkeiten, wobei er sowohl mit der altdeutschen Übersetzung des Wortes “Ars” als auch mit den Genii der drei lateinischen Hauptschlagworte operiert.[fn]Das Gedicht wurde erstmals in Greflingers Gedichtsammlung "Seladons Weltliche Lieder" (Frankfurt am Main 1651) Bd. IX, S. 171–173 veröffentlicht&amp;nbsp;(allerdings ohne Illustrationen). Für eine zeitgenössisches Flugschrift der gleichen Thematik siehe “DESCRIPTIO, Das ist: Eigendliche und gründliche Beschreibung/ Was ARS, LEX, MARS Für wunderbahre Thiere seynd”.[/fn]&amp;nbsp;Ein Hinweis darauf, wann das Blatt erschienen sein könnte, liefert ein Druck des Nürnberger Verlages von Paulus Fürst.[fn]Die vorliegenden Beispiele aus dem Kölner Verlag Georg Altzenbach wurden in Anlehnung an das Nürnberger Blatt gefertigt und varriieren nur geringfügig in Text und Bildanordnung. Ein Blatt Fürsts im LWL-Landesmuseum für Kunst und Kulturgeschichte Westfälisches Landesmuseum, Münster, Inv.-Nr. C-10144 LM.[/fn] In ihm heißt es über den Abzug des Heeres: “Dieser ist nun kein Soldat der noch Sold noch Fahnen hat”. Der Text bezieht sich damit auf die ungeklärte Frage des Truppenabzugs, der zwar im Westfälischen Frieden beschlossen, aber erst im Rahmen des Nürnberger Friedensexekutionskongress eingeleitet wurde. Somit dürfte das Spottblatt zwischen 1648 und 1650 entstanden sein.
ALS
</t>
  </si>
  <si>
    <t xml:space="preserve">http://friedensbilder.gnm.de/sites/default/files/HB12052_01.tif
http://friedensbilder.gnm.de/sites/default/files/HB25059_A4.tif</t>
  </si>
  <si>
    <t xml:space="preserve">Das Blatt behandelt das Kriegsende und die damit verbundene neue Blüte für Kunst und Handel. Verschiedene Bildfelder,&amp;nbsp;die Kunst (lat. ars) und Gesetz (lat. lex) einander gegenüberstellen, rahmen den Text ”Der MARS ist nun im ARS“ ein. Der geschlagene Mars&amp;nbsp;– ”Mars unser alter Kriegs Leuth Gott, Ligt Hier in Armis und ist Thot.“ – ist samt der vom Kriegsschauplatz abziehenden Infanterie und Kavallerie im unteren Bildfeld dargestellt, während das obere Szenen aus Handel und Landwirtschaft sowie ein pastorales Idyll zeigt.Vor allem im Text liegt eine obszöne Würze. Der Autor&amp;nbsp;Georg Greflinger&amp;nbsp;spielt an mehreren Stellen mit den Begrifflichkeiten, wobei er sowohl mit der altdeutschen Übersetzung des Wortes Ars als auch mit den Genera der drei lateinischen Hauptschlagworte operiert.&amp;nbsp;Ein Hinweis darauf, wann das Blatt erschienen sein könnte, liefert ein Druck des Nürnberger Verlages von&amp;nbsp;Paulus Fürst.&amp;nbsp;In ihm heißt es über den Abzug des Heeres: ”Dieser ist nun kein Soldat der noch Sold noch Fahnen hat“. Der Text bezieht sich damit auf die ungeklärte Frage des Truppenabzugs, der zwar im&amp;nbsp;Westfälischen Friedenbeschlossen, aber erst im Rahmen des&amp;nbsp;Nürnberger Friedensexekutionskongress&amp;nbsp;eingeleitet wurde. Somit dürfte das Spottblatt zwischen 1648 und 1650 entstanden sein.ALS</t>
  </si>
  <si>
    <t xml:space="preserve">Der Mars ist nun im Ars, HB 25059, Kapsel 1314
Der Mars ist nun im Ars, HB 25059, Kapsel 1314</t>
  </si>
  <si>
    <t xml:space="preserve">https://friedensbilder-neu.gnm.de/sites/default/files/2019-06/HB25059.png</t>
  </si>
  <si>
    <t xml:space="preserve">Der Mars ist nun im Ars
Der Mars ist nun im Ars</t>
  </si>
  <si>
    <t xml:space="preserve">http://friedensbilder.gnm.de/content/frieden_foto_order1f9205</t>
  </si>
  <si>
    <t xml:space="preserve">Olyfkrans der vrede, door de doorluchtigste geesten en geleerdste mannen van dien tyd gevlochten; zynde eene verzameling van lofreden en gedichten op den eeuwigen vrede ... gesloten te Munster ... 1648</t>
  </si>
  <si>
    <t xml:space="preserve">Königliche Bibliothek</t>
  </si>
  <si>
    <t xml:space="preserve">Den Haag</t>
  </si>
  <si>
    <t xml:space="preserve">KW 766 A 12</t>
  </si>
  <si>
    <t xml:space="preserve">Verleger
Stecher
Verfasser</t>
  </si>
  <si>
    <t xml:space="preserve">Gla, Willem
Barbon, Gilles
Fokke, Simon
Vondel, Joost van den</t>
  </si>
  <si>
    <t xml:space="preserve">S. 9–10</t>
  </si>
  <si>
    <t xml:space="preserve">KW 765 C 19</t>
  </si>
  <si>
    <t xml:space="preserve">Benevens eenige gezangen op de grondlegging, bouwing en inwyding van het stadhuis te Amsteldam ... En eindelyk verscheyde gedichten op de eeuwe der grondlegging van gem. stadhuis, verscheenen den 28sten van wynmaand 1748</t>
  </si>
  <si>
    <t xml:space="preserve">http://friedensbilder.gnm.de/sites/default/files/Olyfkrans_der_vrede_door_de_doorluchtigs_1749.pdf</t>
  </si>
  <si>
    <t xml:space="preserve">http://friedensbilder.gnm.de/content/frieden_object2baa7</t>
  </si>
  <si>
    <t xml:space="preserve">Allegorie auf das Jubiläum der Niederländischen Freiheit 1748</t>
  </si>
  <si>
    <t xml:space="preserve">RP-P-OB-84.045</t>
  </si>
  <si>
    <t xml:space="preserve">Fokke, Simon
Gla, Gilles en
Barbon, Willem</t>
  </si>
  <si>
    <t xml:space="preserve">Atlas van Stolk
Muller
Jensen 2015b
Goosens 1998</t>
  </si>
  <si>
    <t xml:space="preserve">Bd. V, S. 98, Nr. 3745
Bd. II, S. 173, Nr. 3960a
S. 9–10 
S. 629</t>
  </si>
  <si>
    <t xml:space="preserve">217 x 162</t>
  </si>
  <si>
    <t xml:space="preserve">S. Fokke inv. et fec. 1748.
G. Barbon &amp; W. Gla, excudit.</t>
  </si>
  <si>
    <t xml:space="preserve">Info aus:"Advertentie". "Amsterdamse courant". Amsterdam, 09-11-1748. Geraadpleegd op Delpher op 13-05-2016, http://resolver.kb.nl/resolve?urn=ddd:010797794:mpeg21:a0010Gillis Barbon und Willem Gla geben in Amsterdam 'Olyfrkans der Vreede' heraus, eine Ansammlung von Redeaufführungen und Gedichten auf den ewigen Frieden, geschlossen in Münster 1648, zwischen Philipp IV. und den Generalstaaten, durch Vondel, Vos, Brand, Coster, Boelens, Astio, Westerbaen, van Veen, Elsloot, Six van Chandelier usw., wozu beigefügt sind die Gedichte auf die Grundsteinlegung, Bau und Einweihung des Amsterdam Rathauses, begonnen am 28. Oktober 1648 (Datum prüfen!), versehen mit einem freien Titelblatt durch Simon Fokke, Preis ist 2-10 f. Auch sind einige wenige Exemplare einzeln für die Liebhaber auf Papier gedruckt.--&amp;gt; Fremantle, K. The Baroque Town Hall of Amsterdam, Utrecht 1959.Keine Abweichungen in der Vorzeichnung.
</t>
  </si>
  <si>
    <t xml:space="preserve">http://friedensbilder.gnm.de/sites/default/files/RP-P-OB-84.045.jpg
http://friedensbilder.gnm.de/sites/default/files/RP-P-OB-84.045.tif</t>
  </si>
  <si>
    <t xml:space="preserve">Allegorie auf das Jubiläum der Niederländischen Freiheit 1748, RP-P-OB-84.045</t>
  </si>
  <si>
    <t xml:space="preserve">Sammelband mit Gedichten zum Executions-Haupt-Recess 1650</t>
  </si>
  <si>
    <t xml:space="preserve">4° St. 575</t>
  </si>
  <si>
    <t xml:space="preserve">12:622685H</t>
  </si>
  <si>
    <t xml:space="preserve">http://friedensbilder.gnm.de/content/frieden_object2ccec</t>
  </si>
  <si>
    <t xml:space="preserve">Warhaffter Verlauff/ was sich bey geschlossenem und unterschriebenen Frieden zu Nürnberg auf der Burg begeben: </t>
  </si>
  <si>
    <t xml:space="preserve">4° St. 575,1</t>
  </si>
  <si>
    <t xml:space="preserve">Klaj, Johann
Dümler, Jeremias</t>
  </si>
  <si>
    <t xml:space="preserve">12:622960Y</t>
  </si>
  <si>
    <t xml:space="preserve">urn:nbn:de:gbv:3:1-30267</t>
  </si>
  <si>
    <t xml:space="preserve">Herzog August Bibliothek
Württembergische Landesbibliothek
Universitäts- und Landesbibliothek Sachsen-Anhalt</t>
  </si>
  <si>
    <t xml:space="preserve">Wolfenbüttel
Stuttgart
Halle</t>
  </si>
  <si>
    <t xml:space="preserve">Xb 9366
D.D.qt.K.132
Pon Vc 4591, QK</t>
  </si>
  <si>
    <t xml:space="preserve">vorliegendes Digitalisat von dieser Ausgabe</t>
  </si>
  <si>
    <t xml:space="preserve">4 Bl., 1 Bl. Ill. (Kupferstich)</t>
  </si>
  <si>
    <t xml:space="preserve">Franziska Bauer/Anna Lisa Schwartz</t>
  </si>
  <si>
    <t xml:space="preserve">Den 16/26 Iunii/ im Jahr 1650.</t>
  </si>
  <si>
    <t xml:space="preserve">http://friedensbilder.gnm.de/sites/default/files/Warhaffter Verlauff was sich bey geschlossenem und unterschriebenen Frieden zu N.pdf
http://friedensbilder.gnm.de/sites/default/files/Titelblatt_Wahrhaffter.jpg</t>
  </si>
  <si>
    <t xml:space="preserve"> Warhaffter Verlauff/ was sich bey geschlossenem und unterschriebenen Frieden zu Nürnberg auf der Burg begeben, 4° St. 575,1</t>
  </si>
  <si>
    <t xml:space="preserve"> Warhaffter Verlauff/ was sich bey geschlossenem und unterschriebenen Frieden zu Nürnberg auf der Burg begeben</t>
  </si>
  <si>
    <t xml:space="preserve">Triumphwagen/ Welcher Ihrer Kays: Mayest: </t>
  </si>
  <si>
    <t xml:space="preserve">HB 24471, Kapsel 1220</t>
  </si>
  <si>
    <t xml:space="preserve">Zimmermann, Martin</t>
  </si>
  <si>
    <t xml:space="preserve">Kaulbach 2003a
Paas 
Kaulbach 1997
Ausst. Kat. Hagen 1957
Ausst. Kat. Stuttgart 2012</t>
  </si>
  <si>
    <t xml:space="preserve">S. 188
Bd. VII, S. 349, Nr. P-2218
S. 327–328
S. 25, Kat.-Nr. 193
109–114</t>
  </si>
  <si>
    <t xml:space="preserve">1:620688X</t>
  </si>
  <si>
    <t xml:space="preserve">35,7 x 30,2</t>
  </si>
  <si>
    <t xml:space="preserve">Einbl. YA 8140 m</t>
  </si>
  <si>
    <t xml:space="preserve">unserm allergnädigsten Herren durch den so unnd viel lange Jahr hero gewünschten lieben/ thewren und edlen Frieden/ dieses 1648. Jahrs den 24. October/ Durch Ihrer Kays: Mayest: sambt beeder Cronen Franckreich und Schweden/ neben andern deß Heyl: Röm: Reichs Churfürsten/ und Ständen ... Zu Münster und Oßnabrugg in Westphalen in dem Friedenschluß zugerichtet worden</t>
  </si>
  <si>
    <t xml:space="preserve">Radiert durch Martin Zimmermann/ Kunstführer in Augspurg.</t>
  </si>
  <si>
    <t xml:space="preserve">Ein Triumphwagen mit architektonischem Aufbau wird von einem Vierspanner in Richtung eines Torbogens gezogen&amp;nbsp;(vgl.&amp;nbsp;HB 491, Kapsel 1220). Dessen Säulen versinnbildlichen die ’Grundpfeiler‘ eines friedvollen Zusammenlebens: PRIVATA und RES PUBLICA. Triumphzüge dienten häufig zur Darstellung von Friedenshoffnungen in der Mitte des 17. Jahrhunderts, doch sitzt&amp;nbsp;Pax&amp;nbsp;in der Regel alleine und nicht wie hier gemeinsam mit Kaiser&amp;nbsp;Ferdinand III.&amp;nbsp;im Wagen.[fn]Zum Triumphwagenmotiv: Ausst. Kat. Stuttgart 2012, 109–114. – Kaulbach 2003a, S. 183–188. – Kaulbach 1997, S. 327–328.[/fn]Dies hat jedoch eine besondere Bewandtnis, denn das Zustandekommen des Westfälischen Friedens wird hier&amp;nbsp;als Verdienst des Kaisers gedeutet. Die Räder des Wagens&amp;nbsp;bilden die vier weltlichen Tugenden, welche das zu Boden liegende Kriegsgerät unter sich zertrümmern.&amp;nbsp;Die mit Olivenzweigen umwickelten Säulen stehen für die sieben Kurfürsten, die wiederum durch das oberste Haupt des Reiches (durch die Bekrönung des Baldachins) zusammengehalten werden. Sowohl die Zugpferde als auch die Verkleidung des Wagens tragen die Wappen der beteiligten Vertragspartner Frankreichs, Spaniens, Schwedens und des Reiches. Die zusammengelegten Zügel führt&amp;nbsp;Concordia&amp;nbsp;und präsentiert sinnstiftend für die Einheit ein Bündel von vier Pfeilen.[fn]Dieses Motiv orientiert sich niederländischen Löwen, der mit seinem Bündel aus sieben Pfeilen die unabhängingen nördlichen Provinzen der Niederlande versinnbildlicht. Es wurde besonders im Unabhängigkeitskampf während des Achtzigjährigen Krieges verwendet, siehe etwa&amp;nbsp;HB 303, Kapsel 1313.&amp;nbsp;[/fn]Dem Wagen folgt&amp;nbsp;Fama, die mit zwei Posaunen Frieden und Ruhm des Kaisers verkündet. In ihrem Schlepptau hat sie den gefesselten Krieg und dessen negative Begleiterscheinungen, den schlangenfalschen Neid (Invidia), die menschenverzehrende Zwietracht (’Tiscortia) und den rasenden Zorn (Ira).ALS</t>
  </si>
  <si>
    <t xml:space="preserve">http://friedensbilder.gnm.de/sites/default/files/HB24471.tif</t>
  </si>
  <si>
    <t xml:space="preserve">Triumphwagen/ Welcher Ihrer Kays: Mayest:, HB 24471, Kapsel 1220
Triumphwagen/ Welcher Ihrer Kays: Mayest:, HB 24471, Kapsel 1220</t>
  </si>
  <si>
    <t xml:space="preserve">Triumphwagen/ Welcher Ihrer Kays: Mayest:
Triumphwagen/ Welcher Ihrer Kays: Mayest:</t>
  </si>
  <si>
    <t xml:space="preserve">http://friedensbilder.gnm.de/content/frieden_foto_order205061</t>
  </si>
  <si>
    <t xml:space="preserve">Abriß deß Kaysserlichen Fewerwercks Schlosses: und BARRAQUEN/ worinen daß Fried vnd: freudenmahl gehalten worden, vor Nurnberg auff St. Joh: Schüßplatz. Anno 1650</t>
  </si>
  <si>
    <t xml:space="preserve">HB 1676, Kapsel 1219a</t>
  </si>
  <si>
    <t xml:space="preserve">Zugeschrieben</t>
  </si>
  <si>
    <t xml:space="preserve">Merian, Caspar</t>
  </si>
  <si>
    <t xml:space="preserve">Merian Erben</t>
  </si>
  <si>
    <t xml:space="preserve">Frankfurt am Main</t>
  </si>
  <si>
    <t xml:space="preserve">Ausst. Kat. Stuttgart 2012
Laufhütte 1998
Wütherich
Paas</t>
  </si>
  <si>
    <t xml:space="preserve">S. 131, Kat.-Nr. 80 (Hans-Martin Kaulbach)
S. 352
Bd. III, S. 199, Nr. 45
Bd. VIII, S. 90, Nr. 2276</t>
  </si>
  <si>
    <t xml:space="preserve">26,3 x 37,7</t>
  </si>
  <si>
    <t xml:space="preserve">Theatri Europaei Sechster und letzter Theil/ Das ist/ Außführliche Beschreibung der Denckwürdigsten Geschichten : </t>
  </si>
  <si>
    <t xml:space="preserve">nach S. 1076</t>
  </si>
  <si>
    <t xml:space="preserve">Marius Wittke</t>
  </si>
  <si>
    <t xml:space="preserve">Das Caspar Merian zugeschriebene Blatt ist eine von mehreren Kopien nach einem Entwurf von&amp;nbsp;Michael Herr&amp;nbsp;und&amp;nbsp;Peter Troschel. Es zeigt das&amp;nbsp;von Ottavio Piccolomini ausgerichtet&amp;nbsp;Friedensmahles, das am Ende der Feierlichkeiten um den Nürnberger Exekutionskongresses stand. Zwar weist der Kupferstich kleine Abweichungen in Details auf, doch werden alle Elemente getreu dem Vorbild übernommen und unterhalb des Bildes in einer Legende erklärt.Während die dunkle Nachtszene auf der rechten Seite von dem Feuerwerk hell erleuchtet wird, sendet auf der linken Seite nur der Mond ein wenig Licht über die Silhouette Nürnbergs. Dort, unmittelbar vor den Toren der Stadt, befindet sich das mit Reichsinsignien geschmückte Festzelt, das in den Beschreibungen als Baraque bezeichnet wird. Vor dessen Toren entzündet Piccolomini selbst das Schnurfeuerwerk mit dem Friedensengel (C). Während in den Logen des Zeltes und am Rande des Platzes geladene Gäste Platz gefunden haben, drängt sich die Volksmenge hinter den hölzernen Absperrungen links im Bild.In der Mitte des Platzes befindet sich eine Friedenssäule der Pax, die mit Feuerfontänen und -rädern bestückt wurde. In ihrem Umkreis spielen Schauspieler mit flammenden Klingen Birkens . Musikalisch begleitet wird das Spektakel von Pauken und Trompeten (B) sowie einem Kanonenschuss mit anschließender Rakete bei jedem Prosit (F). Die rechte Bildhälfte wird gänzlich vom Kastell des Unfriedens eingenommen, das ringsum mit Mörsern, Feuerwerk, Fontänen und Feuerrädern umgeben ist. Auf dessen Portal befinden sich, Discordia und Mars, die als Zeichen des Krieges zwei weitere Kanonen bedienen.Das Blatt wurde 1652 im sechsten Band des&amp;nbsp;Theatrum Europaeum&amp;nbsp;abgedruckt[fn]Dort eingebunden nach der Seite 1076[/fn] und erscheint auch in dessen Wiederauflage von 1663. Merian muss es für das groß angelegte Projekt produziert haben, das sein Vater Matthäus Merian 19 Jahre zuvor begonnen hatte und welches er mit seinem Bruder fortsetzte. Neben dieser Kopie existiert mindestens eine weitere, verkleinerte Wiedergabe des&amp;nbsp;Käiserlichen Friedens Freudenmahls von einem heute unbekannten Künstler des 17. Jahrhunderts. Zur historischen Kontextualisierung des Stiches sowie einer Beschreibung des Ablaufes&amp;nbsp;siehe den&amp;nbsp;Eigentlichen Abrieß Deß Feuerwercks-Schlosses&amp;nbsp;von Herr und Troschel.MATW</t>
  </si>
  <si>
    <t xml:space="preserve">Abriß deß Kaysserlichen Fewerwercks Schlosses: und BARRAQUEN/worinen daß Fried vnd: freudenmahl gehalten worden, vor Nurnberg auff St. Joh: Schüßplatz. Anno 1650.A. Die Haupt BarraqueB. Trompeter vnd Heerpaucker StandteC. Ihr Fürstl: Durchl: Herrn Generalissimus welcher&amp;nbsp; &amp;nbsp; &amp;nbsp;Das Feuerwerk zu Erst angezündet.D. Die Seule, worauf das Friedens Bild gestandenE. Portae des Feuerwercks-Schlosses, auf welcher das Bildt Discordiae&amp;nbsp; &amp;nbsp; &amp;nbsp;vnd darunter das Bildt Martis gestanden.F. Ein Vierpfündiges Stücklein, welches nebenst einer Raqueten iedes&amp;nbsp; &amp;nbsp; &amp;nbsp;mahls: so offt eine Gesundheit getruncken worden: Losung geben&amp;nbsp; &amp;nbsp; &amp;nbsp;worauf dan die oben gesetzte Stück auf beeden Seiten zu-&amp;nbsp; &amp;nbsp; &amp;nbsp;gleich in gebührender Ordnung geantwortet.G. Ein theil der Statt Nürmberg. H. Beern Schantz. I. Schitzeshaus zu S. IoannesMATW</t>
  </si>
  <si>
    <t xml:space="preserve">http://friedensbilder.gnm.de/sites/default/files/HB1676_01.tif</t>
  </si>
  <si>
    <t xml:space="preserve">Abriß deß Kaysserlichen Fewerwercks Schlosses: und BARRAQUEN/ worinen daß Fried vnd: freudenmahl gehalten worden, vor Nurnberg auff St. Joh: Schüßplatz. Anno 1650, Bild, HB 1676, Kapsel 1219a</t>
  </si>
  <si>
    <t xml:space="preserve">Abriß deß Kaysserlichen Fewerwercks Schlosses: und BARRAQUEN/ worinen daß Fried vnd: freudenmahl gehalten worden, vor Nurnberg auff St. Joh: Schüßplatz. Anno 1650, Bild</t>
  </si>
  <si>
    <t xml:space="preserve">http://friedensbilder.gnm.de/content/frieden_foto_order203581</t>
  </si>
  <si>
    <t xml:space="preserve">4° G. 724</t>
  </si>
  <si>
    <t xml:space="preserve">
Schleder, Johann Georg</t>
  </si>
  <si>
    <t xml:space="preserve">Wolfgang Hoffmanns Buchdruckerey</t>
  </si>
  <si>
    <t xml:space="preserve">23:233992G</t>
  </si>
  <si>
    <t xml:space="preserve">12477331 Res/2 Eur. 3-6,2</t>
  </si>
  <si>
    <t xml:space="preserve">vorliegendes Digitalisat von dieser Ausgabe (spätere Auflage von 1663, ca. 1700 erschienen laut BSB)</t>
  </si>
  <si>
    <t xml:space="preserve">Chronik</t>
  </si>
  <si>
    <t xml:space="preserve">so sich hin und wieder durch Europam, als in Hoch- und Nieder-Teutschland/ Franckreich/ Hispanien/ Italien/ Groß-Britannien/ Dennemarck/ Schweden/ Polen/ Moscau/ Schlesien/ Böhmen/ Ober- und Nieder-Oesterreich/ Hungarn/ Siebenbürgen/ Wallachey/ Moldau/ Türckey und Barbarien/ so wol im Weltlichen Regiment/ als Kriegs-Wesen; Bevorab bey denen zwischen mehrerntheils kriegenden Partheyen nach Münster und Oßnabrück angesetzten/ ... General Friedens-Tractaten/ vom Jahr Christi 1647. biß 1651. allerseits begeben und zugetragen / Auß unzehlich vielen glaubhafften Documentis ... zusammen getragen und beschrieben/ Durch Joannem Georgium Schlederum ...</t>
  </si>
  <si>
    <t xml:space="preserve">http://friedensbilder.gnm.de/content/frieden_object2d900
http://friedensbilder.gnm.de/content/frieden_object2dc20
http://friedensbilder.gnm.de/content/frieden_object2edc8
http://friedensbilder.gnm.de/content/frieden_object31ba3</t>
  </si>
  <si>
    <t xml:space="preserve">Schwedschen Fewerwerks. Anno 1650</t>
  </si>
  <si>
    <t xml:space="preserve">HB 1675, Kapsel 1219a</t>
  </si>
  <si>
    <t xml:space="preserve">Fähler 1974
Wütherich
Laufhütte 1998
Ausst. Kat. Stuttgart 2012</t>
  </si>
  <si>
    <t xml:space="preserve">S. 152
Bd. III, S. 198, Nr. 43
S. 351
S. 37</t>
  </si>
  <si>
    <t xml:space="preserve">26,2 x 37,3</t>
  </si>
  <si>
    <t xml:space="preserve">nach S. 1048</t>
  </si>
  <si>
    <t xml:space="preserve">Feuerwerk anläßlich der Ratifizierung des Friedensvertrages von Osnabrück in Nürnberg</t>
  </si>
  <si>
    <t xml:space="preserve">Germanisches Nationalmuseum
Aufsess, Hans von und zu</t>
  </si>
  <si>
    <t xml:space="preserve">Nr. 1076
Nr. 2749</t>
  </si>
  <si>
    <t xml:space="preserve">Nach der Unterzeichnung des Interimsrezesses 1649 schritten die Verhandlungen auf dem Nürnberger Exekutionstag keineswegs unproblematisch voran. Die Lage drohte zu eskalieren: Spanien hatte im Dreißigjährigen Krieg die Festung Frankenthal&amp;nbsp;– Besitz der Pfalz&amp;nbsp;– erobert. Nun geriet die Frage ihrer Räumung zu einem Zankapfel.&amp;nbsp;Pfalzgraf Karl Gustav&amp;nbsp;drohte mit dem Abzug der schwedischen Gesandten, sofern innerhalb einer Frist von zwei Wochen keine Entscheidung falle. Hätte Schweden an seinen Forderungen festgehalten, wären die Friedensverhandlungen an diesem Punkt gescheitert. Am 3. Juni 1650 lenkte Karl Gustav jedoch ein.Aus Anlass der Unterzeichnung veranstaltete Schweden zwei Tage später ein Feuerwerk vor den östlichen Toren der Stadt.[fn]Eine Variante des Stichs, Germanisches Nationalmuseum Nürnberg, Inv.-Nr. HB 141 nennt ”Das Bancquet...bey dem Gleißhämerl“.[/fn] Durch das Theatrum Europaeum und Birkens&amp;nbsp;Teutonie&amp;nbsp;sind wir heute bestens über das Feuerwerk informiert. Es folgte auf ein scherzhaftes ’Ritterturnier‘, in dem Reiter mit stumpfen Lanzen und Helmen aus Eimern aufeinander losgingen. Das Zentrum bildete ein Triumphbogen mit einer Statue des Pfalzgrafen, darüber die Initialen der schwedischen Königin Christina. Über die gesamte Breite des Festplatzes lief ein Schnurfeuerwerk in Form eines Drachens, der auf eine Herkulesstatue zufuhr. Damit präsentierte sich der Pfalzgraf gegenüber den Zuschauern, die das Spektakel von der Festbaracke aus beobachteten, als Garant der schwedischen Monarchie. Auf mythologischer Ebene diente der tugendhafte Held Herkules als Repräsentant des Herrscherideals.Über den Ablauf des Feuerwerks verfasste&amp;nbsp;Georg Philipp Harsdörffer&amp;nbsp;ein zwölfstrophiges Gedicht.[fn]”Kurtze Beschreibung Deß künstlichen Feuerwerkes/ Welches Dem Durchleuchtigsten/ Hochgebornen Fürsten und Herrn/ Herrn Carl Gustaven Pfaltzgraven bey Rhein...“.Zu Harsdörffers Dichtung Ausst. Kat. Stuttgart 2012, S. 37.[/fn]Von kaiserlicher Seite folgte am 16. Juni 1650 nach Unterzeichnung des Hauptrezesses ebenfalls ein Feuerwerk. Siehe&amp;nbsp;HB 907, Kapsel 1220.ALS</t>
  </si>
  <si>
    <t xml:space="preserve">http://friedensbilder.gnm.de/sites/default/files/HB1675_01_0.tif</t>
  </si>
  <si>
    <t xml:space="preserve">Schwedschen Fewerwerks. Anno 1650., HB 1675, Kapsel 1219a</t>
  </si>
  <si>
    <t xml:space="preserve">Schwedschen Fewerwerks. Anno 1650.</t>
  </si>
  <si>
    <t xml:space="preserve">http://friedensbilder.gnm.de/content/frieden_foto_order205048</t>
  </si>
  <si>
    <t xml:space="preserve">Triumph über die Herrliche und fast undenckliche Victori</t>
  </si>
  <si>
    <t xml:space="preserve">HB 483, Kapsel 1313a</t>
  </si>
  <si>
    <t xml:space="preserve">Paas
Lang 1974
Harms 
Kaulbach 1997
Heyde 1995
Kroner 2007</t>
  </si>
  <si>
    <t xml:space="preserve">Bd. V, nach S. 202, Nr. P-1423
S. 192, Nr. 73
Bd. IV, S. 224, Nr. 176
S. 327
S. 216–218
S. 24–26</t>
  </si>
  <si>
    <t xml:space="preserve">Darstellung </t>
  </si>
  <si>
    <t xml:space="preserve">15,2 x 79 </t>
  </si>
  <si>
    <t xml:space="preserve">welche von dem Herren der Heerscharen, Den Lobwürdigsten Christlichen Helden, den Durchleüchtigsten Großmächtigsten Fürsten und Herren, Hern Gustvo Adolpho, der Schweden, Gothen und Wenden König, Großfürsten in Fin[n]land So wohl auch Herrn Johan: Geörgen Hertzogen zu Sachsen, Deß H: Röm: Reichs Erbmarschallen, Landgrafen in Thüring: und dan[n] Herrn Georg Wilhelm Margrafen zu Brandenburg, deß H: Röm: Reichs Erb Cam[m]erer und Churfürst[en] Hertzog in Preüssen zu Gülch Cleve und Berg,: Beeden Churfürsten gesamten Allerdapffersten Verfechtern der allein Seelligmachenden Religion, und wolstands gemainen Vatterlands, Gegen und wider die gewaltige Keys: Päbst[:] Ligistische Armada, Am Tag Reginoe den 7. Septem: Alten Calend: A, 1631 zwischen Leipzig und Dölitsch, durch Göttlichen beistand, der betrangten Christenhait zu trost und ecquickung erthailt und verlihen hat. Hechstbemelten Ihr König: May; Und ChurFürst: Durchleicht. Zu Underthändigsten Ehren, und immerwehrenden Gedechtnus gestelt, Consecrirt und offerirt</t>
  </si>
  <si>
    <t xml:space="preserve">Das komplexe Gedenkblatt zeigt einen allegorischen Triumphzug Gustav II. Adolfs anlässlich des Sieges in der Schlacht bei Breitenfeld.&amp;nbsp;Im Zentrum des Druckes thront der schwedische Monarch in einem voll besetzten Triumphwagen, der von vier Wappenlöwen gezogen wird; diese repräsentieren England, Frankreich, Kurpfalz und die Generalstaaten. Der Tross bewegt sich, begleitet durch verschiedene Personifikationen durch eine leicht hügelige Landschaft und erreicht am linken Bildrand einen Triumphbogen. Der Hintergrund setzt sich aus einer Kartenlandschaft Skandinaviens und der ostdeutschen Küste zusammen, während rechts im Bild Truppenverbände zwischen den Städten Leipzig und Delitzsch aufeinandertreffen.
Gustaf Adolf sitzt leicht erhöht hinter seinen Allianzpartnern, dem Kurfürsten von Sachsen und dem Landgrafen von Hessen-Kassel, während diverse Personifikationen den Wagen begleiten, unter ihnen Pax, die sich genau auf der Mittelachse der Bildkomposition befindet. Über dieser zentralen Gruppe steigt aus einer gottbeschienenen Wolke Jesus Christus mit seinem Kreuz herab und ebnet den göttlichen Strahlen ihren Weg. In diesen findet nicht nur ein Engel mit dem Schwert des Herren und Gideons seinen Weg zur Erde, sondern auch eine Taube mit einem Ölzweig.
Die Spitze des gesamten Zuges wird von Josua und einigen Fanfarenbläsern angeführt. Ihnen folgen “Gefangne, Überwundne und Undverwundte”. Gemeinsam steuern sie auf einen Triumphbogen zu, dessen Attika die Segnungen des Friedens trägt: Symbole für Wissenschaft, Künste, Wirtschaft und Seehandel. Im Bogenscheitel befindet sich das schwedische Wappen mit Gustavs Motto (cum) Deo et victricibus armis [mit Gott und siegreichen Waffen].[fn]Im schwedischen Original "Med Gud och segrande vapen".[/fn]
Dem Triumphwagen folgen der Neid und ein Soldat, der ein Kind ersticht. Er ist Sinnbild der Magdeburgischen Tyrannei, womit die Eroberung und Zerstörung der Stadt 1631 durch kaiserliche Truppen gemeint ist, da sie große Teile der schutzlosen Bevölkerung auslöschte.&amp;nbsp;Die Dreiergruppe schließt mit der babylonischen Hure, die, der Apostelgeschichte folgend, von einem Drachen begleitet wird, der drei unreine froschähnliche Geister auspeiht (Act 16,13).[fn]Der Typendruck bezeichnet diese explizit als Jesuiten.[/fn]
Sowohl Ortsnamen und Figuren, als auch die Mottosprüche der Personifikationsstandarten werden im ausführlichen Text übersetzt und erklärt. Die Motive orientieren sich dabei an christlicher wie auch antiker Bildsprache. Der Text vergleicht Gustav II. Adolf mit den alttestamentlichen Heroen Gideon und Josua sowie den Sieg Kaiser Konstantins an der Milvischen Brücke (IN HOC SIGNO VINCES) mit dem Erfolg bei Breitenfeld. Im linken Hintergrund sind die ersten Eroberungen der schwedischen Truppen auf deutschem Reichsgebiet&amp;nbsp;(STETTIN und POMERIANIA SVPERIOR) wiedergegeben.&amp;nbsp;
Um Gustav Adolf entwickelte sich seit seinem Eintritt in den Dreißigjährigen Krieg ein Mythos, den der König propagandistisch einzusetzen wusste. Das vorliegende Blatt vereint einige Herrschermotive, mit denen er vor allem seit dem Sieg in der Schlacht bei Breitenfeld verbunden wurde. Mit der Kombination aus christlichen Motiven und dem Bild eines idealen Herrschers,&amp;nbsp;deutet ihn das Blatt als den idealen Friedensbringer für die protestantische Seite.
MATW/ALS
</t>
  </si>
  <si>
    <t xml:space="preserve">http://friedensbilder.gnm.de/sites/default/files/HB483_.tif</t>
  </si>
  <si>
    <t xml:space="preserve">Das komplexe Gedenkblatt zeigt einen allegorischen Triumphzug&amp;nbsp;Gustav II. Adolfs&amp;nbsp;anlässlich des Sieges in der&amp;nbsp;Schlacht bei Breitenfeld.&amp;nbsp;Im Zentrum des Druckes thront der schwedische Monarch in einem voll besetzten Triumphwagen, der von vier Wappenlöwen gezogen wird; diese repräsentieren England, Frankreich, Kurpfalz und die Generalstaaten. Der Tross bewegt sich, begleitet durch verschiedene Personifikationen durch eine leicht hügelige Landschaft und erreicht am linken Bildrand einen Triumphbogen. Der Hintergrund setzt sich aus einer Kartenlandschaft Skandinaviens und der ostdeutschen Küste zusammen, während rechts im Bild Truppenverbände zwischen den Städten Leipzig und Delitzsch aufeinandertreffen.
Gustaf Adolf sitzt leicht erhöht hinter seinen Allianzpartnern, dem Kurfürsten von Sachsen und dem Landgrafen von Hessen-Kassel, während diverse Personifikationen den Wagen begleiten, unter ihnen&amp;nbsp;Pax, die sich genau auf der Mittelachse der Bildkomposition befindet. Über dieser zentralen Gruppe steigt aus einer gottbeschienenen Wolke Jesus Christus mit seinem Kreuz herab und ebnet den göttlichen Strahlen ihren Weg. In diesen findet nicht nur ein Engel mit dem Schwert des Herren und Gideons seinen Weg zur Erde, sondern auch eine Taube mit einem Ölzweig.
Die Spitze des Triumphzuges wird von Josua und einigen Fanfarenbläsern angeführt, denen ”Gefangne, Überwundne und Undverwundte“ folgen. Gemeinsam steuern sie auf einen Triumphbogen zu, dessen Attika die&amp;nbsp;Segnungen des Friedens&amp;nbsp;trägt. Hinter dem Triumphwagen, folgen der&amp;nbsp;Neid&amp;nbsp;und ein Soldat, der ein Kind ersticht. Er ist Sinnbild der&amp;nbsp;”Magdeburgischen Tyrannei“, womit die Eroberung und Zerstörung der Stadt 1631 durch kaiserliche Truppen gemeint ist, da sie große Teile der schutzlosen Bevölkerung auslöschte.&amp;nbsp;Die Dreiergruppe schließt mit der babylonischen Hure.
Um Gustav Adolf entwickelte sich seit seinem Eintritt in den&amp;nbsp;Dreißigjährigen Krieg&amp;nbsp;ein Mythos, den der König propagandistisch einzusetzen wusste. Das vorliegende Blatt vereint einige Herrschermotive, mit denen er vor allem seit dem Sieg in der Schlacht bei Breitenfeld verbunden wurde. Mit der Kombination aus christlichen Motiven und dem Bild eines idealen Herrschers,&amp;nbsp;deutet ihn das Blatt als den idealen Friedensbringer für die protestantische Seite.
MATW/ALS
</t>
  </si>
  <si>
    <t xml:space="preserve">Triumph über die Herrliche und fast undenckliche Victori, Bild, HB 483, Kapsel 1313a
Triumph über die Herrliche und fast undenckliche Victori, Text, HB 483, Kapsel 1313a</t>
  </si>
  <si>
    <t xml:space="preserve">https://friedensbilder-neu.gnm.de/sites/default/files/2019-06/HB483.png</t>
  </si>
  <si>
    <t xml:space="preserve">Triumph über die Herrliche und fast undenckliche Victori, Bild
Triumph über die Herrliche und fast undenckliche Victori, Text</t>
  </si>
  <si>
    <t xml:space="preserve">http://friedensbilder.gnm.de/content/frieden_foto_order1f9428</t>
  </si>
  <si>
    <t xml:space="preserve">Osnabrückischer Conferenz-Saal, Worinnen der weltbekannte Westphälische Friede, in denen Jahren 1643. biß 1649. abgehandelt und geschlossen worden</t>
  </si>
  <si>
    <t xml:space="preserve">HB 6350, Kapsel 1220</t>
  </si>
  <si>
    <t xml:space="preserve">Heumann, Georg Daniel
Arenhold, Gerhard Justus</t>
  </si>
  <si>
    <t xml:space="preserve">Ausst. Kat. Stuttgart 2012
Queckenstedt 1996
Ausst. Kat. Münster 1988b
Ausst. Kat. Osnabrück 1959
Ausst. Kat. Osnabrück 1980</t>
  </si>
  <si>
    <t xml:space="preserve">S. 49, Abb. 27 (Cornelia Manegold)
S. 66–68
S. 105–108, Kat.-Nr. 65 (Gerd Dethlefs)
S. 29, Nr. 121</t>
  </si>
  <si>
    <t xml:space="preserve">40,2 x 36
40,5 x 36,8 </t>
  </si>
  <si>
    <t xml:space="preserve">Acta Pacis Westphalicae Publica</t>
  </si>
  <si>
    <t xml:space="preserve">nach dem Vorbericht </t>
  </si>
  <si>
    <t xml:space="preserve">Nebst deß jezo lebenden Hochwürdigen Dohm-Capituls in Osnabrück Namen und Wappen. 1735</t>
  </si>
  <si>
    <t xml:space="preserve">G. F. Arenhold. del.
Heumann fc.</t>
  </si>
  <si>
    <t xml:space="preserve">Das Gedenkblatt mit zwei Innenraumansichten des Osnabrücker Rathauses stammt aus dem vierten Band der&amp;nbsp;Acta Pacis Westphaliae Publica. Dort handelten die Vertreter der protestantischen Reichsstände Teile des Westfälischen Friedens aus: An den Seitenwänden hängen Porträts der Souveräne und ihrer Gesandten, die sich bis heute erhalten haben.[fn]Zu den Gemälden siehe ausführlich Dethlefs 1996.[/fn] Ein Textteil des Kupferstichs, der allerdings im Exemplar des Germanischen Nationalmuseums fehlt, ordnet den Zahlen die Namen der Porträtierten zu. Auf der&amp;nbsp;Rahmung befinden sich unter anderem die Wappen des&amp;nbsp;Erzbischofs von Köln, Clemens August von Bayern (der zugleich Fürstbischof in Osnabrück war) und weiterer Geistlicher des Domkapitels.Im fünften Band der&amp;nbsp;Acta Pacis Westphaliae Publica&amp;nbsp;befindet sich ein Stich von Georg Daniel&amp;nbsp;Heumann, der seinerseits den Rathaussaal in Münster zeigt. Dort fand am 15. März 1648 die Beschwörung des Vertrags zwischen Spanien und den Niederlanden statt (siehe&amp;nbsp;NG896).ALS</t>
  </si>
  <si>
    <t xml:space="preserve">http://friedensbilder.gnm.de/sites/default/files/HB6350.tif</t>
  </si>
  <si>
    <t xml:space="preserve">Osnabrückischer Conferenz-Saal, Worinnen der weltbekannte Westphälische Frieden, in denen Jahren 1643. biß 1649. abgehandelt und geschlossen worden., HB 6350, Kapsel 1220</t>
  </si>
  <si>
    <t xml:space="preserve">Osnabrückischer Conferenz-Saal, Worinnen der weltbekannte Westphälische Frieden, in denen Jahren 1643. biß 1649. abgehandelt und geschlossen worden.</t>
  </si>
  <si>
    <t xml:space="preserve">http://friedensbilder.gnm.de/content/frieden_foto_order20501b</t>
  </si>
  <si>
    <t xml:space="preserve">Universitätsbibliothek Osnabrück</t>
  </si>
  <si>
    <t xml:space="preserve">Osnabrück</t>
  </si>
  <si>
    <t xml:space="preserve">8902-073 9</t>
  </si>
  <si>
    <t xml:space="preserve">Verfasser
Verleger
Drucker</t>
  </si>
  <si>
    <t xml:space="preserve">Meiern, Johann Gottfried von
Gercken, Johann Adolph
Schultze, Johann Christoph Ludolph</t>
  </si>
  <si>
    <t xml:space="preserve">Hannover</t>
  </si>
  <si>
    <t xml:space="preserve">Oschmann 1998</t>
  </si>
  <si>
    <t xml:space="preserve">Oder: Westphälische Friedens-Handlungen und Geschichte</t>
  </si>
  <si>
    <t xml:space="preserve">Vierdter Theil: Worinnen enhalten, was von Anfang des Jahrs 1647. biß gegen Ende desselben zwischen Ihro Römisch-Kayserlichen Majestät, dann den Beyden Cronen Franckreich und Schweden, ingleichen des Heiligen Römischen Reichs Chur-Fürsten, Fürsten und Ständen, zu Oßnabrück und Münster gehandelt worden / in einem mit richtigen Urkunden bestärckten Historischen Zusammenhang verfasset und beschrieben von Johann Gottfried von Meiern, Königlich. Groß-Britannischen und Chur-Fürstlich. Braunschweig-Lüneburgischen Hoff- und Cantzley-Rath zu Hannover</t>
  </si>
  <si>
    <t xml:space="preserve">Sechsbändiges Werk, in dem der Prozess bis zur Unterzeichnung des Westfälischen Friedens mittels Akten und historischen Erläuterungen rekonstruiert wird.</t>
  </si>
  <si>
    <t xml:space="preserve">http://friedensbilder.gnm.de/content/frieden_object2dcab</t>
  </si>
  <si>
    <t xml:space="preserve">Schertzgedicht, Die Früchte deß Friedens Vorstellent</t>
  </si>
  <si>
    <t xml:space="preserve">HB 15054, Kapsel 1220</t>
  </si>
  <si>
    <t xml:space="preserve">Monogrammist IFFB
Fürst, Paul</t>
  </si>
  <si>
    <t xml:space="preserve">Paas
Harms 
Ausst. Kat. Münster 1988b
Ausst. Kat. Münster / Osnabrück 1998</t>
  </si>
  <si>
    <t xml:space="preserve">Bd. VIII, S. 58, Nr. P-2441
Bd. IV, S. 342–434, Nr. 257
S. 254, Kat.-Nr. 169 (Gerd Dethlefs)
S. 225, Kat.-Nr. 662</t>
  </si>
  <si>
    <t xml:space="preserve">75:707178Q </t>
  </si>
  <si>
    <t xml:space="preserve">22,1 x 28,7 </t>
  </si>
  <si>
    <t xml:space="preserve">Stadtbibliothek Nürnberg</t>
  </si>
  <si>
    <t xml:space="preserve">Nor. 172.2°(1)</t>
  </si>
  <si>
    <t xml:space="preserve">Scherzgedicht die Früchte des Friedens darstellend (Fragment)</t>
  </si>
  <si>
    <t xml:space="preserve">I. F. F. B. Scul.</t>
  </si>
  <si>
    <t xml:space="preserve">Das Blatt aus dem Nürnberger Verlag&amp;nbsp;Paulus Fürst&amp;nbsp;zeigt ein ‚Schertzgedicht‘ auf die ‚Früchte des Friedens‘, die üblicherweise&amp;nbsp;durch&amp;nbsp;Pax&amp;nbsp;mit Füllhorn – häufig zusammen mit&amp;nbsp;Abundantia&amp;nbsp;– oder einem pflügenden Bauern als Symbol für das Aufblühen der Landwirtschaft wiedergegeben sind. Der vorliegende Bildentwurf greift die Alltagssatire auf: das Motiv der verkehrten Welt, wie es in der Anfangszeile heißt.[fn]Zu dem Blatt gehört ein dreispaltiger Typendruck, der in dem Exemplar im Germanischen Nationalmuseum nicht erhalten geblieben ist. In der Stadtbibliothek befindet sich ein vollständiges Exemplar: Stadtbibliothek Nürnberg, Nor. 172.2°(1).[/fn]&amp;nbsp;Das vor allem in der Druckgraphik beliebte Sujet kehrt traditionelle Bildmuster um, in dem etwa Tiere Menschen jagen.[fn] Zu dem Motiv in der Druckgraphik siehe u.a. Kunzle, David: World upside down. The iconography of a European broadsheet type, in: Barbara A. Babock (Hrsg.): The reversible world. Symbolic inversion in art and society, Ithaca 1978, S. 39–94. &amp;nbsp;Die verkehrte Welt. Moral und Nonsens in der Bildsatire – Populärgraphik aus vier Jahrhunderten. Hrsg. v. Günter Böhmer. Ausst. Kat. Slg. Böhmer Amsterda, Paris und London 1984/85, München 1985. Für ein Blatt gleicher Thematik „Der Thier und Jäger Krieg“ aus dem Verlag Fürst und dem Monogrammisten IFFB siehe Germanisches Nationalmuseum Nürnberg, Graphische Sammlung, Inv.-Nr. HB 15064, Kapsel-Nr. 1295. [/fn]
Der Monogrammist IFFB karikiert den Umgang der Bevölkerung mit den Soldaten und deren Ausrüstung,&amp;nbsp;wodurch tradierte Friedensmotive ins Lächerliche gezogen werden. So muss nun der Soldat anstelle des Bauern den Acker pflügen (A) und seine Lanze als Hühnerleiter herhalten (M). Auch das Schmieden von Waffen zu Ackergerät aus Jes 2,2–4 taucht im Text auf: „So muß der Ackerbau gelücken / wann aus dem Spieße wird ein Pflug/“. Fäkalhumor bleibt ebenfalls nicht aus, wie er in anderen Spottblättern der Zeit auftritt (vergleiche&amp;nbsp;HB 25059, Kapsel 1314). Eine Figur kotet in eine Kriegstrommel, davor uriniert ein Mann in einen Soldatenhelm. Fernab der Satire drückt besonders die Szene unter Buchstabe O Kritik aus. Die durch den Frieden nun arbeitslosen Soldaten können sich nur noch Gänsewein leisten.&amp;nbsp;Damit spielt das Blatt auf die noch im ganzen Reich stationierten Söldnerheere an, deren Bezahlung und Abzug erst mit dem Nürnberger Friedensexekutionskongress von 1650 geregelt wurde und für die Bevölkerung eine hohe Belastung ausmachten.
ALS
</t>
  </si>
  <si>
    <t xml:space="preserve">http://friedensbilder.gnm.de/sites/default/files/75_nor_2_172_1.tif
http://friedensbilder.gnm.de/sites/default/files/HB15054_01.tif</t>
  </si>
  <si>
    <t xml:space="preserve">Das Blatt aus dem Nürnberger Verlag&amp;nbsp;Paulus Fürst&amp;nbsp;zeigt ein ‚Schertzgedicht‘ auf die ‚Früchte des Friedens‘, die üblicherweise&amp;nbsp;durch&amp;nbsp;Pax&amp;nbsp;mit Füllhorn – häufig zusammen mit&amp;nbsp;Abundantia&amp;nbsp;– oder einem pflügenden Bauern als Symbol für das Aufblühen der Landwirtschaft wiedergegeben sind. Der vorliegende Bildentwurf greift die Alltagssatire auf: das Motiv der verkehrten Welt, wie es in der Anfangszeile heißt.&amp;nbsp;Das vor allem in der Druckgraphik beliebte Sujet kehrt traditionelle Bildmuster um, in dem etwa Tiere Menschen jagen.
Der Monogrammist IFFB karikiert den Umgang der Bevölkerung mit den Soldaten und deren Ausrüstung,&amp;nbsp;wodurch tradierte Friedensmotive ins Lächerliche gezogen werden. So muss nun der Soldat anstelle des Bauern den Acker pflügen (A) und seine Lanze als Hühnerleiter herhalten (M). Auch das Schmieden von Waffen zu Ackergerät aus Jes 2,2–4 taucht im Text auf: „So muß der Ackerbau gelücken / wann aus dem Spieße wird ein Pflug/“. Fäkalhumor bleibt ebenfalls nicht aus, wie er in anderen Spottblättern der Zeit auftritt (vergleiche&amp;nbsp;HB 25059, Kapsel 1314). Eine Figur kotet in eine Kriegstrommel, davor uriniert ein Mann in einen Soldatenhelm. Fernab der Satire drückt besonders die Szene unter Buchstabe O Kritik aus. Die durch den Frieden nun arbeitslosen Soldaten können sich nur noch Gänsewein leisten.&amp;nbsp;Damit spielt das Blatt auf die noch im ganzen Reich stationierten Söldnerheere an, deren Bezahlung und Abzug erst mit dem Nürnberger Friedensexekutionskongress von 1650 geregelt wurde und für die Bevölkerung eine hohe Belastung ausmachten.
ALS
</t>
  </si>
  <si>
    <t xml:space="preserve">Schertzgedicht, Die Früchte deß Friedens Vorstellent., HB 15054, Kapsel 1220
Schertzgedicht, Die Früchte deß Friedens Vorstellent., HB 15054, Kapsel 1220</t>
  </si>
  <si>
    <t xml:space="preserve">https://friedensbilder-neu.gnm.de/sites/default/files/2019-06/HB15054.png</t>
  </si>
  <si>
    <t xml:space="preserve">Schertzgedicht, Die Früchte deß Friedens Vorstellent.
Schertzgedicht, Die Früchte deß Friedens Vorstellent.</t>
  </si>
  <si>
    <t xml:space="preserve">http://friedensbilder.gnm.de/content/frieden_foto_order1f9419</t>
  </si>
  <si>
    <t xml:space="preserve">http://friedensbilder.gnm.de/content/frieden_foto_order147902</t>
  </si>
  <si>
    <t xml:space="preserve">Pax Nobile Heroum</t>
  </si>
  <si>
    <t xml:space="preserve">HB 13601, Kapsel 1314</t>
  </si>
  <si>
    <t xml:space="preserve">nach 1632</t>
  </si>
  <si>
    <t xml:space="preserve">Lang 1974
Paas
Heyde 1995</t>
  </si>
  <si>
    <t xml:space="preserve">S. 191, Kat-Nr. 53
Bd. VI, S. 55, Nr. P-1575
S. 231–234.</t>
  </si>
  <si>
    <t xml:space="preserve">20,9 x 16,7</t>
  </si>
  <si>
    <t xml:space="preserve">Das ist Wahre vnd eigendliche Contrafactur der beyden Großmüthigen Helden / Als Des Durchlauchtigsten vnd GroßMächtigsten Fürsten vnd Herrn / Herrn GUSTAVI ADOLPHI, Von Gottes Gnaden / der Schweden / Gothen vnd Wenden König / etc.</t>
  </si>
  <si>
    <t xml:space="preserve">So wol auch Des Durchlauchtigsten Hochgebornen Fürsten vnd Herrn / Herrn JOHANN GEORGEN / Herzogen zu Sachsen / Gülich / Cleve vnd Berg / etc. Des Heiligen Rö-mischen Reichs Ertz Marschallen / etc. Vnsers gnädigsten Königes / ChurFürsten vnd Herren</t>
  </si>
  <si>
    <t xml:space="preserve">Das Reiterdoppelbildnis zeigt den schwedischen König&amp;nbsp;Gustav Adolph, in Begleitung des sächsischen Kurfürsten&amp;nbsp;Johann Georg I.&amp;nbsp;Die Siegeskrönung mit Lorbeerkranz durch einen Putto sowie die Attribute Kommandostab und Feldbinde weisen den schwedischen Monarchen als Initiator und Hauptverantwortlichen für den Sieg der protestantischen Seite aus. Am Horizont über dem Schlachtfeld findet sich eine Stadtansicht Leipzigs. Deutlich zu erkennen sind das Ranstädter Tor im Norden der Stadt, die St. Thomaskirche mit ihrem getreppten Westturm und dem steilen Giebeldach sowie die Festung Pleißenburg im Südwesten.[fn] Vergleiche den Plan von Matthäus Merian d.Ä. von 1646 „Abriss der Churfürstlichen Sächsischen Statt Leyptzig, wie diselbe Jetziger Zeit im wesen ist.“.[/fn]&amp;nbsp;Nach dem Eintritt Schwedens in den Dreißigjährigen Krieg konnte die protestantische Seite im Verbund mit Sachsen einen entscheidenden Sieg über die kaiserlichen Truppen unter Führung&amp;nbsp;Johann T’Serclaes von Tilly&amp;nbsp;erringen. Nach diesem militärischen Durchbruch drangen die schwedischen Truppen beinahe ungehindert bis nach Süddeutschland vor. Das Chronogramm am unteren Blattrand bestätigt dieses schwedische Selbstverständnis, und auch wenn die beschädigten letzten Worte auf keinem anderen Abdruck erhalten sind,[fn] Nach Paas ist lediglich ein weiteres Blatt in Braunschweig bekannt, dass aber bis auf den Rand des Doppelporträts beschnitten ist.[/fn]&amp;nbsp;lässt es sich im Hinblick auf das Ereignisdatum wie folgt ergänzen: ANNO QVô GVstaVVs&amp;nbsp;ADoLphVs soLVs [erI]t [IMperat]or: Das Jahr, in dem Gustav Adolph der einzige Herrscher sein wird (=1632).[fn]Rekonstruktion: MATW[/fn]Der umstehende Text geht in der linken Spalte auf das Schlachtengeschehen ein und beschreibt das von der Gegenseite gefürchtete Vorgehen des sächsischen Militärs. Rechts finden sich Vergleiche mit den antiken Heroen Scipio Africanus und Hannibal, die einerseits Hoffnung auf weitere Siege für die protestantische Partei machen sollen, jedoch auch den allgemeinen Frieden herbeisehnen: “Den Wunsch / O Gott / laß so ergehn / Und uns den Frieden wiedersehn.”Elisabeth Lang erwähnt – ohne näher auf das vorliegende Blatt einzugehen – eine Reihe von Flugblättern, die beide Herrscher gemeinsam anlässlich des Sieges bei Breitenfeld (Leipzig) zeigen.[fn] Lang 1974, S. 75-77 und S. 112.[/fn]&amp;nbsp;Insgesamt sind nur wenige solcher Unionsbildnisse erhalten, was auf die schwierige Allianzpolitik zurückzuführen ist. Zudem entstanden alle bekannten Porträts erst nach der Schlacht bei Breitenfeld. Astrid Heyde gibt ein Exemplar an (dort Abb. 307), welches als Vorlage für&amp;nbsp;Pax Nobile Heroum&amp;nbsp;gedient haben könnte, da beide Fürsten ebenfalls als Reiter und in identischer Körperhaltung dargestellt sind.Ein ähnliches Doppelbildnis zeigt ein Blatt mit der&amp;nbsp;Allegorie auf die Freundschaft zwischen Sachsen und Schweden.&amp;nbsp;[fn]Vgl. das Objekt des Germanischen Nationalmuseums allerdings ohne Abbildung HB 29954, Kapsel-Nr. 1314a[/fn]ALS&amp;nbsp;&amp;nbsp;&amp;nbsp;</t>
  </si>
  <si>
    <t xml:space="preserve">http://friedensbilder.gnm.de/sites/default/files/HB13601_01.tif</t>
  </si>
  <si>
    <t xml:space="preserve">Pax Nobile Heroum, HB 13601, Kapsel 1314</t>
  </si>
  <si>
    <t xml:space="preserve">http://friedensbilder.gnm.de/content/frieden_foto_order205020</t>
  </si>
  <si>
    <t xml:space="preserve">Kriegstrost / Abgesehen auß den andern Buch der Könige am 19. und auß dem Esaiae 37. Cap. Gesangsweise außgefertiget. Im Thon: An Wasserflüssen Babilon / etc.</t>
  </si>
  <si>
    <t xml:space="preserve">HB 14926, Kapsel 1314</t>
  </si>
  <si>
    <t xml:space="preserve">Fürst, Paul
Klaj, Johann</t>
  </si>
  <si>
    <t xml:space="preserve">Mayer-Gürr 2007
Paas
Repgen 1998c
Hampe 1915
Paas 2015</t>
  </si>
  <si>
    <t xml:space="preserve">S. 292
Bd. VII, S. 309, Nr. P-2177
S. 50, Nr. 55a
S. 45–46, Nr. 94
S. 47–49</t>
  </si>
  <si>
    <t xml:space="preserve">11,2 x 14,9</t>
  </si>
  <si>
    <t xml:space="preserve">Flugliedblatt gegen den Krieg</t>
  </si>
  <si>
    <t xml:space="preserve">Monogramm
Verlagsadresse</t>
  </si>
  <si>
    <t xml:space="preserve">J. Kl. 
Zufinden in Nürnberg bey Paulus Fürsten Kunsthändlern/etc.</t>
  </si>
  <si>
    <t xml:space="preserve">rechts unten
unten</t>
  </si>
  <si>
    <t xml:space="preserve">Die Radierung zeigt die Rettung Jerusalems vor den assyrischen Soldaten. Unter der Führung Sanheribs hatten sie die Stadt belagert. Nach König Hiskijas Bitte um göttlichen Beistand sendete Jahwe ”einen Engel des Herrn aus, der im Lager der Assyrer hundertfünfundachtzigtausend Mann erschlug“ (II Reg 19,35 und Jes 37,36).Das Blatt dokumentiert die erste Zusammenarbeit zwischen Paulus Fürst und Johann Klaj. Für den Nürnberger Verleger markiert es den Beginn einer Reihe ausgesprochen hochwertiger Blätter, deren Texte in Zusammenarbeit mit den Mitgliedern des seit 1644 bestehenden Pegnesischen Blumenordens entstanden.ALS</t>
  </si>
  <si>
    <t xml:space="preserve">Kriegstrost /&amp;nbsp;Abgesehen auß den andern Buch der Könige am 19. und auß dem Esaiae 37. Cap.Gesangsweise außgefertiget.Im Thon: An Wasserflüssen Babilon / etc.&amp;nbsp;1.&amp;nbsp;Ich Teutschland nicht mehr teutsches LandAn den berühmten Flüssen /&amp;nbsp;häng deine Harffen an die Wand /&amp;nbsp;Die Threnen sich ergiessen !&amp;nbsp;Wenn ich besinn den alten Stand /&amp;nbsp;Eh Jungfrau dich die RauberhandGemacht zu einem Weibe /&amp;nbsp;Die betteln gehet / nackend / bloß /&amp;nbsp;Die sonder Mann / die Kinderloß&amp;nbsp;Weint mir das Hertz im Leibe&amp;nbsp;&amp;nbsp;2.Ach Teutschland nicht mehr teutsches LandWie bist du zu gerichtet !&amp;nbsp;Der Völcker Scheusall / Spott und Schand /&amp;nbsp;Zergliedert / ganzvernichtet /&amp;nbsp;Der Feind darzu dich hönisch hält /&amp;nbsp;Er fragt: ist das die Zier der WeltIst das die Lust der Erden?Heh / heh wir haben Sie verheert /&amp;nbsp;Diß ist der Tag den wir begehrt /&amp;nbsp;Sie muß geschleiffet werden.&amp;nbsp;3.&amp;nbsp;Die Strassen Zions ligen leer /&amp;nbsp;Das Opffern wird verhindert /Man findet keine Kirche mehrDie ncith wer außgeplündert /&amp;nbsp;Die Priester hat man fortgesandt /&amp;nbsp;Die Gotteshäuser außgebrandt /&amp;nbsp;Die Lämmer ohne Weide /&amp;nbsp;Gantz schlägbäuchig einherziehnVor Hunger in die Wälder fliehn /&amp;nbsp;Viel sterben gar vor Leide.&amp;nbsp;4.Das Heil der Stadt / Gerechtigkeit&amp;nbsp;Ist ewig außgewiesen /Das Regiment bey solcher ZeitWird nicht sehr hoch gepriesen /&amp;nbsp;Ein jeder thut was ihm beliebt /&amp;nbsp;Der Krieg den Haußstand hochbetrübt /&amp;nbsp;Das Vieh stirbt ohne Futter /&amp;nbsp;Die grossen fallen durch das Schwerd /&amp;nbsp;Die kleinen Hungersnoth verzehrt /&amp;nbsp;Den Säugling an der Mutter.&amp;nbsp;5.Es hat die Magenleere NothVerbotne Speise gessen /&amp;nbsp;Klein / Eicheln / Eselsköpffe / Koht /&amp;nbsp;Auch Menschenfleisch gefressen.Der Hunger hats dahin gebracht /&amp;nbsp;Das MÜtter ihre Frucht geschlacht /&amp;nbsp;Der Kinderlieb vergessen ;&amp;nbsp;Gekocht den Sohn am FewerrauchUnd wider in den Mutterbauch /&amp;nbsp;Hilff HErre Gott ! gefressen.&amp;nbsp;6.&amp;nbsp;Wo ist ein KRieg wol in der WeltDer so viel Jahr gewehret/&amp;nbsp;Der durchgebracht ein solches Geld/Solch Land und Leut verzehret/Der so viel Unfall hat erweckt/Der Stadt und Dorff im Brand gesteckt/Der überweit geflogen/Durch alle Reiche mit Gefahr/Schon gantzer acht und zwantzig Jahr/Gleich einer Gifft gezogen.&amp;nbsp;7.Es hat die grimme Länderpest/Getobet und gewütet/In Osten/Suden/Nord und WestViel Unglück außgebrütet;Der Fürsten Degen scharff gewetzt/Zum Blutvergiessen an gehetzt/Daß sie selbselbsten haben/Einander auß den Land verjagtMit tausend Marterart geplagt/Ein eigen Grab gegraben&amp;nbsp;8.Und dannoch will kein Mensche recht[nächste Spalte]Sich zu den Friede lencken /&amp;nbsp;Dem Tauger / dem ist er zu schlechtDer träget diß bedencken/Man sagt ovn Friede Tag und Nacht&amp;nbsp;Und wird sein Friede nicht gemacht/Ach Friede / güldner Friede !&amp;nbsp;Ach Friedefürst send uns geschwind /Das Friedengold / dein Himmelkind /Wir sind deß Krieges müde.&amp;nbsp;9.&amp;nbsp;Es hat uns lang genug geschrecktDer Krieg auff unsern Bette/Schafft daß uns fort der Haan auffweckt&amp;nbsp;Und nicht die Mordtrompette;Für Schlachten gibt den Frewdentantz/Für Lorbern einen Ohelblat Krantz/Daß jeder sicher schlaffe/Bedeckt von seinen Feigenbaum/Der seinen Weinstock gibet Raum/Und weidet seine Schafe.&amp;nbsp;10.&amp;nbsp;Es wird den Menschen nicht gar wolBey dieser Trübsal werden/Ob deme was noch folgen soll/[nächste Spalte]Zur letzten Zeit auff Erden/Die Sonne schwärtzet ihre Bahn/Der Mond legt Trawerkleider an/Die Sterne sich durchträncken/Das Meer läufft nicht den alten Lauff/Es schäumt / es bäumt sich Himmelauff /Und will die Welt erträncken.&amp;nbsp;11.Man hört von Krieg und Kriegsgeschrey/Es ist die letzte Neige/Die rasendtolle TyrraneyMacht alle Menschen feige/Das schlaffe Haubt hängt wie ein Schilff/Ach HErr komm du / komm bald und Hülff/Wie dem Wort hat versprochen/Laß nicht das dickvergossne Blut/Das umb Jerusalem wie FlutGestossen / ungerochen !&amp;nbsp;&amp;nbsp;12.Wann Sanherib sich noch nicht legt/So wolst du ihme weisenDen Zepter der Friedhässer schlägt/Den Zepter der von Eisen/Zerschmettre seinen stoltzen Kopff/Wie man zerschlägt den irdnen Topff/Damit er nicht mehr blase/Solch Gifftvergältes böses Ding/So lege ihm den ZwingeringIn seine wilde Nase.&amp;nbsp;13.&amp;nbsp;Und will er noch nicht stille seyn/Mit Kriegblutmordgetümmel /&amp;nbsp;So laß den Engel schalgen dreinVon deinem hohen Himmel/Der kan mit kräfftigstarcker MachtErlegen ihm in einer Nacht/Da ligen auff der StrassenFrüh / hundert zwantzig tausen Mann&amp;nbsp;Acht tausend noch / kein Hund entran/Er mß das Leben lassen.&amp;nbsp;14.Send Stille ! GOtt ist Zebaoth /Sein Arm ist nicht verkürtzet/Er reisset je und je auß Noth/Der Feinde Hochmuth stürtzet/Er ist es der den Sieg erhält/Bleibt allzeit Meister in den Feld ;Und auch in diesen Zeiten/Will er der Heiland / unser Held/Dem wir die Sache heimgesteltVor seine Kirche streiten.&amp;nbsp;&amp;nbsp;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J. Kl.Zufinden in Nürnberg bey Paulus Fürst Kunsthändlern / etc.</t>
  </si>
  <si>
    <t xml:space="preserve">http://friedensbilder.gnm.de/sites/default/files/HB14926 _01.tif</t>
  </si>
  <si>
    <t xml:space="preserve">Kriegstrost / Abgesehen auß den andern Buch der Könige am 19. und auß dem Esaiae 37. Cap. Gesangsweise außgefertiget. Im Thon: An Wasserflüssen Babilon / etc., HB 14926, Kapsel 1314
Kriegstrost / Abgesehen auß den andern Buch der Könige am 19. und auß dem Esaiae 37. Cap. Gesangsweise außgefertiget. Im Thon: An Wasserflüssen Babilon / etc., HB 14926, Kapsel 1314</t>
  </si>
  <si>
    <t xml:space="preserve">Kriegstrost / Abgesehen auß den andern Buch der Könige am 19. und auß dem Esaiae 37. Cap. Gesangsweise außgefertiget. Im Thon: An Wasserflüssen Babilon / etc.
Kriegstrost / Abgesehen auß den andern Buch der Könige am 19. und auß dem Esaiae 37. Cap. Gesangsweise außgefertiget. Im Thon: An Wasserflüssen Babilon / etc.</t>
  </si>
  <si>
    <t xml:space="preserve">http://friedensbilder.gnm.de/content/frieden_foto_order204f62</t>
  </si>
  <si>
    <t xml:space="preserve">Deß armen Manns sehnliche Klag/ gegen dem grossen KriegsGott/ über das verderbliche Kriegswesen/ vnd vmb Abwendung desselben</t>
  </si>
  <si>
    <t xml:space="preserve">HB 19792, Kapsel 1314</t>
  </si>
  <si>
    <t xml:space="preserve">Kupferstich
Typendruck
Radierung</t>
  </si>
  <si>
    <t xml:space="preserve">Weber, Wilhelm</t>
  </si>
  <si>
    <t xml:space="preserve">Ausst. Kat. Münster 1976
Schilling 1990
Paas
Schnabel 2017
Hampe 1894
Holstein 1884
Zillner 1840</t>
  </si>
  <si>
    <t xml:space="preserve">S. 57, Nr. 128
S. 151–152 und 190, Anm. 14
B. VII, S. 174, Nr. P-2038
S. 293–296
S. 43–44
Heft 76, S. 603</t>
  </si>
  <si>
    <t xml:space="preserve">13,9 x 19,3</t>
  </si>
  <si>
    <t xml:space="preserve">W. W. Dichter</t>
  </si>
  <si>
    <t xml:space="preserve">nicht verzeichnet</t>
  </si>
  <si>
    <t xml:space="preserve">Die Darstellung zeigt die verschiedenen Berufsstände, die durch die Kriegszerstörungen beeinträchtigt sind. “Der arme Mann” verleiht dem Wunsch der breiten Bevölkerung nach Frieden Ausdruck. Um die Betroffenheit der verschiedenen Stände zu verdeutlichen, spricht der Text Kaufleute, Bauern und Handwerker gleichermaßen an. Eine ähnliche Vorgehensweise findet sich in&amp;nbsp;HB 711, Kapsel 1248. Die Schilderung der Kriegsnot, die alle Schichten betraf, dürfte vor allem mit den militärischen Schauplätzen zusammenhängen: Vom Dreißigjährigen Krieg waren Städte und Dörfer gleichermaßen betroffen. Ungewöhnlich ist das Lamm als Symbol für den Frieden, der sonst in weiblicher Personifikation erscheint.
Wilhelm Weber war ein bekannter Spruchsprecher in Nürnberg, der wohl seit 1636 in der Stadt etabliert war. Diese Redner trugen während verschiedener Veranstaltungen – etwa Hochzeiten – Reime vor, wodurch sie sich einen festen Platz im sozialen Gefüge der Stadt sicherten. Sie lieferten zahlreiche Texte für Flugblätter, deren mediale Qualitäten sie für sich entdeckt hatten. Als besonders lukratives Geschäft erwiesen sich Neujahrsblätter, von denen sich einige, nach 1648 entstandene Beispiele mit einem Friedenswunsch erhalten haben.[fn]Germanisches Nationalmuseum Nürnberg, Graphische Sammlung, Inventar-Nr. HB 2106, Kapsel 1312.[/fn]
ALS
</t>
  </si>
  <si>
    <t xml:space="preserve">Deß armen Manns sehnliche Klag/ gegen dem grossen KriegsGott/ über das verderbliche Kriegswesen/ vnd vmb Abwendung desselben.
1.&amp;nbsp;
O Kriegs Fürst hör/
Nicht alls zerstör/
Denck an die Zeit/
Sih an das Leyd/
Auch sie Elendn
In allen Ständn/
Leg ab die Waffn/
Gott thut nicht schlaffn.
2.
Nimb an den Fried/
Verwirff ihn nit.
Der Bawer klagt/
Das Handwerck sagt:
O Handelsmann/
Wenn gehts doch an/
Daß man recht trawt/
Vnd die Meß bawt?
3.
Der Kauffmann spricht/
Wo das nicht gschicht/
Daß Fürstn vnd Herzn/
Recht einig wern/
Auch folgen Gott/
Vnd seim Gebot/
An allem Ort/
Sonst gehts nicht fort.
4.
Weil es dran ligt/
Wo solchs nich schickt
Der Gott im Himmel/
Stillt das Gtümmel
O Herr sich drein/
Kehr bey vns ein/
Thu vns Fried sendn/
In allen Ständn/
5.
Auff daß wir dich/
Können frölich
Loben vnd preisn/
Vnd vns befleissn
Christlich zu lebn/
Vnd widerstrebn
Der Sünd vnd Schand/
In allem Land.
&amp;nbsp;
W. W. Dichter. 1636
MATW
</t>
  </si>
  <si>
    <t xml:space="preserve">http://friedensbilder.gnm.de/sites/default/files/HB19792_01.tif</t>
  </si>
  <si>
    <t xml:space="preserve">Die Darstellung zeigt die verschiedenen Berufsstände, die durch die Kriegszerstörungen beeinträchtigt sind. ”Der arme Mann“ verleiht dem Wunsch der breiten Bevölkerung nach Frieden Ausdruck. Um die Betroffenheit der verschiedenen Stände zu verdeutlichen, spricht der Text Kaufleute, Bauern und Handwerker gleichermaßen an. Eine ähnliche Vorgehensweise findet sich in&amp;nbsp;HB 711, Kapsel 1248. Die Schilderung der Kriegsnot, die alle Schichten betraf, dürfte vor allem mit den militärischen Schauplätzen zusammenhängen: Vom&amp;nbsp;Dreißigjährigen Krieg&amp;nbsp;waren Städte und Dörfer gleichermaßen betroffen. Ungewöhnlich ist das Lamm als Symbol für den Frieden, der sonst in weiblicher Personifikation erscheint.Wilhelm Weber&amp;nbsp;war ein bekannter Spruchsprecher in Nürnberg, der wohl seit 1636 in der Stadt etabliert war. Diese Redner trugen während verschiedener Veranstaltungen – etwa Hochzeiten – Reime vor, wodurch sie sich einen festen Platz im sozialen Gefüge der Stadt sicherten. Sie lieferten zahlreiche Texte für Flugblätter, deren mediale Qualitäten sie für sich entdeckt hatten. Als besonders lukratives Geschäft erwiesen sich Neujahrsblätter, von denen sich einige, nach 1648 entstandene Beispiele mit einem Friedenswunsch erhalten haben.ALS</t>
  </si>
  <si>
    <t xml:space="preserve">Deß armen Manns sehnliche Klag / gegen dem grossen KriegsGott/ über das verderbliche Kriegswesen / und umb Abwendung desselben, HB 19792, Kapsel 1314</t>
  </si>
  <si>
    <t xml:space="preserve">https://friedensbilder-neu.gnm.de/sites/default/files/2019-06/HB19792.png</t>
  </si>
  <si>
    <t xml:space="preserve">Deß armen Manns sehnliche Klag / gegen dem grossen KriegsGott/ über das verderbliche Kriegswesen / und umb Abwendung desselben</t>
  </si>
  <si>
    <t xml:space="preserve">http://friedensbilder.gnm.de/content/frieden_foto_order1f9211</t>
  </si>
  <si>
    <t xml:space="preserve">Der Fröliche Postreitende Friedens Bott / Welcher den so lang sehnlich und Herzlich gewünschten nunmehr aber im Römischen Reich Edlen Frieden / In aller Welt mit Lust außbläset / und jedermänniglich zur Frewd ermahnet</t>
  </si>
  <si>
    <t xml:space="preserve">HB 24950, Kapsel 1314</t>
  </si>
  <si>
    <t xml:space="preserve">Holzschnitt
Typendruck</t>
  </si>
  <si>
    <t xml:space="preserve">Paas
Quaasdorf 2015</t>
  </si>
  <si>
    <t xml:space="preserve">Bd. 7, S. 162, Nr. P-2024
S. 285–286</t>
  </si>
  <si>
    <t xml:space="preserve">11,3 x 18,1</t>
  </si>
  <si>
    <t xml:space="preserve">Allegorisches Flugblatt auf den Friedensschluß</t>
  </si>
  <si>
    <t xml:space="preserve">”Der Fröhliche Postreitende Friedens Bott“ entstand 1636, ein Jahr nach dem Prager Frieden. Mit diesem Vertrag zwischen dem Reich und dem Kurfürstentum Sachsen waren erste Grundlagen gelegt worden, auf denen die Verhandlungen des Westfälischen Friedens aufbauen konnten. Konfessionell war dieser Friede besonders von Bedeutung, weil er das Restitutionsedikt für die Dauer von 40 Jahren aussetzte. Bereits 1635 war ein ebenfalls anonym verfasster Druck unter dem Titel ”Der Postreitende FriedensBote“ erschienen.[fn]http://gso.gbv.de/DB=1.28/CMD?ACT=SRCHA&amp;amp;IKT=8002&amp;amp;TRM=%273:601508N%27 [zuletzt eingesehen am 23.01.2017]. Bei dem Nürnberger Blatt ist in der Fußzeile das Wort ”Ia“ einfügt, um die Jahreszahl entsprechend auf 1636 anzugleichen.[/fn] Zwar enthalten beide weder Angaben zu Verfasser noch zu Druckort, die Verbreitung der erhaltenen Exemplare legt jedoch nahe, ihren Entstehungsort im Kurfürstentum Sachsen zu suchen.[fn]Exemplare haben sich in der Oberlausitzischen Bibliothek der Wissenschaften Görlitz, der Universitätsbibliothek Leipzig, der Universitäts- und Forschungsbibliothek Erfurt/Gotha und in der Universitäts- und Landesbibliothek Sachsen-Anhalt in Halle erhalten.[/fn]Das Exemplar im Germanischen Nationalmuseum weist einige Besonderheiten auf. Im Unterschied zu dem Druck von 1635 blieb der Text unverändert: Er schildert die Segnungen&amp;nbsp;und die Bedeutung des Friedens für die verschiedenen Berufsgruppen ähnlich wie&amp;nbsp;HB 711, Kapsel 1248. Die Holzschnitte sind uneinheitlich und passen nicht recht zum Text, sodass eine Herkunft aus anderen Werken wahrscheinlich ist. Das horizontale Bildfeld zeigt links Karl V. umringt von den Kurfürsten beim Empfang eines Dokuments.[fn]Hierbei handelt es sich vermutlich um die Confessio Augustana oder den Friedensvertrag von Passau.[/fn] Gegenüber sind die beiden Sakramente Taufe und Abendmahl sowie die Predigt von der Kanzel zu sehen. Einen ”postreitenden“ Friedensboten sucht man hier vergeblich. Die ins Horn blasende Frauenfigur mit Lanze passt weder zu einer Botschafterin noch zur Fama-Ikonographie. Auch erinnert die männliche Figur mit ihrem aufrechten Sitz, ihrer Kleidung und ihrem Handgestus eher an einen Herrschereinzug. Als Druckort kommt neben Sachsen das große protestantische Reichszentrum Nürnberg infrage.ALS</t>
  </si>
  <si>
    <t xml:space="preserve">http://friedensbilder.gnm.de/sites/default/files/HB24950_A4.tif</t>
  </si>
  <si>
    <t xml:space="preserve">Der Fröliche Postreitende Friedens Bott / Welcher den so lang sehnlich und Herzlich gewünschten nunmehr aber im Römischen Reich Edlen Frieden / In aller Welt mit Lust außbläset / und jedermänniglich zur Frewd ermahnet., HB 24950, Kapsel 1314
Der Fröliche Postreitende Friedens Bott / Welcher den so lang sehnlich und Herzlich gewünschten nunmehr aber im Römischen Reich Edlen Frieden / In aller Welt mit Lust außbläset / und jedermänniglich zur Frewd ermahnet., HB 24950, Kapsel 1314</t>
  </si>
  <si>
    <t xml:space="preserve">Der Fröliche Postreitende Friedens Bott / Welcher den so lang sehnlich und Herzlich gewünschten nunmehr aber im Römischen Reich Edlen Frieden / In aller Welt mit Lust außbläset / und jedermänniglich zur Frewd ermahnet.
Der Fröliche Postreitende Friedens Bott / Welcher den so lang sehnlich und Herzlich gewünschten nunmehr aber im Römischen Reich Edlen Frieden / In aller Welt mit Lust außbläset / und jedermänniglich zur Frewd ermahnet.</t>
  </si>
  <si>
    <t xml:space="preserve">http://friedensbilder.gnm.de/content/frieden_foto_order204ebc</t>
  </si>
  <si>
    <t xml:space="preserve">Uber den Friedens-Subscriptions-Tag / welcher ware der 16. Brachm. Jm Jahr 1650</t>
  </si>
  <si>
    <t xml:space="preserve">HB 24659, Kapsel 1220</t>
  </si>
  <si>
    <t xml:space="preserve">Verfasser
Zeichner
Verleger</t>
  </si>
  <si>
    <t xml:space="preserve">Birken, Sigmund von
Haeberlin, Leonhard
</t>
  </si>
  <si>
    <t xml:space="preserve">Harms
Paas
Laufhütte 1998</t>
  </si>
  <si>
    <t xml:space="preserve">Bd. II, S. 568–569, Nr. 326
Bd. VIII, S. 104, Nr. P-2290
S. 351</t>
  </si>
  <si>
    <t xml:space="preserve">23:675888W</t>
  </si>
  <si>
    <t xml:space="preserve">16,5 x 27,9 </t>
  </si>
  <si>
    <t xml:space="preserve">IH 246</t>
  </si>
  <si>
    <t xml:space="preserve">Des Friedens Vermählung mit Teutschland.</t>
  </si>
  <si>
    <t xml:space="preserve">Über den Friedens-Subscriptions-Tag</t>
  </si>
  <si>
    <t xml:space="preserve">S. B.</t>
  </si>
  <si>
    <t xml:space="preserve">Am 16. Juni 1650 wurden die Dokumente des Hauptrezesses kollationiert, die den Nürnberger Friedensexekutionskongress beendeten. Das vorliegende Blatt zeigt die Kutschabfahrt der Abgeordneten vom Nürnberger Rathaus in Richtung Burg. Dem Spektakel wohnen viele Schaulustige bei, die sich im Bildvordergrund versammelt haben. Im Theatrum Europaeum[fn]Theatrum Europaeum Bd. VI, Sp. 1050a–1053a.[/fn]&amp;nbsp;sind der Ablauf und die Beteiligten genauestens beschrieben. Musikanten begleiteten den Auszug und die Friedensnachricht wurde durch Boten und Salutschüsse verbreitet sowie durch abendliche Dankesgottesdienste gefeiert. Die von den Geschützen der Befestigungstürme stammenden Pulverwolken zeichnen sich in der Stadtsilhouette, die sich hinter dem Rathaus erstreckt, deutlich ab. Der Blick von Südosten wird durch einen Regenbogen abgeschlossen, unter dem die Friedenstaube den Ölzweig bringt.&amp;nbsp;
Für eine bildgleiche Darstellung mit einem Gedicht von Johan Klaj siehe&amp;nbsp;Ebl. 20.020.
Eine beinahe motivgleiche Darstellung mit einem anderen Text von Klaj findet sich auf&amp;nbsp;SP 10579, Kapsel 1068.
ALS
</t>
  </si>
  <si>
    <t xml:space="preserve">Uber den Friedens=Subscriptions-Tag / welcher ware der 16. Brachm. Jm Jahr 1650.
Des Friedens Vermählung mit Teutschland.
GAnz Teutschland hatte lang gespitzet tausend Ohren/
zu hören/ ob der Fried zu Nürnberg einst geboren
und abgehandelt sey. Brief kamen auf der Post
und fragten/ ob dann noch die Waffen nicht verrost.
Viel hofften sich zu todt. Viel volten nicht mehr hoffen.
Bis wieder Hoffen ward des Schlusses End getroffen.
Die Freudenpost brach aus/ nachdem das grosse Fest
Des Heilgen Dreymal Eins vorüber ist gewest.
Das Lachen wolfeil war. Kein Mensch war/ der mehr klagte.
Der Reichsversammlungs Rath bald einen Tag betagte/
an dem diß grosse Werk solt unterschrieben seyn.
Der neubegrünte Wald schickt einen Wald herein/
mit dem die Strasse ward bebäumet und gezieret/
die Straß'/ auf der die Hand wurd auf die Burg geführet/
die Frieden schreiben solt. Die Burg und auch das Haus
des Rahtens wurd behängt mit manchem Blumenstraus/
und schönem Fruchtgebänd. Der Ochs auch siht sich schmücken/
der nie kein Kalb gewest/ dort an der Wunderbrücken/
die Hörner werden Gold. Die Pferde ziehn Berg=auf
der Friedensgötter Schaar/ die sammlen sich zu hauf.
Die Federn trinken Fried und schreiben das/ was Himmel
und Erde frölich macht. Das donnrende Getümmel
der Stücke gibt Bericht/ der Salve Freudgeschrey/
daß nun dem tollen Krieg zu Grab gesungen sey.
Die ganze Stadt sagt Ja/ lässt aus den Fenstern knallen
die laute Pulverstimm. Alsbald zusammen fallen
die Glocken mit Geleut. Die Tempel werden voll/
daselbst man für die Gnad GOTT danket/ wie man soll/
bey brauner Abendzeit. Bald sagen die Trompeten/
die sonsten mannen auf im Krieg zum Leute=tödten/
den Leuten Frieden an. Die Musen treten dar
mit ihrem Saitenspiel/ und machens noch mehr wahr.
Wo vormals süsser Wein aus einem Löwen sprange/
da war der Ort/ daher die Friedenspost erklange/
die zehnmal süsser war/ als Wein und Malvasier;
es schöpft einiedes Ohr die Zeitung mit Begier.
Amalfi Hofstadt schmückt die Fenster mit Laternen;
das Haus blinkt in die Wett mit der Latonen Sternen
bey dunkeltrüber Nacht. Die Gassen geben Schein.
Die Nacht/ die Fried gebiert/ die muß nicht dunkel seyn.
Willkommen/ theurer Tag/ den dreissig Jahr verlangten.
Du müsstest glücklich seyn den Armen und Bedrangten.
Willkommen/ güldner Fired/ du grosses Himmelkind/
durch den wir wieder froh und freye Franken sind.
So fang nun/ Teutschland/ an von diesem Tag zu zählen
die Jahre deines Glücks. Es wünschen treue Seelen/
daß dieser Jahre Zahl/ die anbeginnet heut/
dann erst hör auf/ wann sich fäht an die Ewigkeit.
S. B.
&amp;nbsp;
MATW
</t>
  </si>
  <si>
    <t xml:space="preserve">http://friedensbilder.gnm.de/sites/default/files/HB24659.tif</t>
  </si>
  <si>
    <t xml:space="preserve">Am 16. Juni 1650 wurden die Dokumente des Hauptrezesses kollationiert, die den&amp;nbsp;Nürnberger Friedensexekutionskongress&amp;nbsp;beendeten. Das vorliegende Blatt zeigt die Kutschabfahrt der Abgeordneten vom Nürnberger Rathaus in Richtung Burg. Dem Spektakel wohnen viele Schaulustige bei, die sich im Bildvordergrund versammelt haben. Im Theatrum Europaeum1&amp;nbsp;sind der Ablauf und die Beteiligten genauestens beschrieben. Musikanten begleiteten den Auszug und die Friedensnachricht wurde durch Boten und Salutschüsse verbreitet sowie durch abendliche Dankesgottesdienste gefeiert. Die von den Geschützen der Befestigungstürme stammenden Pulverwolken zeichnen sich in der Stadtsilhouette, die sich hinter dem Rathaus erstreckt, deutlich ab. Der Blick von Südosten wird durch einen Regenbogen abgeschlossen, unter dem die Friedenstaube den Ölzweig bringt.&amp;nbsp;
Für eine bildgleiche Darstellung mit einem Gedicht von Johan Klaj siehe&amp;nbsp;Ebl. 20.020.
Eine beinahe motivgleiche Darstellung mit einem anderen Text von Klaj findet sich auf&amp;nbsp;SP 10579, Kapsel 1068.
ALS
</t>
  </si>
  <si>
    <t xml:space="preserve">Uber den Friedens-Subscriptions-Tag : welcher ware der 16. Brachm. Im Jahr 1650, HB 24659, Kapsel 1220</t>
  </si>
  <si>
    <t xml:space="preserve">https://friedensbilder-neu.gnm.de/sites/default/files/2019-06/HB24659_0.png</t>
  </si>
  <si>
    <t xml:space="preserve">Uber den Friedens-Subscriptions-Tag : welcher ware der 16. Brachm. Im Jahr 1650</t>
  </si>
  <si>
    <t xml:space="preserve">http://friedensbilder.gnm.de/content/frieden_foto_order1f942d</t>
  </si>
  <si>
    <t xml:space="preserve">Das Rathaus in Nürnberg als Verhandlungsschauplatz</t>
  </si>
  <si>
    <t xml:space="preserve">HB 1229, Kapsel 1220</t>
  </si>
  <si>
    <t xml:space="preserve">Haeberlin, Leonhard
Schnitzer, Lukas</t>
  </si>
  <si>
    <t xml:space="preserve">Kaster / Steinwascher 1996
Ausst. Kat. Nürnbeg / Fürth u.a. 1982</t>
  </si>
  <si>
    <t xml:space="preserve">S. 28, Nr. 16
S. 247, Abb. 110</t>
  </si>
  <si>
    <t xml:space="preserve">16,4 x 27,5</t>
  </si>
  <si>
    <t xml:space="preserve">Die Fried-erfreuete Teutonie: </t>
  </si>
  <si>
    <t xml:space="preserve">nach S. 93</t>
  </si>
  <si>
    <t xml:space="preserve">Für eine inhaltliche Beschreibung siehe&amp;nbsp;SP 10579, Kapsel 1068.ALS</t>
  </si>
  <si>
    <t xml:space="preserve">http://friedensbilder.gnm.de/sites/default/files/HB1229_01.tif</t>
  </si>
  <si>
    <t xml:space="preserve">http://friedensbilder.gnm.de/content/frieden_foto_order204eb7</t>
  </si>
  <si>
    <t xml:space="preserve">Gl 488</t>
  </si>
  <si>
    <t xml:space="preserve">Dümler, Jeremias
Birken, Sigmund von</t>
  </si>
  <si>
    <t xml:space="preserve">Dünnhaupt</t>
  </si>
  <si>
    <t xml:space="preserve">S. 596, Nr. 52</t>
  </si>
  <si>
    <t xml:space="preserve">23:251510R</t>
  </si>
  <si>
    <t xml:space="preserve">http://diglib.hab.de/drucke/gl-488/start.htm</t>
  </si>
  <si>
    <t xml:space="preserve">148 S., [7] gef. Bl. : Kupfert., Ill. (Holzschn.), 7 Ill. (Kupferst.).</t>
  </si>
  <si>
    <t xml:space="preserve">Eine Geschichtschrifft von dem Teutschen Friedensvergleich / was bey Abhandlung dessen / in des H. Röm. Reichs Stadt Nürnberg/ nachdem selbiger von Osnabrügg dahin gereiset / denkwürdiges vorgelauffen; </t>
  </si>
  <si>
    <t xml:space="preserve">mit allerhand Staats- und Lebenslehren / Dichtereyen / auch darein gehörigen Kupffern gezieret / in vier Bücher abgetheilet / ausgefertiget von Sigismundo Betulio J. Cult. Cass. P. </t>
  </si>
  <si>
    <t xml:space="preserve">In Verlegung Jeremiae Dümlers/ im 1652. Christjahr.</t>
  </si>
  <si>
    <t xml:space="preserve">http://friedensbilder.gnm.de/sites/default/files/drucke_gl-488_00001-00208.pdf</t>
  </si>
  <si>
    <t xml:space="preserve">Die Fried-erfreuete Teutonie: , Gl 488</t>
  </si>
  <si>
    <t xml:space="preserve">http://friedensbilder.gnm.de/content/frieden_object2e622
http://friedensbilder.gnm.de/content/frieden_object2e8ac</t>
  </si>
  <si>
    <t xml:space="preserve">http://friedensbilder.gnm.de/content/frieden_foto_order11fbc0</t>
  </si>
  <si>
    <t xml:space="preserve">Uber den Löwen/ so/ mit Lorbeerblättern bekrönet/ in der rechten Tatzen einen Palmzweig/ in der linken ein zerbrochnes Schwerd haltend</t>
  </si>
  <si>
    <t xml:space="preserve">HB 7194, Kapsel 1220</t>
  </si>
  <si>
    <t xml:space="preserve">
Birken, Sigmund von</t>
  </si>
  <si>
    <t xml:space="preserve">Harms</t>
  </si>
  <si>
    <t xml:space="preserve">Bd. II, S. 564–565, Nr. 324</t>
  </si>
  <si>
    <t xml:space="preserve">23:675893Q </t>
  </si>
  <si>
    <t xml:space="preserve">https://www.gbv.de/vd17-cms/vd17_image_full_view?zuid=9752cdd3-3fee-4c73-b919-0b5e80e4d626</t>
  </si>
  <si>
    <t xml:space="preserve">41,5 x 32,1</t>
  </si>
  <si>
    <t xml:space="preserve">IH 248</t>
  </si>
  <si>
    <t xml:space="preserve">36 x 30 cm</t>
  </si>
  <si>
    <t xml:space="preserve">Irene das ist Vollständige Außbildung Deß zu Nürnberg geschlossenen Friedens 1650</t>
  </si>
  <si>
    <t xml:space="preserve">nach S. 40</t>
  </si>
  <si>
    <t xml:space="preserve">Des Friedens mit Teutschland Verlöbnißfest</t>
  </si>
  <si>
    <t xml:space="preserve">S. B. </t>
  </si>
  <si>
    <t xml:space="preserve">Für eine ausführliche Beschreibung der dargestellten Szene siehe&amp;nbsp;HB 194, Kapsel 1220&amp;nbsp;mit einem Text von Johann Klaj. Allerdings ergeben sich bei genauerem Hinsehen erzählerische Unterschiede zum vergleichenden Blatt. In den Fokus rücken hierbei besonders genrehafte Versatzstücke (ein sich übergebender Trunkenbold, Mütter die ihren Kindern Wein geben, die Kutsche erklimmenden Knaben), welche teilweise dem zur Vorlage dienenden Gemälde von&amp;nbsp;Bartholomäus Wittig entnommen sind. Die Druckplatte wurde leicht überarbeitet, paginiert (fol. 41) und als Buchillustration&amp;nbsp;in Klajs&amp;nbsp;Irene verwendet.MATW/ALS</t>
  </si>
  <si>
    <t xml:space="preserve">https://www.gbv.de/durl/9752cdd3-3fee-4c73-b919-0b5e80e4d626?width=0
http://friedensbilder.gnm.de/sites/default/files/HB7194.tif</t>
  </si>
  <si>
    <t xml:space="preserve">Uber den Löwen/ so/ mit Lorbeerblättern bekrönet/ in der rechten Tatzen einen Palmzweig/ in der linken ein zerbrochnes Schwerd haltend/ aus dem Saalfenster des Rahthauses/ bey dem Schwedischen Friedensmahl/ rohten und weissen Wein unter das Stadt- und Landvolk sprützete, HB 7194, Kapsel 1220</t>
  </si>
  <si>
    <t xml:space="preserve">Uber den Löwen/ so/ mit Lorbeerblättern bekrönet/ in der rechten Tatzen einen Palmzweig/ in der linken ein zerbrochnes Schwerd haltend/ aus dem Saalfenster des Rahthauses/ bey dem Schwedischen Friedensmahl/ rohten und weissen Wein unter das Stadt- und Landvolk sprützete</t>
  </si>
  <si>
    <t xml:space="preserve">http://friedensbilder.gnm.de/content/frieden_foto_order20506b</t>
  </si>
  <si>
    <t xml:space="preserve">http://friedensbilder.gnm.de/content/frieden_foto_order148b35</t>
  </si>
  <si>
    <t xml:space="preserve">65.15 Poet. (1)</t>
  </si>
  <si>
    <t xml:space="preserve">Verfasser 
Verleger</t>
  </si>
  <si>
    <t xml:space="preserve">Klaj, Johann
</t>
  </si>
  <si>
    <t xml:space="preserve">23:251479T</t>
  </si>
  <si>
    <t xml:space="preserve">http://diglib.hab.de/drucke/65-15-poet-1/start.htm</t>
  </si>
  <si>
    <t xml:space="preserve">Gedicht</t>
  </si>
  <si>
    <t xml:space="preserve">Sammelband mit Gedichten zu den Feierlichkeiten des in Nürnberg geschlossenen Friedens 1649/50</t>
  </si>
  <si>
    <t xml:space="preserve"> 88 S., [3] gef. Bl.: Kupfert., 3 Ill. (Kupferst.).</t>
  </si>
  <si>
    <t xml:space="preserve">Mit vielen feyrlichen Begengnissen Gastmalen Feuerwercken Musicen und andern denckwirdigen Begebenheiten nach Poetischer Reimrichtigkeit vorgestellet und mit nohtwendigen Kupferstücken gezieret durch Johann Klai dieser Zeit Pfarrhern der Evangelischen Gemeine zu Kitzing den und gekrönten Käiserl. Poeten.</t>
  </si>
  <si>
    <t xml:space="preserve">Nürnberg/ In Verlegung Wolfgang Endters / deß ältern.</t>
  </si>
  <si>
    <t xml:space="preserve">
	Geburtstag deß Friedens (S.1-13)
	Kriegeskrieg/ Friedenssieg (S.13-31)
	Schwedisches Fried- und Freudenmahl (S.32-70)
	Lustfreudiges Feldpanquet (S.71-88)
&amp;nbsp;
Anmerkungen aus VD 17 (inkl. Literaturangaben):
Die letzte Seite trägt den Vermerk: Ende deß ersten Theils; Teil 2 bildet (wenn auch vermutlich zuerst gedruckt): Klaj, Johann: Geburtstag Deß Friedens/ Oder rein Reimteutsche Vorbildung/ Wie der großmächtigste Kriegs- und Siegs-Fürst Mars auß ... Teutschland seinen Abzug genommen/ ... hingegen ... Irene ... angenommen worden
Kupfert.: Irene Das ist Vollständige Außbildung deß Nürnbergischen Friedenschlusses
Bibliogr. Nachweis: Dünnhaupt, S. 2366, 54.I und: Thiel, Libretti, Nr. 919
Komponist lt. Dünnhaupt (Staden ist auf der 2. Falttaf. als Dirigent abgebildet)
Erscheinungsjahr nach Dünnhaupt, bzw. Wiedemann
Schlüsselseiten aus dem Exemplar der HAB Wolfenbüttel: 65.15 Poet. (1)
sehr ähnliche Darstellung zu HB 1675 vor S. 83 eingebunden:
"Schwedisches Feuerwerck.
1. Man hat nun der schweren Waffen
sich entbürdet / Krieges=müd:
..."
</t>
  </si>
  <si>
    <t xml:space="preserve">http://friedensbilder.gnm.de/sites/default/files/Irene_das_ist_Erläuterung_Tafeln.jpg
http://friedensbilder.gnm.de/sites/default/files/65.15 Poet. (1).jpg</t>
  </si>
  <si>
    <t xml:space="preserve">Mit seinem zweiten Hauptwerk „Irene das ist die Vollständige Ausbildung Deß zu Nürnberg geschlossenen Friedens 1650“ präsentiert Johann Klaj (1616–1656) eine weitere umfangreiche Schilderung der Abläufe und Beschreibung der Feierlichkeiten, die parallel zu den Verhandlungen in Nürnberg zwischen 1648 und 1650 stattfanden. Die poetische Beschreibung besteht aus vier Einzelbeiträgen, die alle auf ihre Art den Frieden preisen. Im ersten Teil, Geburtstag des Friedens, bezieht sich Klaj auf das Friedensfest am 14. Juli 1650 nach der Unterzeichnung des Hauptrezesses. Daran schließt sich der Beitrag Kriegeskrieg/Friedenssieg an, in dem der „Pegnitzschäfer“ die beiden Zustände gegenüberstellt, um dadurch die Bedeutung des Friedens hervorzuheben. Die beiden letzten Teile, Schwedisches Fried- und Freudenmahl und Lustfreudiges Feldpanquet, beziehen sich auf das schwedische Festmahl, welches der schwedische Gesandte Karl Gustav von Zweibrücken, später als Karl X. Gustav König von Schweden, am 25. September 1649 im Rathaussaal der Stadt abhielt. Dabei beschreibt Klaj die Dekoration der Tische und die gereichten Speisen bis ins Detail und listet alle Teilnehmer namentlich auf. Insgesamt schildert das Werk die Reaktion und den Umgang mit der endgültigen Friedensbotschaft und nimmt in diesem Prozess selber eine wichtige Position ein.&amp;nbsp;FB&amp;nbsp;</t>
  </si>
  <si>
    <t xml:space="preserve">Friedensbotschaft
Friedenszeit</t>
  </si>
  <si>
    <t xml:space="preserve">Geburtstag deß Friedens, 65.15 Poet. (1)
Kriegeskrieg/Friedenssieg, 65.15 Poet. (1)
Schwedisches Fried- und Freudenmal, 65.15 Poet. (1)
Lustfreudiges Feldpanquet, 65.15 Poet. (1)</t>
  </si>
  <si>
    <t xml:space="preserve">https://friedensbilder-neu.gnm.de/sites/default/files/2019-06/65.15-Poet.-(1)_0.png</t>
  </si>
  <si>
    <t xml:space="preserve">Geburtstag deß Friedens
Kriegeskrieg/Friedenssieg
Schwedisches Fried- und Freudenmal
Lustfreudiges Feldpanquet</t>
  </si>
  <si>
    <t xml:space="preserve">http://friedensbilder.gnm.de/content/frieden_object2e692
http://friedensbilder.gnm.de/content/frieden_object2ebc9
http://friedensbilder.gnm.de/content/frieden_object2f982
http://friedensbilder.gnm.de/content/frieden_object32c68</t>
  </si>
  <si>
    <t xml:space="preserve">http://friedensbilder.gnm.de/content/frieden_foto_order1ec920</t>
  </si>
  <si>
    <t xml:space="preserve">http://friedensbilder.gnm.de/content/frieden_object31e45
http://friedensbilder.gnm.de/content/frieden_object3273c</t>
  </si>
  <si>
    <t xml:space="preserve">Friedensfeier mit weinspendenden Löwen am Nürnberger Rathaus</t>
  </si>
  <si>
    <t xml:space="preserve">HB 195, Kapsel 1220</t>
  </si>
  <si>
    <t xml:space="preserve">Zeichner
Stecher
Gemäldevorlage</t>
  </si>
  <si>
    <t xml:space="preserve">Heumann, Georg Daniel
Stör, Johann Wilhelm
</t>
  </si>
  <si>
    <t xml:space="preserve">Bd. VIII, S. 409, Nr. PA-425</t>
  </si>
  <si>
    <t xml:space="preserve">31,1 x 36,1</t>
  </si>
  <si>
    <t xml:space="preserve">ACTA PACIS EXECUTIONIS PUBLICA.</t>
  </si>
  <si>
    <t xml:space="preserve">nach S. 364</t>
  </si>
  <si>
    <t xml:space="preserve">B. Wittig pinx. 1649.
G. D. Heumann del. Norib.
J. W. Stör sculpsit Norib.</t>
  </si>
  <si>
    <t xml:space="preserve">links unten
mittig unten
rechts unten</t>
  </si>
  <si>
    <t xml:space="preserve">Georg Daniel Heumann fertigte für Meierns&amp;nbsp;ACTA PACIS EXECUTIONIS PUBLICA&amp;nbsp;eine Kopie von Bartholomäus Wittigs Gemälde an, welches sich heute im Nürnberger Stadtmuseum befindet.[fn]Bartholomäus Wittig, Das Nürnberger Rathaus mit den Volksbelustigungen am 25.9.1649, 1649,&amp;nbsp;Öl auf Leinwand, 134 x 157 cm,&amp;nbsp;Museen der Stadt Nürnberg, Kunstsammlungen, Inv.-Nr. Gm 0189. Tacke 1995, S. 281–284, Kat.-Nr. 149. Ausst. Kat. Nürnberg 1998, S. 33–34, Kat.-Nr. 13 (Frank Matthias Kammel). Ausst. Kat. Gustav Adloph 1982, S. 107, Kat.-Nr. 242.[/fn] Nicht nur der gewählte Bildausschnitt, sondern auch die Detailgenauigkeit und Qualität des Stichs zeugen von dem Anspruch der Reproduktion. Zum Vergleich siehe eine zeitgenössische Reproduktion auf einem Blatt mit Zeilen von Sigmund von Birken&amp;nbsp;HB 7194, Kapsel 1220.Für eine inhaltlich ausführlichere Beschreibung siehe&amp;nbsp;HB 194, Kapsel 1220.ALS</t>
  </si>
  <si>
    <t xml:space="preserve">http://friedensbilder.gnm.de/sites/default/files/HB195.tif</t>
  </si>
  <si>
    <t xml:space="preserve">Gm 0189</t>
  </si>
  <si>
    <t xml:space="preserve">http://friedensbilder.gnm.de/content/frieden_object1459c6</t>
  </si>
  <si>
    <t xml:space="preserve">http://friedensbilder.gnm.de/content/frieden_foto_order204f1c</t>
  </si>
  <si>
    <t xml:space="preserve">Humboldt-Universität zu Berlin, Universitätsbibliothek</t>
  </si>
  <si>
    <t xml:space="preserve">Lf 1007-1</t>
  </si>
  <si>
    <t xml:space="preserve">Meiern, Johann Gottfried von
Cotta, Johann Georg</t>
  </si>
  <si>
    <t xml:space="preserve">Hannover
Tübingen</t>
  </si>
  <si>
    <t xml:space="preserve">Nationales Geschichtswerk</t>
  </si>
  <si>
    <t xml:space="preserve">Oder Nürnbergische Friedens=EXECUTIONS=Handlungen und Geschichte, in denen enthalten, wie und welcher gestalt die würckliche Vollziehung des Westphälischen Friedens, sowohl in puncto Ex auctorationis Militae und Evacuationis Locorum, als auch und vornehmlich in dem hochwichtigen puncto RESTITUTIONIS ex Capite Amnestiae &amp; Gravaminum, geschehen ist, in einer ausführlichen historischen Erzehlung, mit beygefügten authentischen Urkunden</t>
  </si>
  <si>
    <t xml:space="preserve">http://friedensbilder.gnm.de/content/frieden_object2e6c0
http://friedensbilder.gnm.de/content/frieden_object2f965</t>
  </si>
  <si>
    <t xml:space="preserve">Abbildung deß Schwedischen Löwens / Welcher den 25. deß Herbstmonats dieses lauffenden Jahres bey Ihrer hochf. Durchl. deß Herrn Generalissimi Friedenmahl rohten und weissen Wein in 6. Stunden häuffig auß dem Rachen fliessen lassen</t>
  </si>
  <si>
    <t xml:space="preserve">HB 194, Kapsel 1220</t>
  </si>
  <si>
    <t xml:space="preserve">Klaj, Johann</t>
  </si>
  <si>
    <t xml:space="preserve">Harms
Paas
Kaster / Steinwascher 1996</t>
  </si>
  <si>
    <t xml:space="preserve">Bd. II, S. 566, Nr. 325
Bd. VIII, S. 73, Nr. P-2256
S. 26, Nr. 14</t>
  </si>
  <si>
    <t xml:space="preserve">23:675885Y</t>
  </si>
  <si>
    <t xml:space="preserve">http://diglib.hab.de/drucke/ih-244/start.htm</t>
  </si>
  <si>
    <t xml:space="preserve">21,8 x 31,3</t>
  </si>
  <si>
    <t xml:space="preserve">IH 244</t>
  </si>
  <si>
    <t xml:space="preserve">nach S. 68 (siehe Textkommentar; Radierung ohne Typendruck)</t>
  </si>
  <si>
    <t xml:space="preserve">J. Kl. </t>
  </si>
  <si>
    <t xml:space="preserve">Abbildung des Schwedischen Löwens/
Welcher den 25. deß Herbstmonats dieses lauffenden Jahres bey Ihrer Hochf. Durchl. des Herrn Generalissimi Friedenmal roh-
ten und weissen Wein in 6. Stunden häuffig auß dem Rachen fliessen lassen.
&amp;nbsp;
Der Stadt- und Landmann sich üm diesen Löwen dringet/&amp;nbsp;
Auß dessen Rachen Wein von zweyen Farben springet/
Sein Haubt ist Lorbeergrün/ die Recht den Palmzweig trägt/
Die Lincke hat das Schwert zerstückt zur Ruh gelegt.
Das Laubwerck zeigt/ das Land das werde wieder tragen/&amp;nbsp;
Das Gold zeigt/ daß man werd vom güldenen Frieden sagen.
Wie vormals jener Löw gab süssen Honig-Safft/
So gibet dieser Wein/ der Menschen gibet Krafft.
&amp;nbsp;
Da siht man ein Geläuff/ ein Hin- und Wiederreissen/
Ein Aufstehn auf das Faß/ ein Wiederrunterschmeissen/
Der bringet ein Geschirr/ der fängt Wein in den Hut/
Und weil der Mann zu kurtz/ so thut der Hut nicht gut/
man bindt ihn an was an/ an Gabeln und an Stangen/
So kan man desto baß hinlangen und Wein fangen/
Den er denn in sich schluckt/ und weil er feil und wol/
So läst er nicht eh nach/ biß sein Gehirne toll.
&amp;nbsp;
J.K.
MATW
&amp;nbsp;
</t>
  </si>
  <si>
    <t xml:space="preserve">http://friedensbilder.gnm.de/sites/default/files/HB194.tif</t>
  </si>
  <si>
    <t xml:space="preserve">Abbildung deß Schwedischen Löwens / Welcher den 25. deß Herbstmonats dieses lauffenden Jahres bey Ihrer hochf. Durchl. deß Herrn Generalissimi Friedenmahl rohten und weissen Wein in 6. Stunden häuffig auß dem Rachen fliessen lassen, HB 194, Kapsel 1220
Abbildung deß Schwedischen Löwens / Welcher den 25. deß Herbstmonats dieses lauffenden Jahres bey Ihrer hochf. Durchl. deß Herrn Generalissimi Friedenmahl rohten und weissen Wein in 6. Stunden häuffig auß dem Rachen fliessen lassen, HB 194, Kapsel 1220</t>
  </si>
  <si>
    <t xml:space="preserve">https://friedensbilder-neu.gnm.de/sites/default/files/2019-06/HB194.png</t>
  </si>
  <si>
    <t xml:space="preserve">Abbildung deß Schwedischen Löwens / Welcher den 25. deß Herbstmonats dieses lauffenden Jahres bey Ihrer hochf. Durchl. deß Herrn Generalissimi Friedenmahl rohten und weissen Wein in 6. Stunden häuffig auß dem Rachen fliessen lassen
Abbildung deß Schwedischen Löwens / Welcher den 25. deß Herbstmonats dieses lauffenden Jahres bey Ihrer hochf. Durchl. deß Herrn Generalissimi Friedenmahl rohten und weissen Wein in 6. Stunden häuffig auß dem Rachen fliessen lassen</t>
  </si>
  <si>
    <t xml:space="preserve">http://friedensbilder.gnm.de/content/frieden_foto_order1f9122</t>
  </si>
  <si>
    <t xml:space="preserve">Germania O Vatterland, dein grose Schand, ist Gott doch nit verborgen</t>
  </si>
  <si>
    <t xml:space="preserve"> Einbl. XI,3</t>
  </si>
  <si>
    <t xml:space="preserve">Fabritius, Adam</t>
  </si>
  <si>
    <t xml:space="preserve">Darmstadt</t>
  </si>
  <si>
    <t xml:space="preserve">12:664764Q</t>
  </si>
  <si>
    <t xml:space="preserve">http://daten.digitale-sammlungen.de/~db/0010/bsb00100390/images/index.html?seite=1&amp;fip=193.174.98.30</t>
  </si>
  <si>
    <t xml:space="preserve">31,5 x 25,5 </t>
  </si>
  <si>
    <t xml:space="preserve">http://daten.digitale-sammlungen.de/~db/0010/bsb00100390/images/bsb00100390_00001.jpg</t>
  </si>
  <si>
    <t xml:space="preserve">Germania O Vatterland, dein grose Schand, ist Gott doch nit verborgen,  Einbl. XI,3</t>
  </si>
  <si>
    <t xml:space="preserve">Abbildung deß hocherwünschten Teutschen Friedens </t>
  </si>
  <si>
    <t xml:space="preserve">Einbl. YA 8160 gr</t>
  </si>
  <si>
    <t xml:space="preserve">Dümler, Jeremias</t>
  </si>
  <si>
    <t xml:space="preserve">Mayer-Gürr 2007
Harms
Burkhardt 1997
Burkhardt 1998</t>
  </si>
  <si>
    <t xml:space="preserve">137-138
Bd. IV, Nr. 259
S. 78
S. 94</t>
  </si>
  <si>
    <t xml:space="preserve">1:623058H</t>
  </si>
  <si>
    <t xml:space="preserve">http://www.gbv.de/vd/vd17/1:623058H</t>
  </si>
  <si>
    <t xml:space="preserve">565 x 365</t>
  </si>
  <si>
    <t xml:space="preserve">Die Abbildung stellt ein für die Zeitgenossen geläufiges Bild dar: die drei friedenschließenden Monarchen. Dabei sind Ferdinand III., Christina von Schweden und Ludwig XIV. zentral im Vordergrund. Im Hintergrund befinden sich Untertanen und Vertreter der Reichsstände. Es fällt auf, dass der Kaiser im Zentrum der Dreierkomposition zu finden ist. Dadurch wird die Sonderstellung des Kaisers hervorgehoben, denn das Reich schloss zwei seperate Friedensschlüsse mit Frankreich und Schweden ab. Die drei Herrscher geben sich zum Zeichen des Friedensschlusses alle die rechte Hand. Der Kaiser sitzt außerdem höher als die beiden anderen Monarchen, die vor ihm stehen, um eine Hierarchisierung deutlich zu veranschaulichen. Die Dreifigurigkeit auf Friedensdarstellungen hat Tradition. Typischerweise werden jedoch bei dieser Kompsition die beiden friedenschließenden Parteien und der Vermittler dargestellt. Johannes Burkhardt verweist darauf, dass diese Darstellung vor allem das universalistische Denken bedient, indem der Friedensvermittler als Schiedsrichter eine übergeordnete Stellung einnimmt und dadurch sein universaler Machtanspruch verdeutlicht wird.[fn]Burkhardt 1998, S.94[/fn]Mayer-Gürr 2007, S.137f. — Burkhardt 1998, S.94.FB</t>
  </si>
  <si>
    <t xml:space="preserve">http://www.gbv.de/durl/db59766a-0f3e-4611-815a-8778ced7c3cc?width=0</t>
  </si>
  <si>
    <t xml:space="preserve">Abbildung deß hocherwünschten Teutschen Friedens , Einbl. YA 8160 gr
Abbildung deß hocherwünschten Teutschen Friedens, Einbl. YA 8160 gr</t>
  </si>
  <si>
    <t xml:space="preserve">Abbildung deß hocherwünschten Teutschen Friedens 
Abbildung deß hocherwünschten Teutschen Friedens</t>
  </si>
  <si>
    <t xml:space="preserve">Friedens-Freude. Krieges-Leid</t>
  </si>
  <si>
    <t xml:space="preserve">Einbl. YA 8248 m</t>
  </si>
  <si>
    <t xml:space="preserve">Harms
Mayer-Gürr 2007
Ausst. Kat. Heidelberg 1980/1981
Ausst. Kat. Hamburg / München u.a. 1987/1988</t>
  </si>
  <si>
    <t xml:space="preserve">Bd. IV, S. 348, Nr. 260
138
S. 52, Kat.-Nr. 152
S. 107–108, Kat.-Nr. 14 (Hans-Martin Kaulbach)</t>
  </si>
  <si>
    <t xml:space="preserve">1:620691A</t>
  </si>
  <si>
    <t xml:space="preserve">http://www.gbv.de/vd/vd17/1:620691A
https://www.gbv.de/vd/vd17/1:620691A</t>
  </si>
  <si>
    <t xml:space="preserve">375 x 300</t>
  </si>
  <si>
    <t xml:space="preserve">Einbl. V,8 a-108</t>
  </si>
  <si>
    <t xml:space="preserve">Angesichts der verheerenden Kriegsfolgen und der Belastung durch die noch nicht aufgelösten Heere schien vielen Menschen der Friede kaum wirklich. Die Flugblätter der Jahre 1648/49 stellen gerade den Wunsch nach Erfahrbarkeit heraus: den vergangenen Schrecken werden die Segnungen gegenübergestellt, der produktive Alltag beginnt wieder, das Erscheinen der Pax verspricht die Realisierung biblischer Friedensgebote. Das Blatt Friedens-Freude zeigt die Wappen des Heiligen Römischen Reiches, Schwedens und Frankreichs an einem Baum, der auf der Kriegsseite verdorrt, auf der des Friedens fruchtbar ist. Den Kriegsszenen gegenüber stehen Landarbeit und Wiederaufbau, über denen sich der Regenbogen wölbt, Zeichen für Gottes erneuerten Bund mit den Menschen. Der Friede setzt den Fuß auf eine Schildkröte, denn “Die Sicherheit der Wohnung ist der erste Friedensgruß.”
Friedensbilder: Archiv Hans-Martin Kaulbach (Staatsgalerie Stuttgart)
HMK
</t>
  </si>
  <si>
    <t xml:space="preserve">hierarchische Anordnung der Monarchien --&amp;gt; jeweiliges Wappen abgebildet (Schweden, Frankreich, HRR), Reichswappen dabei über den beiden anderen angeordnet (Mayer-Gürr 2007, S.138)
</t>
  </si>
  <si>
    <t xml:space="preserve">http://friedensbilder.gnm.de/sites/default/files/1_620691A_001.jpg</t>
  </si>
  <si>
    <t xml:space="preserve">Angesichts der verheerenden Kriegsfolgen und der Belastung durch die noch nicht aufgelösten Heere schien vielen Menschen der Friede kaum wirklich. Die Flugblätter der Jahre 1648/49 stellen gerade den Wunsch nach Erfahrbarkeit heraus: den vergangenen Schrecken werden die Segnungen gegenübergestellt, der produktive Alltag beginnt wieder, das Erscheinen der Pax verspricht die Realisierung biblischer Friedensgebote. Das Blatt Friedens-Freude zeigt die Wappen des Heiligen Römischen Reiches, Schwedens und Frankreichs an einem Baum, der auf der Kriegsseite verdorrt, auf der des Friedens fruchtbar ist. Den Kriegsszenen gegenüber stehen Landarbeit und Wiederaufbau, über denen sich der Regenbogen wölbt, Zeichen für Gottes erneuerten Bund mit den Menschen. Der Friede setzt den Fuß auf eine Schildkröte, denn ”Die Sicherheit der Wohnung ist der erste Friedensgruß.“
HMK
</t>
  </si>
  <si>
    <t xml:space="preserve">Friedenszeit
Natur</t>
  </si>
  <si>
    <t xml:space="preserve">Friedens-Freude. Krieges-Leid , Einbl. YA 8248 m
Friedens-Freude. Krieges-Leid, Einbl. YA 8248 m</t>
  </si>
  <si>
    <t xml:space="preserve">https://friedensbilder-neu.gnm.de/sites/default/files/2019-06/Einbl.-YA-8248-m_0.png</t>
  </si>
  <si>
    <t xml:space="preserve">Friedens-Freude. Krieges-Leid 
Friedens-Freude. Krieges-Leid</t>
  </si>
  <si>
    <t xml:space="preserve">http://friedensbilder.gnm.de/content/frieden_foto_order1c3eec</t>
  </si>
  <si>
    <t xml:space="preserve">Krieges- und Friedensbildung:</t>
  </si>
  <si>
    <t xml:space="preserve">M: Lo 400 (1)</t>
  </si>
  <si>
    <t xml:space="preserve">Garber 2012
Wieland 2006
Meyer 1928</t>
  </si>
  <si>
    <t xml:space="preserve">295
45-46</t>
  </si>
  <si>
    <t xml:space="preserve">23:231801B</t>
  </si>
  <si>
    <t xml:space="preserve">http://diglib.hab.de/drucke/lo-400-1/start.htm</t>
  </si>
  <si>
    <t xml:space="preserve">82 S.</t>
  </si>
  <si>
    <t xml:space="preserve"> in einer/ Bey hochansehnlicher Volkreicher Versammelung/ offentlich vorgetragenen Rede/ aufgestellet/ Nebenst einer Schäferey / Durch Sigismund Betulius </t>
  </si>
  <si>
    <t xml:space="preserve">Birken wurde im Herbst 1648 zu den Friedensfeierlichkeiten nach Nürnberg gerufen. Hier verfasste er mehrere festliche Beiträge.[fn]Killy[/fn] Die vorliegende Rede wird dem zugeordnet. Bei dem Text handelt es sich um eine Rede in Prosa mit eingelegten Gesängen.[fn]Meyer 1928, S.45.[/fn]</t>
  </si>
  <si>
    <t xml:space="preserve">http://diglib.hab.de/drucke/lo-400-1/00003.jpg
http://friedensbilder.gnm.de/sites/default/files/Birken.jpg</t>
  </si>
  <si>
    <t xml:space="preserve">Am 06. Januar 1648 hielt Sigmund von Birken die Friedensrede vor Gesandten. Birken war zu diesem Jahr nach Nürnberg gerufen worden, um die Feierlichkeiten der katholischen Seite durch poetische Beiträge zu begleiten und auszuschmücken. Im Druck der Prosarede sind Gesänge eingeschoben. Birken widmete den Druck 1649 den Exilanten von Racknitz und seiner Familie. Racknitz war 1629 von Österreich nach Nürnberg gekommen und pflegte engen Kontakt zum Pegnesischen Blumenorden, dessen Mitglied Birken war. Der Blumenorden hatte es sich zur Aufgabe gemacht, die deutsche Volkssprache zu kultivieren, anders so die Auffassung der Mitglieder wäre ein Wiederaufbau Deutschlands nach dem Krieg nicht möglich, denn der Umgang mit der Sprache sei ein Gradmesser für den Umgang der Menschen untereinander.&amp;nbsp;Inhaltlich beginnt die Rede mit einer Klage über den Krieg und seinen Folgen. Birken verarbeitet außerdem eine Übersetzung der ersten Ekloge Vergils sowie eine freie Nachdichtung der vierten Ekloge, wenn die Hirten Floridan, Fillokles und Rosidan über den Sinn des Lebens sprechen. Insgesamt wird die Kriegszeit den Vorstellungen von Frieden gegenübergestellt. Der Armut und Ungerechtigkeit als Kriegsfolgen stehen Wohlstand und Gerechtigkeit gegenüber. Auch Birken verweist auf die Korrelation von Land- und Gewissensfrieden. Der Krieg fungiert für ihn jedoch als legitimes Mittel der Politik, um den Friede wiederherzustellen.&amp;nbsp;FB</t>
  </si>
  <si>
    <t xml:space="preserve">Krieges- und Friedensbildung, M: Lo 400 (1)</t>
  </si>
  <si>
    <t xml:space="preserve">Krieges- und Friedensbildung</t>
  </si>
  <si>
    <t xml:space="preserve">http://friedensbilder.gnm.de/content/frieden_foto_order1c4452</t>
  </si>
  <si>
    <t xml:space="preserve">Des zwar langverlangten/ aber doch letzlich erlangten Friedens Erfreulicher Einzug/ So Dem ... Herrn Hans Heinrichen Herrn von Schönburg ... und Dem ... Herrn Christian/ Herrn von Schönburg ... Wie nicht minder Dem ... Herrn Wolfheinrichen/ Herrn von Schönburg ... Seinen allerseits gnädigen Herrn zu schuldiger Neu-Jahrs Beehrung in Unterthänigkeit vorstellig gemacht und verabfasset worden von David Könige/ der heiligen Schrifft Befließnen.</t>
  </si>
  <si>
    <t xml:space="preserve">8 P GERM I, 6461 (36)</t>
  </si>
  <si>
    <t xml:space="preserve">Koenig, David</t>
  </si>
  <si>
    <t xml:space="preserve">Erben von Hön, Timotheus</t>
  </si>
  <si>
    <t xml:space="preserve">7:685050A</t>
  </si>
  <si>
    <t xml:space="preserve">http://gdz.sub.uni-goettingen.de/dms/load/img/?PID=PPN591827328</t>
  </si>
  <si>
    <t xml:space="preserve">6 Bl. </t>
  </si>
  <si>
    <t xml:space="preserve">Leipzig/ Gedruckt bey Timothei Hönens Sel Erben. </t>
  </si>
  <si>
    <t xml:space="preserve">http://gdz-srv1.sub.uni-goettingen.de/content/PPN591827328/800/0/00000001.jpg</t>
  </si>
  <si>
    <t xml:space="preserve">Des zwar langverlangten/ aber doch letzlich erlangten Friedens Erfreulicher Einzug/ So Dem ... Herrn Hans Heinrichen Herrn von Schönburg ... und Dem ... Herrn Christian/ Herrn von Schönburg ... Wie nicht minder Dem ... Herrn Wolfheinrichen/ Herrn von Schönburg ... Seinen allerseits gnädigen Herrn zu schuldiger Neu-Jahrs Beehrung in Unterthänigkeit vorstellig gemacht und verabfasset worden von David Könige/ der heiligen Schrifft Befließnen., 8 P GERM I, 6461 (36)</t>
  </si>
  <si>
    <t xml:space="preserve">Kurtzes Gedicht/ Nach dem der liebe Gott nach vielem wündschen unserem gelibten Vaterlande den werthen Frieden aus Gnaden wieder gegeben / </t>
  </si>
  <si>
    <t xml:space="preserve">Universitäts- und Landesbibliothek Sachsen-Anhalt</t>
  </si>
  <si>
    <t xml:space="preserve">Halle</t>
  </si>
  <si>
    <t xml:space="preserve">Alv.: Lf 107 (15)</t>
  </si>
  <si>
    <t xml:space="preserve">Schmalhertz, Valentin
</t>
  </si>
  <si>
    <t xml:space="preserve"> 23:251496H</t>
  </si>
  <si>
    <t xml:space="preserve">http://dfg-viewer.de/show/?tx_dlf[page]=5&amp;tx_dlf[id]=http%3A%2F%2Fdigitale.bibliothek.uni-halle.de%2Foai%2F%3Fverb%3DGetRecord%26metadataPrefix%3Dmets%26identifier%3D8273607&amp;tx_dlf[double]=0&amp;cHash=30ce87c06247bb28bf854fa6aef9cccb</t>
  </si>
  <si>
    <t xml:space="preserve">Lübeck/ Gedruckt durch Valentin Schmalhertz/ Anno 1649. </t>
  </si>
  <si>
    <t xml:space="preserve">Zu Beginn des Gedichtes verweist der Verfasser auf die zeitgenössichen Dichter Martin Opitz, Paul Fleming, Diederich von dem Werder und Johann Frentzel. Im Kontext drückt er dabei sein Bedauern über die Situation der "schönen Künste" und gleichzeitig die Hoffnung auf bessere Zeiten aus. Weiter beschreibt er die Grausamkeiten des Krieges und den Kriegszustand im gesamten Reich. Außerdem werden der Trojanische Krieg und die Punischen Kriege in Beziehung zum beendeten Dreißigjährigen Krieg gesetzt. Den wiederhergestellten Frieden bewertet Köhler so wertvoll wie das Gold aus Peru.</t>
  </si>
  <si>
    <t xml:space="preserve">Hispahan = Isfahan (steht hier im Zusammenhang mit Paul Fleming, der 1637 nach Persien reiste)</t>
  </si>
  <si>
    <t xml:space="preserve">http://digitale.bibliothek.uni-halle.de/download/webcache/1504/8275600</t>
  </si>
  <si>
    <t xml:space="preserve">Keine Angabe über AnlassBeschreibung KriegszustandFreude über den Frieden&amp;nbsp;Lat. Epigramm (Motti): eventuell entlehnt aus Vergil? Verweise auf andere Verfasser Köhler: Wirkungsdaten 1643-1649), kaiserlicher gekrönter PoetWidmung an August von Sachsen-Lauenburg (1577-1656) [politische Neutralität im Dreißigjährigen Krieg, Mitglied FG], Widmungstext von Köhler, der das Werk begründet (Frieden) und deutlich das Patronageverhältnis hervorhebt:„Ich habe nach meiner Wenigkeit dieß Wenige auffsetzen/ und E. Hochfürstl. Gn. In unterthanigkeit überreichen wollen/ mit unterthänigster Bitte/ Sie wollen Ihre Hochfürstl. Gnaden-Strahlen auff mit fallen lassen […]“ Anrufung von Dichtern (Opitz, Flemming, Werder, Frentzel)Auch Kaiser Ferdinand III. für den Frieden verantwortlich, er liebt den Frieden mehr „als ferner Menschen-Blut“ und auch Christina von Schweden ist bereit Frieden zu schließen und den Krieg abzuschaffen&amp;nbsp;Nach dem Gedicht lateinisches Epigramm an August von Sachsen (panegyrisch)Edel und teuer, „werther Schatz, ja werther als das Gold das aus dem Peru kompt/ und uns macht vielen hold.“Ausführliche Beschreibung der Kriegsfolgen: Hunger, Flucht, Zerstörung von Kirchen und ganzen Städten und Dörfern&amp;nbsp;Verweis auf Magdeburgs Hochzeit, Belagerung von Breisach&amp;nbsp;&amp;nbsp;</t>
  </si>
  <si>
    <t xml:space="preserve">Kurtzes Gedicht/ Nach dem der liebe Gott nach vielem wündschen unserem gelibten Vaterlande den werthen Frieden aus Gnaden wieder gegeben/ , Alv.: Lf 107 (15)</t>
  </si>
  <si>
    <t xml:space="preserve">Kurtzes Gedicht/ Nach dem der liebe Gott nach vielem wündschen unserem gelibten Vaterlande den werthen Frieden aus Gnaden wieder gegeben/ </t>
  </si>
  <si>
    <t xml:space="preserve">Das Schwedische Friedens-Freudenmahl</t>
  </si>
  <si>
    <t xml:space="preserve">IH245</t>
  </si>
  <si>
    <t xml:space="preserve">Verleger
Vorlage
Verfasser</t>
  </si>
  <si>
    <t xml:space="preserve">unsicher</t>
  </si>
  <si>
    <t xml:space="preserve">
Sandrart, Joachim von
Birken, Sigmund von</t>
  </si>
  <si>
    <t xml:space="preserve">Harms
Paas</t>
  </si>
  <si>
    <t xml:space="preserve">Bd. II, Nr. 323
Bd. VIII, S. 100, Nr. P-2286</t>
  </si>
  <si>
    <t xml:space="preserve">23:675886F</t>
  </si>
  <si>
    <t xml:space="preserve">http://diglib.hab.de/drucke/ih-245/start.htm
http://www.gbv.de/dms/vd17/23/83/23:675886F_001.jpg</t>
  </si>
  <si>
    <t xml:space="preserve">385 x 300</t>
  </si>
  <si>
    <t xml:space="preserve">HB 24660, Kapsel 1220</t>
  </si>
  <si>
    <t xml:space="preserve">nach S. 46</t>
  </si>
  <si>
    <t xml:space="preserve">1 Bl. </t>
  </si>
  <si>
    <t xml:space="preserve">gehalten von des H. Generalissimi Hochfürstl. Durchleucht. auf dem Gerichtsaale des Rahthauses zu Nürnberg / den 25. Herbstmonds / J.J. 1649.</t>
  </si>
  <si>
    <t xml:space="preserve">Des Friedens mit Teutschland Verlöbnisßmahl</t>
  </si>
  <si>
    <t xml:space="preserve">Die Platte des vorliegenden Drucks wurde ebenfalls in&amp;nbsp;Irene das ist Vollständige Außbildung Deß zu Nürnberg geschlossenen Friedens 1650&amp;nbsp;verwendet. Daher stammt auch die Anmerkung Fol. 45. in der linken oberen Ecke. Zwar erschienen sowohl der Textband als auch das hier vorliegende Blatt im Verlag Wolfgang Endters, das Gedicht des Typendrucks stammt jedoch nicht vom Verfasser der Irene, sondern von Sigmund von Birken.&amp;nbsp;Die Unterzeichnung des Interimsrezesses bedeutete den ersten großen Schritt zum Abschluss des Hauptrezesses 1650. Birken verwendete hierfür das Bild des Verlöbnismahls, während er eine andere Darstellung des besagten Hauptrezess als Hochzeit betitelte (HB 24659, Kapsel 1220).Für eine inhaltliche Beschreibung siehe&amp;nbsp;HB 196, Kapsel 1030a.ALS</t>
  </si>
  <si>
    <t xml:space="preserve">http://www.gbv.de/durl/9cc44e8e-9234-480f-8d67-e938ea4e18b2?width=0
http://friedensbilder.gnm.de/sites/default/files/HB24660.tif</t>
  </si>
  <si>
    <t xml:space="preserve">Das Schwedische Friedens-Freudenmahl / , IH245
Das Schwedische Friedens-Freudenmahl / , IH245</t>
  </si>
  <si>
    <t xml:space="preserve">Das Schwedische Friedens-Freudenmahl / 
Das Schwedische Friedens-Freudenmahl / </t>
  </si>
  <si>
    <t xml:space="preserve">http://friedensbilder.gnm.de/content/frieden_foto_order209909</t>
  </si>
  <si>
    <t xml:space="preserve">Abbildung / der / bey der völlig - geschlossenen Friedens-Unterschreibung gehaltenen Session</t>
  </si>
  <si>
    <t xml:space="preserve">HB 198, Kapsel 1220</t>
  </si>
  <si>
    <t xml:space="preserve">Verfasser
Zeichner
Stecher
Verleger</t>
  </si>
  <si>
    <t xml:space="preserve">Klaj, Johann
Haeberlin, Leonhard
Kohl, Andreas
Fürst, Paul</t>
  </si>
  <si>
    <t xml:space="preserve">Ausst. Kat. Nürnberg 1998
Dünnhaupt
Ausst. Kat. Stuttgart 2012
Paas 
Hollstein German
Hampe 1915
Ausst. Kat. Coburg 1983
Kaster / Steinwascher 1996
Ausst. Kat. Unna 1988
Harms</t>
  </si>
  <si>
    <t xml:space="preserve">S. 55, Kat.-Nr. 22 (Doris Gerstl)
Bd. II, S. 1031–1032, Nr. 69
S. 130, Kat.-Nr. 79
Bd. VIII, zwischen S. 84 und 85, Nr. P-2271
Bd. XIX, S. 44, Nr. 1
S. 47, Nr. 96
S. 220, Kat.-Nr. 107 (Beate Rattay)
S. 34, Nr. 22
Kat.- Nr. 135
Bd. II, S. 570, Nr. 327</t>
  </si>
  <si>
    <t xml:space="preserve">14:006339N </t>
  </si>
  <si>
    <t xml:space="preserve">27 x 36,2</t>
  </si>
  <si>
    <t xml:space="preserve">Germanisches Nationalmuseum
Herzog August Bibliothek</t>
  </si>
  <si>
    <t xml:space="preserve">Nürnberg
Wolfenbüttel</t>
  </si>
  <si>
    <t xml:space="preserve">HB 24763, Kapsel 1220
Einbl. Xb FM 18</t>
  </si>
  <si>
    <t xml:space="preserve">in Nürnberg den 26. 16. Junij 1650.</t>
  </si>
  <si>
    <t xml:space="preserve">I. H. Inv.
A. K. Sculp.
Paulus Fürst Excudit.
Johann Klaj / gekr: Poet.</t>
  </si>
  <si>
    <t xml:space="preserve">rechts unten im Bild
mittig unten</t>
  </si>
  <si>
    <t xml:space="preserve">Aufseß, Hans von und zu</t>
  </si>
  <si>
    <t xml:space="preserve">Die schwedischen und kaiserlichen Delegaten bestätigten die Schlussakte des Friedensexekutionskongresses im Kaisersaal der Nürnberger Burg, nachdem die&amp;nbsp;beiden Hauptbevollmächtigten&amp;nbsp;Ottavio Piccolomini&amp;nbsp;und Pfalzgraf&amp;nbsp;Karl Gustav von Schweden&amp;nbsp;den Vertrag bereits in ihren Quartieren unterzeichnet hatten.[fn]Aus diesem Grund sind die Stühle mit den Nummern 42 und 43 leer.[/fn]&amp;nbsp;
Die Radierung diente sowohl als Illustration im Theatrum Europaeum, als auch für mehrere Gedenkblätter. In diesem Beispiel dichtete Johann Klaj den Text, in dem Exemplar aus Wolfenbüttel (IH 247)&amp;nbsp;führte&amp;nbsp;Sigmund von Birken den bereits zuvor eingeführten Ehetopos (IH245) zur Beschreibung der Friedensverhandlungen weiter und bezeichnete die Szene als "Des Friedens mit Teutschland Vermählungsfest".&amp;nbsp;
Abgesehen vom Text knüpft das Blatt an eine Reihe von Darstellungen an, die das Vertragsdokument im diplomatischen Prozess zeigen. Konstitutive Darstellungselemente bilden die Schreibwerkzeuge, die Dokumente – die in unserem Beispiel kollationiert werden – und die anwesenden Gesandten, Sekretäre und Schreiber.
ALS
</t>
  </si>
  <si>
    <t xml:space="preserve">alternativ für die Ausstellung die Radierung in Klajs 'Geburtstag':&amp;nbsp;http://diglib.hab.de/drucke/65-15-poet-2/start.htm?image=00028a&amp;nbsp;
</t>
  </si>
  <si>
    <t xml:space="preserve">http://friedensbilder.gnm.de/sites/default/files/Einbl. Xb FM 18_siehe_HB_198.jpg
http://friedensbilder.gnm.de/sites/default/files/HB198_0.tif</t>
  </si>
  <si>
    <t xml:space="preserve">Die schwedischen und kaiserlichen Delegaten bestätigten die Schlussakte des Friedensexekutionskongresses im Kaisersaal der Nürnberger Burg, nachdem die&amp;nbsp;beiden Hauptbevollmächtigten&amp;nbsp;Ottavio Piccolomini&amp;nbsp;und Pfalzgraf&amp;nbsp;Karl Gustav von Schweden&amp;nbsp;den Vertrag bereits in ihren Quartieren unterzeichnet hatten.&amp;nbsp;Deren Stühle, im Bild mit den Nummern 42 und 43, sind aus diesem Grund leer geblieben.
Die Radierung diente sowohl als Illustration im Theatrum Europaeum, als auch für mehrere Gedenkblätter. In diesem Beispiel dichtete&amp;nbsp;Johann Klaj&amp;nbsp;den Text, in dem Exemplar aus Wolfenbüttel (IH 247)&amp;nbsp;führte&amp;nbsp;Sigmund von Birken&amp;nbsp;den bereits in früheren Blättern eingeführten Ehetopos zur Beschreibung der Friedensverhandlungen weiter und bezeichnete die Szene als ”Des Friedens mit Teutschland Vermählungsfest“.&amp;nbsp;
Abgesehen vom Text knüpft das Blatt an eine Reihe von Darstellungen an, die das Vertragsdokument im diplomatischen Prozess zeigen. Konstitutive Darstellungselemente bilden die Schreibwerkzeuge, die Dokumente – die in unserem Beispiel kollationiert werden – und die anwesenden Gesandten, Sekretäre und Schreiber.
ALS
</t>
  </si>
  <si>
    <t xml:space="preserve">Abbildung / der / bey der völlig - geschlossenen Friedens-Unterschreibung gehaltenen Session,, HB 198, Kapsel 1220
Abbildung / der / bey der völlig - geschlossenen Friedens-Unterschreibung gehaltenen Session,, HB 198, Kapsel 1220</t>
  </si>
  <si>
    <t xml:space="preserve">https://friedensbilder-neu.gnm.de/sites/default/files/2019-06/HB198_0_0.png</t>
  </si>
  <si>
    <t xml:space="preserve">Abbildung / der / bey der völlig - geschlossenen Friedens-Unterschreibung gehaltenen Session,
Abbildung / der / bey der völlig - geschlossenen Friedens-Unterschreibung gehaltenen Session,</t>
  </si>
  <si>
    <t xml:space="preserve">http://friedensbilder.gnm.de/content/frieden_foto_order1e7adf</t>
  </si>
  <si>
    <t xml:space="preserve">Schwedischen Friedensmahls / in Nürnberg den 25. Herbstm: </t>
  </si>
  <si>
    <t xml:space="preserve">HB 25331, Kapsel 1220</t>
  </si>
  <si>
    <t xml:space="preserve">um 1652</t>
  </si>
  <si>
    <t xml:space="preserve">Gemäldevorlage
Verleger
Stecher</t>
  </si>
  <si>
    <t xml:space="preserve">Sandrart, Joachim von
Merian, Caspar</t>
  </si>
  <si>
    <t xml:space="preserve">Ausst. Kat. Nürnberg 1998
Ausst. Kat. Stuttgart 2012
Paas 
Müller 1791
Harms 
Wütherich</t>
  </si>
  <si>
    <t xml:space="preserve">S. 32, Kat.-Nr. 12 (Doris Gerstl)
S. 132, Kat.-Nr. 81
Bd. VIII, S. 404, PA-420
S. 137
Bd. II, S. 562–563, Nr. 323
Bd. III, S. 198, Nr. 42</t>
  </si>
  <si>
    <t xml:space="preserve">Platte
Blatt
Darstellung</t>
  </si>
  <si>
    <t xml:space="preserve">30,3 x 40
31,3 x 40,6
28,2 x 39 </t>
  </si>
  <si>
    <t xml:space="preserve">nach S. 936</t>
  </si>
  <si>
    <t xml:space="preserve">Anno 1649.</t>
  </si>
  <si>
    <t xml:space="preserve">Für eine inhaltliche Beschreibung siehe&amp;nbsp;HB 196, Kapsel 1030a.Die Radierung von Merian zeigt das schwedische Friedensmahl, allerdings mit einigen Abweichungen von Sandrarts Gemälde, was auf einen frühen Entwurfsprozess hinweist. Der Fokus liegt hier auf den Schaugerichten, auch wird kein Gang serviert. Das Künstlerporträt und die Patrizier in der rechten Ecke fehlen, ebenso der Hund neben Hofmarschall von Schlippenbach. Zudem stimmt die Körperhaltung von Karl Gustav und Piccolomini sowie ihre Kleidung und die mit Löwen verzierten Stuhlrücken mit einer Vorzeichnung von Sandrart überein.[fn]Weitere Details lassen sich leider nicht vergleichen, da die Zeichnung stark beschädigt ist: Germanisches Nationalmuseum, Graphische Sammlung, Inv.-Nr. St. N. 11727, Kapsel 1534b.[/fn] Durch Merians Autobiographie ist überliefert, dass er sich zur Zeit des Festmahls in Nürnberg aufhielt und womöglich eine Zeichnung in der ersten Entwurfsphase von Sandrarts Gemälde anfertige. Wieder in Frankfurt ansässig, könnte diese als Vorlage des Kupferstichs gedient haben.Ausst. Kat. Nürnberg 1998, S. 32–33, Kat.-Nr. 12 (Doris Gerstl).ALS</t>
  </si>
  <si>
    <t xml:space="preserve">http://friedensbilder.gnm.de/sites/default/files/HB25331.tif
http://friedensbilder.gnm.de/sites/default/files/StN11727.tif</t>
  </si>
  <si>
    <t xml:space="preserve">http://friedensbilder.gnm.de/content/frieden_foto_order20503e</t>
  </si>
  <si>
    <t xml:space="preserve">Friedensmahl des Pfalzgrafen Karl Gustav im Nürnberger Rathaus</t>
  </si>
  <si>
    <t xml:space="preserve">HB 193, Kapsel 1220</t>
  </si>
  <si>
    <t xml:space="preserve">Stecher
Gemäldevorlage</t>
  </si>
  <si>
    <t xml:space="preserve">Heumann, Georg Daniel
Sandrart, Joachim von</t>
  </si>
  <si>
    <t xml:space="preserve">Ausst. Kat. Osnabrück 1998b
Paas 
Müller 1791
Harms</t>
  </si>
  <si>
    <t xml:space="preserve">S. 8
Bd. VIII, S. 405, Nr. PA-421
S. 138, Nr. 3
Bd. II, S. 562–563, Nr. 323</t>
  </si>
  <si>
    <t xml:space="preserve">32,4 x 45,1</t>
  </si>
  <si>
    <t xml:space="preserve">Georg Daniel Heumann reproduzierte zwei Gemälde für von Meierns&amp;nbsp;ACTA PACIS EXECUTIONIS PUBLICA, die im Rahmen der Feierlichkeiten von 1649 entstanden. Für das vorliegende Exemplar orientierte sich Heumann an einem zeitgenössischen Nachstich von Sandrarts Friedensmahl (HB 196, Kapsel 1030a).Für eine inhaltliche Beschreibung siehe&amp;nbsp;HB 196, Kapsel 1030a.&amp;nbsp;ALS&amp;nbsp;</t>
  </si>
  <si>
    <t xml:space="preserve">http://friedensbilder.gnm.de/sites/default/files/HB193.tif</t>
  </si>
  <si>
    <t xml:space="preserve">HB 196, Kapsel 1030a</t>
  </si>
  <si>
    <t xml:space="preserve">http://friedensbilder.gnm.de/content/frieden_object2fcc1
http://friedensbilder.gnm.de/content/frieden_object126d0d</t>
  </si>
  <si>
    <t xml:space="preserve">http://friedensbilder.gnm.de/content/frieden_foto_order204f21</t>
  </si>
  <si>
    <t xml:space="preserve">Beschreibung/ Wie bey deß Herrn Pfaltzgrafen und Generalissimi Caroli Gustavi Hochfürstl. Durchleucht. auff dem Rahthauß in Nürnberg am 25 Septemb. Anno 1649. gehaltenem Freuden Fest und angestellter Mahlzeit/ alle darzu erbettene und erschienene Herren und Gesandte nach Ihrer Ordnung zur Tafel gesessen</t>
  </si>
  <si>
    <t xml:space="preserve">HB 6915, Kapsel 1220</t>
  </si>
  <si>
    <t xml:space="preserve">Bd. VIII, S. 72, Nr. P-2255</t>
  </si>
  <si>
    <t xml:space="preserve">75:710530X</t>
  </si>
  <si>
    <t xml:space="preserve">25,2 x 34</t>
  </si>
  <si>
    <t xml:space="preserve">nach S. 48</t>
  </si>
  <si>
    <t xml:space="preserve">Tischordnung beim Mahl anläßlich des Friedens im Nürnberger Rathaus 1649</t>
  </si>
  <si>
    <t xml:space="preserve">Das Blatt verdeutlicht die Sitzordnung während des schwedischen Friedensmahls 1649 im Nürnberger Rathaussaal. Die Kopfenden der Tafel sind dem Ehrengast Ottavio Piccolomini&amp;nbsp;(hier mit seinem Titel als Herzog von Amalfi)&amp;nbsp;und dem Gastgeber Pfalzgraf Karl Gustav vorbehalten. Außerdem ist der Standort des weinspendenden Löwen verzeichnet, der sich im Fenster gegenüber der Tafel befand.[fn]Abbildung deß Schwedischen Löwens[/fn] Das Festmahl ist auch der Gegenstand eines Gemäldes von Joachim von Sandrart, nach dem einige Stiche gefertigt wurden.[fn]Das Schwedische Friedens-Freudenmahl / , IH245[/fn] Einziger Unterschied zwischen der Sitzordnung auf dem Typendruck und der Darstellung auf dem Gemälde besteht in der Anordnung der Musikanten, die wohl aus kompositorischen Gründen bei Sandrart das Ende der Tafel flankieren.&amp;nbsp;ALS</t>
  </si>
  <si>
    <t xml:space="preserve">http://friedensbilder.gnm.de/sites/default/files/HB6915.tif</t>
  </si>
  <si>
    <t xml:space="preserve">Beschreibung/ Wie bey deß Herrn Pfaltzgrafen und Generalissimi Caroli Gustavi Hochfürstl. Durchleucht. auff dem Rahthauß in Nürnberg am 25 Septemb. Anno 1649. gehaltenem Freuden Fest und angestellter Mahlzeit/ alle darzu erbettene und erschienene Herren und Gesandte nach Ihrer Ordnung zur Tafel gesessen, HB 6915, Kapsel 1220</t>
  </si>
  <si>
    <t xml:space="preserve">http://friedensbilder.gnm.de/content/frieden_foto_order204e99</t>
  </si>
  <si>
    <t xml:space="preserve">Eigentliche Beschreibung/ auch Grund- und Perspectivischer Abriß des Fried- und Freundenmahls/ Schauspiel und Feuerwerks: </t>
  </si>
  <si>
    <t xml:space="preserve">A: 65.5 Pol.</t>
  </si>
  <si>
    <t xml:space="preserve">Birken, Sigmund von
Dümler, Jeremias</t>
  </si>
  <si>
    <t xml:space="preserve">23:294307C</t>
  </si>
  <si>
    <t xml:space="preserve">http://diglib.hab.de/drucke/65-5-pol/start.htm</t>
  </si>
  <si>
    <t xml:space="preserve">Staats- und Universitätsbibliothek Hamburg Carl von Ossietzky</t>
  </si>
  <si>
    <t xml:space="preserve">Scrin A/907</t>
  </si>
  <si>
    <t xml:space="preserve">Gedenkschrift</t>
  </si>
  <si>
    <t xml:space="preserve">so auf allergnädigsten Befehl der Röm. Keys. May. Denen/ Suedischen Generaliss. H. Pfalzgr. Carl Gustav/ Chur: Fürsten und Stände ... von H. General Lieut. Duca d'Amalfi angestellet und gehalten worden/ bey Nürnberg ... den 14/4 Heumonds/ im Jahr nach Christgeburt 1650.</t>
  </si>
  <si>
    <t xml:space="preserve">Teutschlands Krieges-Beschluß/ und FriedensKuß/ beklungen und besungen Jn den Pegnitzgefilden von dem Schäfer Floridan</t>
  </si>
  <si>
    <t xml:space="preserve">Druckprivileg</t>
  </si>
  <si>
    <t xml:space="preserve">Mit Röm. Kais. Majest. Freyheit nicht nachzudrucken/ und bey Jeremia Dümlern zu finden. </t>
  </si>
  <si>
    <t xml:space="preserve">http://friedensbilder.gnm.de/sites/default/files/00007.jpg</t>
  </si>
  <si>
    <t xml:space="preserve">Rolle Venus
Britannien, Stände, Abgesandte werden erwähnt, wo sollen die eingetragen werden?
Vergleich des Textes mit Kriegs- und Friedensbildung (Rede): Beschreibungen der Figuren identisch?
FB
</t>
  </si>
  <si>
    <t xml:space="preserve">Die Gedenkschrift des Pegnitzschäfers Sigmund von Birken zählt zu den bekanntesten Friedensdichtungen im Umfeld des Westfälischen Friedens. Die umfangreiche Festbeschreibung besteht aus drei Einheiten. Im ersten Teil wird das Fried- und Freudenmahl beschrieben. Im zweiten Teil ist das Schauspiel abgedruckt, welches Birken mit Nürnberger Patriziersöhnen bei den Feierlichkeiten, die vom kaiserlichen Gesandten Ottavio Piccolomini initiiert wurden, aufführte. Zuletzt wird das Feuerwerk beschrieben, welches in diesem Rahmen veranstaltet wurde. Im Schauspiel sind in zwei Aufzügen Krieg und Frieden gegenübergestellt. Neben Monologen von Discordia, Concordia, Pax und Gerechtigkeit tritt Birken als Schäfer Floridan in einen Dialog mit einem Soldaten. Bereits das Figurenensemble verdeutlicht die Assoziationen, die das Schauspiel an die zukünftige Friedenszeit knüpft. Recht und Gerechtigkeit ziehen wieder in das Land ein. Eine Eintracht, trotz Vielgestaltigkeit des Heiligen Römischen Reichs, eine „teutsche Eintracht“ führt zu mehr Handlungsmöglichkeiten gegen Feinde, insbesondere den andauernden Konflikt mit den Türken. Die politischen Akteure der Friedensverhandlungen werden dazu aufgerufen, ihren Frieden zu verewigen – ein Wunsch, der vor allem nach dem Dreißigjährigen Krieg wiederholt in den Friedensdichtungen geäußert wird. Der Krieg dauerte mehr als ein Menschenalter, der Wunsch nach Festigkeit und Beständigkeit des Friedens ist da nur nachvollziehbar. Insgesamt transportiert das Schauspiel ein Bild der Gelassenheit und Friedfertigkeit. Es herrschen Ruhe, Überfluss und Wohlstand, und die Menschen leben im Einklang mit der Natur. Doch diese utopische Vorstellung wurde schnell obsolet bzw. konnte gar nicht erst eintreten. Eine stabile Friedenswahrung konnte in manchen Gebieten nie dauerhaft erreicht werden. Motivisch greift Birken auf antike Traditionen zurück, und stellt etwa Analogien zu dem von Kriegen heimgesuchten Troja an. Sie dienen dem Dichter als Argument für eine Tugendhaftigkeit der zukünftigen Gesellschaft. Die Parallelen in der Geschichte dienen der Orientierung in der Gegenwart.&amp;nbsp;
FB
</t>
  </si>
  <si>
    <t xml:space="preserve">Eigentliche Beschreibung/ auch Grund- und Perspectivischer Abriß des Fried- und Freudenmahls/ Schauspiel und Feuerwerks:, A: 65.5 Pol.</t>
  </si>
  <si>
    <t xml:space="preserve">https://friedensbilder-neu.gnm.de/sites/default/files/2019-06/A-65-5-Pol_0.png</t>
  </si>
  <si>
    <t xml:space="preserve">Eigentliche Beschreibung/ auch Grund- und Perspectivischer Abriß des Fried- und Freudenmahls/ Schauspiel und Feuerwerks:</t>
  </si>
  <si>
    <t xml:space="preserve">http://friedensbilder.gnm.de/content/frieden_object2fb7b
http://friedensbilder.gnm.de/content/frieden_object2fc33</t>
  </si>
  <si>
    <t xml:space="preserve">http://friedensbilder.gnm.de/content/frieden_foto_order11fbba</t>
  </si>
  <si>
    <t xml:space="preserve">Benahmung Der Hochansehnlichen Fürstl. und andern Vornehmen Personen, so an den dreyen Tafeln gesessen</t>
  </si>
  <si>
    <t xml:space="preserve">HB 18231, Kapsel 1220</t>
  </si>
  <si>
    <t xml:space="preserve">Paas
Hollstein German
Ausst. Kat. Nürnberg 1998</t>
  </si>
  <si>
    <t xml:space="preserve">Bd. VIII, S. 88, Nr. P-2274
Bd. XLVI (Lucas Schnitzer), S. 58, Nr. 58
S. 49, Kat.-Nr. 18b (Mara R. Wade)</t>
  </si>
  <si>
    <t xml:space="preserve">23:635952Y</t>
  </si>
  <si>
    <t xml:space="preserve">30 x 47,3</t>
  </si>
  <si>
    <t xml:space="preserve">Herzog August Bibliothek
Stadtbibliothek Nürnberg</t>
  </si>
  <si>
    <t xml:space="preserve">Wolfenbüttel
Nürnberg</t>
  </si>
  <si>
    <t xml:space="preserve">65.5 Pol.
Ebl. 20.021</t>
  </si>
  <si>
    <t xml:space="preserve">auch Grundrissplan zum Feuerwerk an der Burg</t>
  </si>
  <si>
    <t xml:space="preserve">https://www.gbv.de/du/services/gLink/vd17/75:710552A_001,800,600</t>
  </si>
  <si>
    <t xml:space="preserve">am Ende als Faltblatt</t>
  </si>
  <si>
    <t xml:space="preserve">Nürnberg / bey Jeremia Dümler.</t>
  </si>
  <si>
    <t xml:space="preserve">Im Rahmen der Friedensfeier am 14. Juli 1650 fand ein kaiserliches Festmahl auf dem Schießplatz im Nürnberger Vorort St. Johannis statt, dessen Teilnehmer hier aufgelistet sind.&amp;nbsp;Die Liste im Typendruck hat sich als Faltblatt in&amp;nbsp;Eigentliche Beschreibung/ auch Grund- und Perspectivischer Abriß des Fried- und Freudenmahls/ Schauspiel und Feuerwerks&amp;nbsp;von&amp;nbsp;Sigmund von Birken&amp;nbsp;erhalten. Außerdem gibt es mehrere Exemplare, eines davon in der Nürnberger Stadtbibliothek (Inv.-Nr. Ebl. 20.021), bei der die Aufzählung der Gäste des Festmahls an ein großformatiges Blatt angefügt ist.Die vorliegende Radierung von Lucas Schnitzer enthält den Grundriss des Feuerwerks und der Festbaracke (A), in der das Friedensmahl stattfand. Ebenso ist ”die grose Seule, worauf das Friedens Bild gestanden“ (P) und die ”Porta des Feüerwercks-Schlosses, auf welcher das Bild Discor-diae, und darunder das Bild Martis gestanden.“ (W) wiedergegeben.Für eine Darstellung der ephemeren Aufbauten siehe HB 907, Kapsel 1220.ALS&amp;nbsp;</t>
  </si>
  <si>
    <t xml:space="preserve">http://friedensbilder.gnm.de/sites/default/files/HB18231_01.tif
http://friedensbilder.gnm.de/sites/default/files/NüStB_Ebl. 20.021.png</t>
  </si>
  <si>
    <t xml:space="preserve">Benahmung Der Hochansehnlichen Fürstl. und andern Vornehmen Personen, so an den dreyen Tafeln gesessen, HB 18231, Kapsel 1220</t>
  </si>
  <si>
    <t xml:space="preserve">http://friedensbilder.gnm.de/content/frieden_foto_order204e8a</t>
  </si>
  <si>
    <t xml:space="preserve">http://friedensbilder.gnm.de/content/frieden_foto_order12ad2b</t>
  </si>
  <si>
    <t xml:space="preserve">Eigentlicher Abrieß Deß Feuerwercks Schlosses und der Barraquen</t>
  </si>
  <si>
    <t xml:space="preserve">HB 203, Kapsel 1219a</t>
  </si>
  <si>
    <t xml:space="preserve">Troschel, Peter
Dümler, Jeremias</t>
  </si>
  <si>
    <t xml:space="preserve">Paas
Ausst. Kat. Coburg 1983
Wütherich
Reese 1988
Tekotte 1934
Ausst. Kat. Nürnberg 1998
Fähler 1974
Ausst. Kat. München 1999
Theatrum Europaeum</t>
  </si>
  <si>
    <t xml:space="preserve">Bd. VIII, S. 90, Nr. P-2276
S. 222, Kat.-Nr. 108 (Beate Rattay)
Bd. III, S. 198, Nr. 45
S. 164
S. 25
S. 48–49, Kat.-Nr. 18a (Mara R. Wade)
S. 206, Nr. 109
S. 68, Kat.-Nr. 24
Sp. 1075b</t>
  </si>
  <si>
    <t xml:space="preserve">44,2 x 80,2 </t>
  </si>
  <si>
    <t xml:space="preserve">nach Seiten als Faltblatt</t>
  </si>
  <si>
    <t xml:space="preserve">Anna Lisa Schwartz, Marius Wittke</t>
  </si>
  <si>
    <t xml:space="preserve"> in welcher auß Röm. Kaiserl. Maj. allergnädigsten bevelch dem Königlichen Schwedischen Generalissimo Herrn Pfaltzgraven Carl Gustaw [et]c. Chur-Fürsten und Ständt anwesenden Herren Gesanden auch Fürstlichen Persohnen und FrauenZim[m]er und Herrn General Leutenant Duca d'Amalfi daß Fried: und Freudenmahl, nechst bey Nürnberg auff Sanct Johannis Schueßplatz den 14 July Anno. 1650. gehalten worde</t>
  </si>
  <si>
    <t xml:space="preserve">Michael Herr, delineavit
Nürnberg Bey Jeremia Dümlern
Peter Troschel, Sculpsit.</t>
  </si>
  <si>
    <t xml:space="preserve">Nach Unterzeichnung des Hauptrezesses 1650 lud der kaiserliche Gesandte&amp;nbsp;Ottavio Piccolomini&amp;nbsp;zu einem Festmahl ein. In einem Zelt dinierten Diplomaten und Gäste auf dem Schießplatz vor St. Johannis, wo sich&amp;nbsp;bereits die Installationen für das Feuerwerk, das zum Abschluss dargeboten werden sollte (siehe auch&amp;nbsp;HB 907, Kapsel 1220), befanden. Das Festmahl wurde von einer Aufführung des Stücks "Teutschlands Krieges-Beschluß / und FriedensKuß" begleitet, das&amp;nbsp;Sigmund von Birken&amp;nbsp;verfasst hatte. Hierfür wurde vor der Friedensstatue in der Mitte des Platzes eine Leinwand aufgestellt. Nach Ende der Aufführung konnte das Feuerwerk an dem mittlerweile verdunkelten Himmel seine volle Pracht entfalten. Der Gastgeber Piccolomini entzündete einen&amp;nbsp;Cupido, der als Schnurfeuerwerk die Friedenssäule in Brand setzte. Von ihr aus lief ein weiteres Schnurfeuer zum 'Castel des Unfriedens', der Behausung von&amp;nbsp;Discordia&amp;nbsp;und&amp;nbsp;Mars. Begleitet von Kanonenschüssen ging das Castell in einem Feuerwerk auf und wurde schließlich durch in das Fundament eingelassene Sprengsätze zerstört. Das kostspielige und üppige Spektakel diente zugleich zur Repräsentation der Habsburgmonarchie.
ALS
</t>
  </si>
  <si>
    <t xml:space="preserve">Eigentlicher Abrieß
Deß Feüerwercks-Schlosses und der Barra-
quen, in welcher auß Röm: Kaiserl: Maj: aller
gnädisten bevelch, dem Königlichen Schwedischen
Generalissimo Herrn Pfalzgraven Carl Gusta-
w. rc. Chur-Fürsten und Ständt anwesenden Herren Ge
sanden auch Fürstlichen Persohnen und Frauen Zimmer.
vom Herrn General Leütnant Duca d'Amalfi, rc,
daß Fried: und Freüdenmahl, nechst bey Nürn-
berg auff Sanct Johannis Schüeßplatz
den 14 July Anno. 1650. gchalten worden
&amp;nbsp;
A. die Haupt Barraque.
B. neben Barraque zur rechten handt.
C. neben Barraque zur lincken handt.
D. Credenra der Haupt Barraque.
E. Musicanten Chör.
F. zwo Buttellerien oder Schenckstelle, der neben Barraque B.
G. Trompeten und Heerpaucken standte.
H. des Herrn Generaissimi und Pfaltzgravens Durchleücht, so
&amp;nbsp; &amp;nbsp; &amp;nbsp;das Erste feuer dem Feüerwerck gegeben
I. Cupido so vom Herrn Pfaltzgraven bis zur friedens-Seülen
&amp;nbsp; &amp;nbsp; &amp;nbsp;fleügt und dieselbe anzündet.
K. die Seüle, worauf das Friedens Bild gestanden
L. inn Schwartz und weis gekleidete Männer, so mit feüerwercks
&amp;nbsp; &amp;nbsp; &amp;nbsp;Schlacht-Schwerttern gegeneinander gefochten.
M. 24. Cannen Rohr, so umb die Friedens-Seüle gestanden.
N. ein Seüle mit einem grosen Feüerrad.
O. Noch 8. andere Seülen auch mit Feüerrädern und 4. darzwi-
&amp;nbsp; &amp;nbsp; &amp;nbsp;schen in der Erden verborgene feüer Kugeln.
P. 12 grose feüer Pompen.
Q. vom feüerwerck Preparirte Spannische Reütber mit ihren zwische
&amp;nbsp; &amp;nbsp; &amp;nbsp;stehenden pfosten und darauf ruhenden Kugeln.
R. die 4. Eckthürn des Schlosses, so mit schönen guldenen Knöpf-
&amp;nbsp; &amp;nbsp; &amp;nbsp;fen, gemahlten eysenen Fahnen, auch mit Schwartz und wei-
&amp;nbsp; &amp;nbsp; &amp;nbsp;sen seidenen Flaggen gezieret gewesen
S. das Inner gebeü des Schlosses mit der darauf stehenden rundung
&amp;nbsp; &amp;nbsp; &amp;nbsp;und kopel.
V. Geschmeidige Geschreg worauf Raqueten gehangen.
W. Messinge Böller.
X. 500. Musqueten läuf, so in schöner ordnung zugleich salva geben
Y. Höltzerne Böller.
Z. Batteria zünechts beym Schloss, auf welcher .12. Falkaunen,
&amp;nbsp; &amp;nbsp; &amp;nbsp;.2. Stein und .11. Vierpfündige Stück gestanden.
a. Batteria ienseit des Wassers, worauf .6. gantze .8. halbe, und .8.
&amp;nbsp; &amp;nbsp; &amp;nbsp;viertels Cartaunen gestanden , welche gegen obgedachte
&amp;nbsp; &amp;nbsp; &amp;nbsp;Stuck herwider gespielet.
b. Vierpfündiges Stücklein, welches nebenst einen Raqueten iedes-
&amp;nbsp; &amp;nbsp; &amp;nbsp;mals: so offt eine Gesundheit getruncken worden: Losung geben
&amp;nbsp; &amp;nbsp; &amp;nbsp;worauf dann die obengesetzte Stuck auf beeden seiten zugleich
&amp;nbsp; &amp;nbsp; &amp;nbsp;in bebürender Ordnung geantworttet.
c. Schrancken umb die Barraque bis zum Feüerwerck.
d. Spannische Reüther so das Feuerwerck von dem anlauf des
&amp;nbsp; &amp;nbsp; &amp;nbsp;Volcks beschirmet.
e. ein theil der Statt Nürnberg.
f. die Beern Schantz.
g. Schüeshaus zu St: Johannes.
Nürnberg
Bey Jeremia Dümlern
zu finden.
Michael Herr, delineavit.
Peter Troschel Sculpsit.
Cum Privilegio Sacrae Caesarae Majestatis
MATW
</t>
  </si>
  <si>
    <t xml:space="preserve">http://friedensbilder.gnm.de/sites/default/files/HB203_a.tif</t>
  </si>
  <si>
    <t xml:space="preserve">Die dunkle Nachtszenerie ist aus zwei Blättern zusammengesetzt und enthält rechts und links je einen Blickfang. Auf der linken Seite ist dies eine aufwendig gestaltete Kartusche mit den Wappen Schwedens und&amp;nbsp;Ottavio Piccolominis, auf der rechten Seite übernimmt das strahlende Feuerwerk über dem ”Castel des Unfriedens“ diese Aufgabe. Der gesamte ephemere Aufbau vor den Toren der Nürnberger Stadt diente den Feierlichkeiten anlässlich des&amp;nbsp;Exekutionskongresses&amp;nbsp;von 1650.&amp;nbsp;Nach Unterzeichnung des Hauptrezesses 1650 lud der kaiserliche Gesandte&amp;nbsp;Ottavio Piccolomini&amp;nbsp;zu einem Festmahl ein. In einem Zelt dinierten Diplomaten und Gäste auf dem Schießplatz vor St. Johannis, wo sich&amp;nbsp;bereits die Installationen für das Feuerwerk, das zum Abschluss dargeboten werden sollte (siehe auch&amp;nbsp;HB 907, Kapsel 1220), befanden. Das Festmahl wurde von einer Aufführung des Stücks "Teutschlands Krieges-Beschluß / und FriedensKuß" begleitet, das&amp;nbsp;Sigmund von Birken&amp;nbsp;verfasst hatte. Hierfür wurde vor der Friedensstatue in der Mitte des Platzes eine Leinwand aufgestellt.Nach Ende der Aufführung konnte das Feuerwerk an dem mittlerweile verdunkelten Himmel seine volle Pracht entfalten. Der Gastgeber Piccolomini entzündete einen&amp;nbsp;Cupido, der als Schnurfeuerwerk die Friedenssäule in Brand setzte. Von ihr aus lief ein weiteres Schnurfeuer zum 'Castel des Unfriedens', der Behausung von&amp;nbsp;Discordia&amp;nbsp;und&amp;nbsp;Mars. Begleitet von Kanonenschüssen ging das Castell in einem Feuerwerk auf und wurde schließlich durch in das Fundament eingelassene Sprengsätze zerstört. Das kostspielige und üppige Spektakel diente zugleich zur Repräsentation der Habsburgmonarchie.ALS/MATW</t>
  </si>
  <si>
    <t xml:space="preserve">Eigentlicher Abrieß Deß Feuerwercks Schlosses und der Barraquen, HB 203, Kapsel 1219a</t>
  </si>
  <si>
    <t xml:space="preserve">https://friedensbilder-neu.gnm.de/sites/default/files/2019-06/HB203.png</t>
  </si>
  <si>
    <t xml:space="preserve">http://friedensbilder.gnm.de/content/frieden_foto_order1f9220</t>
  </si>
  <si>
    <t xml:space="preserve">Aigentliche abbildung deß Fried- und Freuden-Mahls</t>
  </si>
  <si>
    <t xml:space="preserve">Kilian, Wolfgang
Dümler, Jeremias</t>
  </si>
  <si>
    <t xml:space="preserve">Ausst. Kat. Nürnberg 1998
Ausst. Kat. Stuttgart 2012
Ausst. Kat. Heidelberg 1980/1981</t>
  </si>
  <si>
    <t xml:space="preserve">S. 30–32, Kat.-Nr. 11 (Doris Gerstl)
S. 38, Abb. 21 (Cornelia Manegold)
S. 52, Kat.-Nr. 153</t>
  </si>
  <si>
    <t xml:space="preserve">12:676300L</t>
  </si>
  <si>
    <t xml:space="preserve">56,5 x 67,3</t>
  </si>
  <si>
    <t xml:space="preserve">Einbl. V,8 nn</t>
  </si>
  <si>
    <t xml:space="preserve">welches der Durchleuchtigste Hochgeborne Fürst und Herr, Herr Carol Gustav Pfaltzgrav bey Rhein ec. nach abhandlung der Praeliminar tractaten, in deß Heiligen Reichs Statt Nürnberg auff dem Raht-haus Saal den 25 September, Anno 1649. gehalten: und seind die dabey Sich befundene Höchst-Hoch- und wohlansehehnliche Herren Gäst in folgender Ordnung gessesn, alß: ...</t>
  </si>
  <si>
    <t xml:space="preserve">Wolffg. Kilian sculpsit.
Nürnberg bey Jeremia Dümlern.</t>
  </si>
  <si>
    <t xml:space="preserve">rechts unten im Bild
rechts unten</t>
  </si>
  <si>
    <t xml:space="preserve">Nach der Unterzeichnung des Interimsrezesses richtete Pfalzgraf Karl Gustav&amp;nbsp;am 25. September 1649 ein Festmahl im großen Nürnberger Rathaussaal aus. Joachim von Sandrart hielt das Ereignis in einem Gemälde fest und porträtierte sich darin als zeichnenden Künstler. Ihm gegenüber am Kopfende der Tafel sitzen Karl Gustav und Ottavio Piccolomini.&amp;nbsp;Vor den weiteren Teilnehmern des Exekutionskongresses sind verschiedene Schaugerichte aufgetischt, wie etwa ein Triumphbogen mit&amp;nbsp;Concordia. Auf dem Fenstersims steht ein Löwe, der Wein über die Fensterbank ins Freie speit. Die Musikanten, aber auch die Raumausstattung und die prachtvollen Kleider etwa des Hofmarschalls von Schlippenbach&amp;nbsp;weisen auf den feierlichen Moment hin. Er führt die Pagen an, die den fünften Gang des Prunkmahls in den Saal bringen. Neben ihm befinden sich Nürnberger Ratsmitglieder, die an der Auftragsvergabe an Sandrart beteiligt waren. Dieser nummerierte die Diplomaten auf der Leinwand und löste ihre Herkunft und Funktion in zwei seitlich an den Rahmen angebrachten Tafeln auf.&amp;nbsp;In der Rezeption der Ereignisse erhielt das Gemälde einen ähnlichen Stellenwert wie Ter Borchs&amp;nbsp;Friedenssaal zu Münster (NG896). So wie dieses vor allem durch Jonas Suyderhoffs Nachstich (HB 192, Kapsel 1030a) Verbreitung fand, dürfte auch die hier vorliegende Reproduktion von Wolfgang Kilian gewirkt haben. Bis auf wenige Änderungen, etwa eine detailreichere Wiedergabe der Innenarchitektur, folgt der Augsburger Stecher der Gemäldevorlage.[fn]Womöglich nutzte Kilian auch eine Zeichnung Sandrarts, die sich bis zum Zweiten Weltkrieg im Besitz des Berliner Kupferstichkabinetts befand: Staatliche Museen zu Berlin. Dokumentation der Verluste. Band VIII/I, Kupferstichkabinett. Deutsche und niederländische Zeichnungen des 15. bis 18. Jahrhunderts, Berlin 2010, S. 85, Inv.-Nr. KdZ9544[/fn] Interessant ist, dass die&amp;nbsp;subscriptio&amp;nbsp;zwar die Namenserläuterungen der Seitentafeln von Sandrart übernimmt, die einzelnen Personen im Stich aber unnummeriert bleiben.ALS</t>
  </si>
  <si>
    <t xml:space="preserve">http://friedensbilder.gnm.de/sites/default/files/HB196.tif</t>
  </si>
  <si>
    <t xml:space="preserve">Vorlage nach Kopie</t>
  </si>
  <si>
    <t xml:space="preserve">Nach der Unterzeichnung des Interimsrezesses richtete Pfalzgraf&amp;nbsp;Karl Gustav&amp;nbsp;am 25. September 1649 ein Festmahl im großen Nürnberger Rathaussaal aus.&amp;nbsp;Joachim von Sandrart&amp;nbsp;hielt das Ereignis in einem Gemälde fest und porträtierte sich darin als zeichnenden Künstler. Ihm gegenüber am Kopfende der Tafel sitzen Karl Gustav und&amp;nbsp;Ottavio Piccolomini.&amp;nbsp;Vor den weiteren Teilnehmern des Exekutionskongresses sind verschiedene Schaugerichte aufgetischt, wie etwa ein Triumphbogen mit&amp;nbsp;Concordia. Auf dem Fenstersims steht ein Löwe, der Wein über die Fensterbank ins Freie speit. Die Musikanten, aber auch die Raumausstattung und die prachtvollen Kleider etwa des Hofmarschalls&amp;nbsp;von Schlippenbach&amp;nbsp;weisen auf den feierlichen Moment hin. Er führt die Pagen an, die den fünften Gang des Prunkmahls in den Saal bringen. Neben ihm befinden sich Nürnberger Ratsmitglieder, die an der Auftragsvergabe an Sandrart beteiligt waren. Dieser nummerierte die Diplomaten auf der Leinwand und löste ihre Herkunft und Funktion in zwei seitlich an den Rahmen angebrachten Tafeln auf.&amp;nbsp;
In der Rezeption der Ereignisse erhielt das Gemälde einen ähnlichen Stellenwert wie Gerard ter Borchs bekanntes Bild vom Friedenssaal zu Münster. So wie dieses vor allem durch&amp;nbsp;Jonas Suyderhoffs&amp;nbsp;Nachstich (HB 192, Kapsel 1030a) Verbreitung fand, dürfte auch die hier vorliegende Reproduktion von&amp;nbsp;Wolfgang Kilian&amp;nbsp;gewirkt haben. Bis auf wenige Änderungen, etwa eine detailreichere Wiedergabe der Innenarchitektur, folgt der Augsburger Stecher der Gemäldevorlage. Interessant ist, dass die&amp;nbsp;subscriptio&amp;nbsp;zwar die Namenserläuterungen der Seitentafeln von Sandrart übernimmt, die einzelnen Personen im Stich aber unnummeriert bleiben.
ALS
</t>
  </si>
  <si>
    <t xml:space="preserve">Aigentliche abbildung deß Fried- und Freuden-Mahls, HB 196, Kapsel 1030a</t>
  </si>
  <si>
    <t xml:space="preserve">https://friedensbilder-neu.gnm.de/sites/default/files/2019-06/HB196_0.png</t>
  </si>
  <si>
    <t xml:space="preserve">http://friedensbilder.gnm.de/content/frieden_object2f965</t>
  </si>
  <si>
    <t xml:space="preserve">http://friedensbilder.gnm.de/content/frieden_foto_order1f9127</t>
  </si>
  <si>
    <t xml:space="preserve">Tempel des Friedens und gegenüber gesetztes Castel des Unfriedens : wie solche bey Ihrer Fürstl: Gnad: Duca de Amalfi zu Nürnberg gehaltenen Friedensmahle beim hellen Tage anzusehen gewesen</t>
  </si>
  <si>
    <t xml:space="preserve">HB 907, Kapsel 1220</t>
  </si>
  <si>
    <t xml:space="preserve">um 1650</t>
  </si>
  <si>
    <t xml:space="preserve">Klaj, Johann
Fürst, Paul</t>
  </si>
  <si>
    <t xml:space="preserve">Paas
Hampe 1915
Appuhn-Radtke 2003</t>
  </si>
  <si>
    <t xml:space="preserve">Bd. VIII, S. 89, Nr. P-2275
S. 46, Nr. 95
S. 344–346</t>
  </si>
  <si>
    <t xml:space="preserve">23:244835T</t>
  </si>
  <si>
    <t xml:space="preserve">http://diglib.hab.de/drucke/einbl-xb-fm-20/start.htm</t>
  </si>
  <si>
    <t xml:space="preserve">26,8 x 36,9</t>
  </si>
  <si>
    <t xml:space="preserve">Einbl. Xb FM 20</t>
  </si>
  <si>
    <t xml:space="preserve">Festdekoration für ein Feuerwerk zum Friedensfest in Nürnberg (Tempel des Friedens versus Tempel des Unfriedens)</t>
  </si>
  <si>
    <t xml:space="preserve">Den Abschluss des Nürnberger Friedensexekutionskongresses bildeten mehrere Feierlichkeiten, wie ein vom kaiserlichen Gesandten organisiertes Fest mit Feuerwerk auf dem Schießplatz vor St. Johannis.[fn]Für eine inhaltliche Beschreibung und den Ablauf des Feuerwerks siehe&amp;nbsp;HB 203, Kapsel 1219a.[/fn]Johann Klaj&amp;nbsp;verfasste ebenso wie&amp;nbsp;Sigmund von Birken eine Reihe von Dichtungen anlässlich der Friedensfeierlichkeiten, die gerade der jüngeren Generation des erst 1644 gegründeten Pegnesischen Blumenordens eine hervorragende Präsentationsplattform boten. Die Passagen stammen zu großen Teilen aus Klajs&amp;nbsp;Geburtstag Deß Friedens, wurden aber für den Druck 1650 etwas abgeändert.[fn]Zu Klajs Dichtungen auf Gedenkblättern aus der Zeit des Exekutionskongresses erscheint gemeinsam mit Franziska Bauer ein Beitrag im Band zur Tagung Johann Klaj (1616–1656). Friedensdichter – Poet – Theologe (September 2016).[/fn] Sie greifen auf etablierte Friedensmotive zurück, die Klaj neben der Beschreibung des dargestellten Festplatzes verwendete. Am Ende der ersten Spalte ist etwa das Schmieden von Waffen zu Ackergerät (Jes 2,2–4) thematisiert.[fn]”das vor geharnschte Roß von Trompeten wild / wird milde und gehet in den Pflug ; Rohr / Partisanen / Schwert die werden durch das Feur in Ackerwerck verkehrt.“[/fn] Darauf folgt eine Passage, deren Ursprung in der Emblemliteratur liegt: ”Es werden hin und her die frommen Turteltauben fort nisten in den Helm in Sturm= und Pickelhauben“. Der Helm mit geschlossenem Visier ist bereits bei Andrea Alciati&amp;nbsp;mit dem Motto EX BELLO PAX verbunden. Die darin nistenden Tauben zeigt hingegen eine Illustration in Daniel Meisners&amp;nbsp;Thesaurus Philo-Politicus&amp;nbsp;in der Ausgabe von 1631. Hier sitzen die Vögel auf einer quergelegten Lanze und eine von ihnen nistet in einem Helm, der an der Stange befestigt ist: ”Im Helm welchen vor dieser Zeit, Ein Soldat truge in dem streit. Hatt außsgebrühet ihre Jungn, Ein Kluckhenn, weil fried ist kumn.“[fn]Die lange Verwendung dieses Motivs beweist ein&amp;nbsp;Gemälde&amp;nbsp;von Louis Jean François Lagrenée. Es zeigt eine Allegorie auf Krieg und Frieden mit einer Taube, die im Helm des Mars nistet, während dieser sich aus dem Bett der Venus zu schleichen versucht. Öl auf Leinwand, 64,8 x 53,8 cm, 1770, J. Paul Getty Museum Los Angeles, Inv.-Nr. 97.PA.65.[/fn]Für ein weiteres Beispiel, in dem Kriegs- zu Friedenssymbolen umgewandelt werden, siehe u.a.&amp;nbsp;Schertzgedicht, Die Früchte deß Friedens Vorstellent.ALS</t>
  </si>
  <si>
    <t xml:space="preserve">Es hat das alte Rom viel herrlich Thun gebauet /&amp;nbsp;das noch in Rom zum theil mit Wunder wird geschauet /&amp;nbsp;in Rom der Städte Stadt. Der Kriegs=Gott ward geehrtin seinen Tempel=haus; der Friede der ernehrtin seiner Frieden=Kirch; die Macht ist Rom genommen /&amp;nbsp;der Römer Kaiserthum ist auf die Teutschen kommen /&amp;nbsp;das tempel=bauen auch; da grünt das Frieden=hausund dorte schauet Mars zu seiner Vestung aus.&amp;nbsp;Hier wo mit Schiessen* [rechts am Rand: *Schiesplatz] stet die Mannheit pflegt zu Siegen /&amp;nbsp;das Friedens=Zeit ergetzt / und nützt in strengen Kriegen /&amp;nbsp;wann jetzt ein Bissen Bley durch eine Büchste reist /&amp;nbsp;und durch des Pulvers=trieb der Scheiben Schwarz durchschmeist:&amp;nbsp;hat man zu Nürenberg den lieben Fried zum eigen ein schönes Haus erbaut von grünen Wälderzweigen/&amp;nbsp;Gebüsche sind die Wand / Gebüsche sind das Dach/&amp;nbsp;Gebüsche sind der Gang/ Gebüsche das Gemach.&amp;nbsp;Der Fensterscheiben Glas ist Gärten=Zier GeprängeAus welchen Flora selbst gewunden Blumengehänge&amp;nbsp;mit Gold=Flor untermengt / durch diese Farben brichtnach aller Lust gefärbt das schöne Tageliecht.&amp;nbsp;Von ausssen leben noch die längst verlebten Kaiser /&amp;nbsp;die derer Haubt umlaubt das Laub der Lorbeer=reiser /&amp;nbsp;von innen siehet man viel Göttinnen bemahlt / auf derer Haubt ein Korb voll schöner Blumen strallt.Die Thoren sind berkänzt / auf ihren grünen SchwellenGerechtigkeit und Fried in Friede sich gesellenmit dieser Nebenschrifft: Es reisse dieses Bandja nicht / so wohnet Recht und Fried im Teuschten Land;&amp;nbsp;Das Band mit welchen sich drey Kronen vest verknüpfetOb dem der Himmel lacht / der Mesnchen Wohnhaus hüpfet.&amp;nbsp;Die Flaggen fliegen schön; der Adler friedlich fleucht /&amp;nbsp;der Löwe schiedlich ruht / die Lilje niedlich reucht.Die Weltherrn und die Welt die waren Krieges müde /&amp;nbsp;drüm flog von Himmel her der Fried und machte Friede.&amp;nbsp;Der Adler hatte nun den Pantzer abgelegt /&amp;nbsp;der Löw / die Lilien auch den stillen Fried gehegt.Wie wann sich jetzt und stillt der Wellen Wallenwütender Vogel von dem Eiß kan seine Zucht bebrütenso bringt der Fried hier Fried. &amp;nbsp; Es grünt die rechte Hand&amp;nbsp;von einen Lorbeerkrantz; es spielet sein Gewand in Friede mit den Wind; sein Haubt das ist berkänzetmit Früchten üm und um; in seiner Lincken gläntzet&amp;nbsp;der Siegespalmzweig; er stehet schön erhöhtLentz / Sommer / Winter / Herbst zu seinen Füssen steht.Er sprach: GOTT Lob nun sind zerbrochen Spieß und Schildedas vor geharnschte Roß von Trompeten wild / wird mildeund&amp;nbsp;gehet in den Pflug: Rohr / Partisanen / Schwertdie werden durch das Feur in Ackerwerck verkehrt.Es werden hin und her die frommen Turteltaubenfort nisten in den Helm in Sturm=und Pickelhauben&amp;nbsp;/&amp;nbsp;Es wird kein Lands=Knecht seyn / kein Spiel wird mehr gerührtkein Stück / kein Falckenet ins freye Feld geführt.Ich / ich der Friede kommt mit himmelreichen Gaben /&amp;nbsp;dergleichen niemand hat und auch niemand kan haben /ich Teutschlands Friedeschild / das seyd vertrieben war&amp;nbsp;ich komm und bringen mit ein friedenreiches Jahr.Fort wird das Sternenhaus gesundes Tauen tauen /&amp;nbsp;Es wird in aller Welt / in Gründen und in Auen&amp;nbsp;die schön gegilbte Satt in vollen Aehren stehndas Vieh das feist Vieh in feisten Grase gehnOh freudenvoller Tag! den uns der HERR gegebenWolan so laß uns ihn mit Fröhlichkeit durchleben&amp;nbsp;diß ist der Tage Tag / diß ist die Zier der Zeitder billich wird verbracht mit froher Fröhlichkeit.Heut leget Teutschland an nach hundert tausend Leidenein ganz spanneues Kleid / das Kleid der Jubel=Freuden&amp;nbsp;[zweite Spalte]&amp;nbsp;&amp;nbsp;mit Golde durchstickt. Das Haar uneingedrehtder Westwind üm den Schnee deß Perlen=Halses weht.Diß ist der schöne Tag nach so viel Morgen=röhtender diesen Würgekrieg / hat würgend können tödtenwillkommen Frieden Tag / hier diese Kirch ist dein / weil Unfried ist gestillt / so muß nun Friede sein;Willkommen du entbürdst Bleyschwere Krieges=Bürde /&amp;nbsp;Ach das dein Denckmahl / Ach! in Bley gegraben würdemit einen eisern Kiel ; die Feder müsse seinein scharfgespitzter Stahl / Papier ein Felsen=Stein!&amp;nbsp; &amp;nbsp; &amp;nbsp;Trompeten / Clareten Taratantara sinden /&amp;nbsp;&amp;nbsp; &amp;nbsp; &amp;nbsp;die Paucken die Paucken in Kessel erklingen /&amp;nbsp;&amp;nbsp; &amp;nbsp; &amp;nbsp;die Leyren nicht feyren die Dörfer Schalmeyen /&amp;nbsp;&amp;nbsp; &amp;nbsp; &amp;nbsp;joh Friede / joh Friede ohn unterlaß schreyen!Wie Friede nun allhier in grünen wird geschauet /&amp;nbsp;so hat sich gegen ihn der Unfried starck verbauet /&amp;nbsp;in einen steinern Haus; das treflich aufgeführt&amp;nbsp;als ein vest Kunstgebäu / das sein Feind nie berührt.Deß grossen Mittelthurns Bedachung sich hoch schwingetdie mit vergüldeten Knopf und Fahn durch die Lufft dringet.Vier Thurn von aussenwerts ale eine Vorburg stehn&amp;nbsp;von seinen Mauerwerck ringsüm die Vestung gehn:Im Fall der Wind aufsteht mit Sommerheissen wehenauf ihren Schiferdach sich güldne Fähnlein drehen /&amp;nbsp;die Flaggen fliegen hoch die Unfried ausgesteckt /&amp;nbsp;dadurch der Friede wird zum brennen aufgewecktdes nächtlich wird geschehn. &amp;nbsp; Es thönen auf den Gängen&amp;nbsp;Schalmeyer überlaut / die Rundaschierer drängensich auf den Vorgebäu / sie stehn und haben Acht / damit diß Brand=Castel nicht werd im Brand gebracht.Es dürffte dem noch wol sein Leib und Leben kostender es bestürmen wolt / die starck verwahrten Pfostenverwahren es noch mehr ; Es ist der Zwitracht Schloßmit Kraut und Loth versehn mit Mord und Mordgeschoß.Die Zwitracht die da steht mit wenig Haut und Beinenund läst die Sonne selbst durch ihr Gerippe scheinengantz hager ohne Schmer. &amp;nbsp;Ihr Mann der schütz das Thorund sie die Zanckgöttin die raget oben vormit ihren Blasebalg; die statt der Haare Schlangenauf ihren Schädel kemmt; die / die will andre fangenwird bald im Feuer stehn; die Wecktrompete thöntsie knirschet mit den Zahn und mit den Kolben tröhnt;&amp;nbsp;Ihr Sinn der ist gesinnt des Frieden Tempels Hüttenmit Pulver und mit Bley und Brand zuüberschütten/&amp;nbsp;zu sprengen in die Lufft; Sie pochte auf ihr Hausdrüm machte sie sich groß und hänget Lampen aus.Wie nun der Friede ward in seinen Haus empfangen /wie er ward eingeholt mit Himmelhohen prangen&amp;nbsp;läst sich hier schreiben nicht. &amp;nbsp; Die Tafeln stehn gedeckt /&amp;nbsp;die Music thönet hell / die Liechter aufgesteckt /&amp;nbsp;die dieses Tempels Mond; die Götter häuffig eilen&amp;nbsp;zu diesen Friedenmahl / sie kommen auf viel Meilen&amp;nbsp;zu diesen Feste her;&amp;nbsp;es gehet nicht hieraufauf dieses kleine Blat der gänztliche Verlauff.In einen grösseren Werck nach abgelauffnen Tagen /will ich ein gantz Gedicht von diesen Frieden sagenin neuen Reimen rein; will sagen wie bey Nacht&amp;nbsp;der Liebs=Gott das Castell hab in den Brand gebrachtgemacht zu Asch und Staub. -- --Die Stücken schon blicken es donnern Carthauenen /&amp;nbsp;das Felder und Wälder und Menschen erstaunen /&amp;nbsp;es zittern un splittern die festlichen Klüffte /&amp;nbsp;es schallen es hallen die mosichten Grüffte.Irene * [recht am Rand: *der Fried.] die Schöne wird männlichen kämpfen /das Kriegen mit Siegen und Feuerglut dämpfen /&amp;nbsp;Es werden die Feuer den Unfried ergreiffenihn richten / vernichten und Erdengleich schlieffen.&amp;nbsp;</t>
  </si>
  <si>
    <t xml:space="preserve">http://friedensbilder.gnm.de/sites/default/files/HB907.tif</t>
  </si>
  <si>
    <t xml:space="preserve">Tempel des Friedens und gegenüber gesetztes Castel des Unfriedens, HB 907, Kapsel 1220
Tempel des Friedens und gegenüber gesetztes Castel des Unfriedens, HB 907, Kapsel 1220</t>
  </si>
  <si>
    <t xml:space="preserve">Tempel des Friedens und gegenüber gesetztes Castel des Unfriedens
Tempel des Friedens und gegenüber gesetztes Castel des Unfriedens</t>
  </si>
  <si>
    <t xml:space="preserve">http://friedensbilder.gnm.de/content/frieden_foto_order20505c</t>
  </si>
  <si>
    <t xml:space="preserve">Friede- und Freudens Posaune mit welcher nach wiedererlangten und wolbestettigten güldnen Friede das hochbetrübte und auch von dem lieben Gott hocherfrewete Teutschelandt und alle frommen Christen wolmeinentlich werden angeblasen </t>
  </si>
  <si>
    <t xml:space="preserve">H: T 317.4° Helmst. (56)</t>
  </si>
  <si>
    <t xml:space="preserve">Brackenhoff, Ernst</t>
  </si>
  <si>
    <t xml:space="preserve"> 23:330870N</t>
  </si>
  <si>
    <t xml:space="preserve">http://diglib.hab.de/drucke/t-317-4f-helmst-56s/start.htm</t>
  </si>
  <si>
    <t xml:space="preserve">Fertigstellung</t>
  </si>
  <si>
    <t xml:space="preserve">Frieden verkündet durch Posaune (Titel)</t>
  </si>
  <si>
    <t xml:space="preserve">http://diglib.hab.de/drucke/t-317-4f-helmst-56s/00001.jpg</t>
  </si>
  <si>
    <t xml:space="preserve">Friede- und Freudens Posaune mit welcher nach wiedererlangten und wolbestettigten güldnen Friede das hochbetrübte und auch von dem lieben Gott hocherfrewete Teutschelandt und alle frommen Christen wolmeinentlich werden angeblasen , H: T 317.4° Helmst. (56)</t>
  </si>
  <si>
    <t xml:space="preserve">Fried-erlangendes Deutschland.</t>
  </si>
  <si>
    <t xml:space="preserve">Yq 4661</t>
  </si>
  <si>
    <t xml:space="preserve">Drucker
Verleger
Verfasser</t>
  </si>
  <si>
    <t xml:space="preserve">Hake, Johann, I.
Hartmann, Andreas
Gläser, Enoch</t>
  </si>
  <si>
    <t xml:space="preserve">Wittenberg</t>
  </si>
  <si>
    <t xml:space="preserve">3:626920Q</t>
  </si>
  <si>
    <t xml:space="preserve">http://dfg-viewer.de/show/?set[mets]=http%3A//digitale.bibliothek.uni-halle.de%2Foai%2F%3Fverb%3DGetRecord%26metadataPrefix%3Dmets%26identifier%3D857875</t>
  </si>
  <si>
    <t xml:space="preserve">Wa 8902 </t>
  </si>
  <si>
    <t xml:space="preserve">63 Bl.</t>
  </si>
  <si>
    <t xml:space="preserve">Nach art eines kurtzen Schau-Spiels. Poetisch abgebildet und vorgestellt von Enoch Gläsern aus Schlesten</t>
  </si>
  <si>
    <t xml:space="preserve">In Verlegung Andreas Hartmanns / Buchführers Druckts Johannes Hake. </t>
  </si>
  <si>
    <t xml:space="preserve">GND-Datensatz für den Drucker&amp;nbsp;http://d-nb.info/gnd/1037505212
</t>
  </si>
  <si>
    <t xml:space="preserve">
	Lobgedicht an die deutsche Sprache
	Vorwort des Verfassers an den Leser
	Ehrgedichte an den Verfasser:
		August Buchner, lat.
		Samuel Ritter, lat.
		David Grosse, dt.
		M. Georg Hunold, dt.
		M. Adam Ezlerus, dt.
		Elias Major, dt.
	Vorstellungen 1- 5
	Anmerkungen
Der Text des Schauspiels ist mit Versnummerierungen versehen.
</t>
  </si>
  <si>
    <t xml:space="preserve">http://digitale.bibliothek.uni-halle.de/download/webcache/1504/947034
http://friedensbilder.gnm.de/sites/default/files/Gläser.jpg</t>
  </si>
  <si>
    <t xml:space="preserve">&amp;nbsp;
&amp;nbsp;
</t>
  </si>
  <si>
    <t xml:space="preserve">In chronologischer Reihenfolge behandelt das Schauspiel den Zustand im Reich zu Beginn des Krieges, die anhaltenden Konflikte und den Kriegsausbruch. Der Dichter Enoch Gläser vertritt wie viele seiner Zeitgenossen die Auffassung, dass der Krieg die Menschen als Strafe Gottes traf, welche sich diese selbst zuzuschreiben hätten. Unsittliches und gottloses Verhalten habe zum Zorn Gottes geführt. Erst durch die Gottesfurcht der Menschen zog der Friede wieder in das Land ein. Das Schauspiel schließt mit Vorstellungen der zukünftigen Friedenszeit, die sich nicht von anderen Beispielen aus dieser Zeit unterscheiden. Gläser betont die „Segnungen des Friedens“ als Gottesgeschenk und ermahnt damit die Bevölkerung zu Frömmigkeit und Gottesfurcht. Diese Mahnung spiegelt sich bereits im Personenensemble des Stücks wieder: Neben den personifizierten Rollen Deutschland, Thüringen, Hessen und Schlesien (Regionen mit biografischen Anknüpfungspunkten des Verfassers) treten die Hoffnung, die Barmherzigkeit und die Gottesfurcht auf. Der Konflikt zwischen Mars und dem Frieden bildet die Rahmenhandlung.
FB
</t>
  </si>
  <si>
    <t xml:space="preserve">Fried-erlangendes Deutschland., Yq 4661</t>
  </si>
  <si>
    <t xml:space="preserve">https://friedensbilder-neu.gnm.de/sites/default/files/2019-06/Yq_4661_0.png</t>
  </si>
  <si>
    <t xml:space="preserve">http://friedensbilder.gnm.de/content/frieden_foto_order1c4393</t>
  </si>
  <si>
    <t xml:space="preserve">Das Käiserliche Friedens Freudenmahl</t>
  </si>
  <si>
    <t xml:space="preserve">Einbl. YA 8321 m </t>
  </si>
  <si>
    <t xml:space="preserve">Birken, Sigmund von</t>
  </si>
  <si>
    <t xml:space="preserve">Bd. VIII, S. 105 und 482, Nr. 2291</t>
  </si>
  <si>
    <t xml:space="preserve">1:620330N</t>
  </si>
  <si>
    <t xml:space="preserve">https://www.gbv.de/vd17-cms/vd17_image_full_view?zuid=17250d11-8e9d-4885-b954-c4a9a248c95b</t>
  </si>
  <si>
    <t xml:space="preserve">380 x 310</t>
  </si>
  <si>
    <t xml:space="preserve"> gehalten von des Herrn Duca d'Amalfi Fürstl. Gn. bey Nürnberg auf S. Johannes Schießplatz den 14/4. Heumonds/ J.J. 1650. / Sigism. Betulius </t>
  </si>
  <si>
    <t xml:space="preserve">Das Flugblatt gehört zu den Veröffentlichungen um die Unterzeichnung des Hauptrezesses und die damit einhergehenden Feierlichkeiten in Nürnberg. Darüber hinaus&amp;nbsp;gehört der Stich in die selbe siebenteilige Bildserie&amp;nbsp;Sigmund von Birkens&amp;nbsp;wie das Nürnberger&amp;nbsp;Armbrust-Schiessen&amp;nbsp;und geht diesem unmittelbar voraus. Von Birken gehörte dem 1644 gegründeten Pegnesischen Blumenorden an, der sich der Hingabe Deutscher Sprache und Dichtkunst verschrieben hatte. Als Nachfolger Johann Klajs und zukünftiger Ordensvorstand machte er sich mit religiösen Versen und Lobgedichten&amp;nbsp;über die Grenzen Nürnbergs hinaus&amp;nbsp;einen Namen. Sein Friedensschauspiel "Teutscher Kriegs Ab- und Friedens-Einzug" wurde während der Feierlichkeiten von ihm inszeniert und aufgeführt.Das sechste Blatt der oben genannten Serie zeigt den Schießplatz bei St. Johannis vor den Toren der Nürnberger Stadt, während des von&amp;nbsp;Ottavio Piccolomini im Namen des Kaisers ausgerichteten Feuerwerks und Freudenmahls. Der unbekannte Kopist orientierte sich dabei am&amp;nbsp;Eigentlichen Abrieß Deß Feuerwercks-Schlosses&amp;nbsp;von Michael Herr und Peter Troschel, verkleinerte das ursprüngliche Format und verzichtete auf eine erhebliche Anzahl von Details. Eine abweichende Besonderheit zur Vorlage stellt auch die Form des Datums in der Kopfzeile dar, die einerseits parallel die julianische (4. Juli) und die gregorianische (14. Juli) Zählung angibt und sich auf der anderen Seite der altdeutschen Bezeichnung Heumond für Juli bedient.Von derselben Platte stammen auch die Abzüge in Johann Klajs "Geburtstag deß Friedens"[fn]Der Stich findet sich zwischen den Seiten 56 und 57.[/fn] und im Druck Sigmund von Birkens "Teutschlands Krigs-Beschluß".[fn]Der Stich befindet sich zwischen den Seiten 60 und 61.[/fn]&amp;nbsp;Zu Funktion und Ablauf des Feuerwerkes siehe den&amp;nbsp;Eigentlichen Abrieß Deß Feuerwercks-Schlosses, der die Vorlage für den hier vorliegenden Stich darstellt. Für eine genaue Bildbeschreibung siehe die Radierung von Caspar Merian, die ebenfalls auf Herr/Troschel zurückgeht.MAT</t>
  </si>
  <si>
    <t xml:space="preserve">https://www.gbv.de/durl/17250d11-8e9d-4885-b954-c4a9a248c95b?width=0</t>
  </si>
  <si>
    <t xml:space="preserve">Das Käiserliche Friedens Freudenmahl, Text, Einbl. YA 8321 m 
Das Käiserliche Friedens Freudenmahl, Bild, Einbl. YA 8321 m </t>
  </si>
  <si>
    <t xml:space="preserve">Das Käiserliche Friedens Freudenmahl, Text
Das Käiserliche Friedens Freudenmahl, Bild</t>
  </si>
  <si>
    <t xml:space="preserve">Unterthänigster Friedens-Wunsch/ Dem Durchlauchtigsten/ Hoochgebornen Fürsten ... Herrn Johann Georgen/ Hertzogen zu Sachsen ... und Churfürsten ... Seinem Gnädigsten Churfürsten und Herrn:</t>
  </si>
  <si>
    <t xml:space="preserve">Pon Vc 3496, QK</t>
  </si>
  <si>
    <t xml:space="preserve">Mamitzsch, Andreas
Zencker, Samuel</t>
  </si>
  <si>
    <t xml:space="preserve">Gera</t>
  </si>
  <si>
    <t xml:space="preserve">3:627619Q</t>
  </si>
  <si>
    <t xml:space="preserve">http://dfg-viewer.de/show/?id=8071&amp;tx_dlf[id]=http%3A%2F%2Fdigitale.bibliothek.uni-halle.de%2Foai%2F%3Fverb%3DGetRecord%26metadataPrefix%3Dmets%26identifier%3D171113&amp;tx_dlf[page]=3</t>
  </si>
  <si>
    <t xml:space="preserve">40 S. </t>
  </si>
  <si>
    <t xml:space="preserve"> Als auf Ihrer Churfürstl. Durchl. ... Befehl und Verordnung/ nach dem von Gott erlangten allgemeinen Reichs-Frieden ... das angestellte Loob- und Dank-Fest/ Am Tage Marien Magdalenen ... im gantzem ... Churfürstenthum/ hoochfeierlich gehalten ... ward / Seiner Churfürstl. Durchl. ... in Dreßden unterthänigst abgeleget. Nunmehro aber ... vermehret und verbessert ... überreichet Von M. Samuel Zenkern/ von Delitzsch/ Käiserl. gekr. Poeten/ und ... Regiments Predigern ... </t>
  </si>
  <si>
    <t xml:space="preserve">53679765X</t>
  </si>
  <si>
    <t xml:space="preserve">http://digitale.bibliothek.uni-halle.de/download/webcache/1504/405703</t>
  </si>
  <si>
    <t xml:space="preserve">Unterthänigster Friedens-Wunsch/ Dem Durchlauchtigsten/ Hoochgebornen Fürsten ... Herrn Johann Georgen/ Hertzogen zu Sachsen ... und Churfürsten ... Seinem Gnädigsten Churfürsten und Herrn:, Pon Vc 3496, QK</t>
  </si>
  <si>
    <t xml:space="preserve">Coburgisches Friedens-Danck-Fest</t>
  </si>
  <si>
    <t xml:space="preserve">Xb 1898</t>
  </si>
  <si>
    <t xml:space="preserve">Franck, Michael</t>
  </si>
  <si>
    <t xml:space="preserve">Hattenhauer 2007</t>
  </si>
  <si>
    <t xml:space="preserve">S. 511–538</t>
  </si>
  <si>
    <t xml:space="preserve">23:301290N</t>
  </si>
  <si>
    <t xml:space="preserve">http://diglib.hab.de/drucke/xb-1898/start.htm</t>
  </si>
  <si>
    <t xml:space="preserve">35 Bl.</t>
  </si>
  <si>
    <t xml:space="preserve">Franziska Bauer / Sabine Ehrmann-Herfort / Kathrin Fischeidl</t>
  </si>
  <si>
    <t xml:space="preserve"> in sehr Volckreicher Versammlung mit sonderbaren solennitäten und vielen Freüden-Thränen [!] gehalten am Tage Sebaldi, war der 19. Tag des AugustMonats ... 1650. ; ... Zu steter danckbarlicher Erinnerung ... an den Tag gegeben / Durch Michael Francken von Schleüsingen/ jetzo bey der StadSchul zu Coburgk Mitarbeitern</t>
  </si>
  <si>
    <t xml:space="preserve">In Verlegung des Autoris.</t>
  </si>
  <si>
    <t xml:space="preserve">Ausführliche Beschreibung Friedensvorstellungen
außerdem Abbildung des Marktplatzes und der Anordnung der Anwesenden bei der Feier 
</t>
  </si>
  <si>
    <t xml:space="preserve">http://friedensbilder.gnm.de/sites/default/files/kupferstich.tif
http://friedensbilder.gnm.de/sites/default/files/notensaetze1.tif
http://friedensbilder.gnm.de/sites/default/files/notensaetze2.tif
http://friedensbilder.gnm.de/sites/default/files/notensaetze3.tif
http://friedensbilder.gnm.de/sites/default/files/titelblatt_6.tif</t>
  </si>
  <si>
    <t xml:space="preserve">aus: „Friedens-Seufftzer und Jubel-Geschrey. Music for the Peace of Westphalia 1648“, Weser-Renaissance, Manfred Cordes, 1998, cpo 999 605-2
Co-Produktion: Westdeutscher Rundfunk Köln
CD 2, Track 14
</t>
  </si>
  <si>
    <t xml:space="preserve">Der seit 1644 an der Stadtschule in Coburg tätige Lehrer Michael Franck (1609–1667) verfasst eine Festbeschreibung in Reimform, die das Coburger Dankfest anlässlich des Nürnberger Friedensexekutionskongresses zum Thema hat. Er selbst bezeichnet sie als „Friedens-Dank-Gedicht“. Das seit 1524 evangelische Coburg feiert am 19. August 1650 auf Initiative des regierenden Fürsten Friedrich Wilhelm II. (1603–1669) öffentlich ein großes Freudenfest zum endgültigen Abschluss des Friedens. Aufgrund der Belagerung durch Truppen Wallensteins 1632 und des Überfalls durch Graf Lamboy zwei Jahre später hatte sich die Bevölkerungs- und Häuserzahl der Stadt halbiert. Die Euphorie angesichts des Kriegsendes spiegelt sich auch in der Festbeschreibung wider. Neben zehn Ehrgedichten auf den Verfasser, wird die Darstellung der Feierlichkeiten durch eine Widmung an den Geheimen Rat der Stadt, den Kanzler, die Kommandanten und Zünfte eingeleitet. Der Text wird dem sächsischen Gesandten August Carpzov (1612–1683) zugeeignet, der an den Verhandlungen in Westfalen und Nürnberg teilnahm.
In der Beschreibung stellt Franck zunächst die Probleme Europas aus einer lutherischen Perspektive dar. Neben dem Kriegsverlauf und dem Erhalt der Friedensbotschaft, beschreibt er die offizielle Verkündigung des Vertrages. Im Anschluss folgen Ausführungen über den Ablauf des Festes sowie Wünsche und Vorstellungen, die an die neue Zeit geknüpft werden.
Auf dem Stich zu Beginn der Veröffentlichung ist eine Choreographie des Festgeschehens auf dem Coburger Marktplatz zu sehen. In der Mitte des Platzes hat sich der „Musicanten Chor“ aufgestellt. Vermutlich sind es Schüler, die sich in verschiedenen Grüppchen im Kreis um den Leiter des Ensembles scharen. Gesungen wird aus Notenbüchern, es sind Sänger und Bläser zu erkennen, die beim Musizieren offenbar alternieren.
In Coburg feiert eine ganze Stadt, alle Generationen und Stände kommen zusammen. Man trifft sich nicht nur in den Kirchen zum Gottesdienst, sondern auch im Schlosshof, auf dem Marktplatz und bei der Festprozession durch die Stadt. Eine „Cantorey“ musiziert, begleitet von zahlreichen Instrumenten. Hauptsächlich werden gemeinsam Choräle gesungen. Musik spielt beim Coburger Friedens-Danck-Fest eine zentrale Rolle. Anders als bei anderen Friedensfesten hat die Musik hier keine repräsentative Aufgabe, sondern fungiert als zentrale Form des Gotteslobs, das die verschiedenen Bevölkerungsgruppen der Stadt verbindet. Musiziert wird im Kreise der Gemeinschaft. Die beiden einfachen vierstimmigen Choralsätze am Schluss der Schrift stehen exemplarisch für diese eher schlichte Form der Musikpraxis. Außerdem resümieren die Texte dieser Choralsätze die Friedenszeit als Folge göttlichen Handelns.
Franck stellt heraus, dass der Krieg als Strafe Gottes anzusehen ist, die den Menschen aufgrund ihres sündhaften Verhaltens auferlegt wird. Nur durch Frömmigkeit und Buße könne der Frieden gesichert werden, dessen Zeit durch Ruhe, freie Religionsausübung und das Ende der Kriegslasten gekennzeichnet ist. Das Friedensfest in Coburg steht unter der Maxime „Der Friede ernährt, Krieg verzehrt“. Weitere Friedenszeichen in Francks Festbeschreibung sind die Taube mit dem Olivenblatt und die grünen Kränze der Jugend.
&amp;nbsp;
FB/SEH
</t>
  </si>
  <si>
    <t xml:space="preserve">Friedenszeit
Frieden durch göttliches Handeln</t>
  </si>
  <si>
    <t xml:space="preserve">Coburgisches Friedens-Danck-Fest, Xb 1898</t>
  </si>
  <si>
    <t xml:space="preserve">https://friedensbilder-neu.gnm.de/sites/default/files/2019-06/Xb-1898_01_0.png
https://friedensbilder-neu.gnm.de/sites/default/files/2019-06/Xb-1898_02_0.png</t>
  </si>
  <si>
    <t xml:space="preserve">http://friedensbilder.gnm.de/content/frieden_foto_order1c4314</t>
  </si>
  <si>
    <t xml:space="preserve">Hamburgisches Fried- und Freudenfeur von dem Edlen und Mannfesten Herrn Titus Hektor Wolbestalten Lieutenant bei der Statt  Hamburg und berühmten Feurwercken künstlich verfärtiget und nach glüklich beschlossenen allgemeinen Friede in Teutschlandt etc.</t>
  </si>
  <si>
    <t xml:space="preserve">M: Lo Kapsel 9 (29)</t>
  </si>
  <si>
    <t xml:space="preserve">Rist, Johann
Rebenlein, Jacob</t>
  </si>
  <si>
    <t xml:space="preserve"> 23:249812D</t>
  </si>
  <si>
    <t xml:space="preserve">http://diglib.hab.de/drucke/lo-kapsel-9-29/start.htm</t>
  </si>
  <si>
    <t xml:space="preserve">5 in: Yf 6803</t>
  </si>
  <si>
    <t xml:space="preserve">http://resolver.staatsbibliothek-berlin.de/SBB00018A0600000000</t>
  </si>
  <si>
    <t xml:space="preserve">12 Bl.</t>
  </si>
  <si>
    <t xml:space="preserve">http://diglib.hab.de/drucke/lo-kapsel-9-29/00005.jpg
http://friedensbilder.gnm.de/sites/default/files/Rist_0.png</t>
  </si>
  <si>
    <t xml:space="preserve">Hamburgisches Fried- und Freudenfeur von dem Edlen und Mannfesten Herrn Titus Hektor Wolbestalten Lieutenant bei der Statt Hamburg und berühmten Feurwercken künstlich verfärtiget und nach glüklich beschlossenen allgemeinen Friede in Teutschlandt etc., M: Lo Kapsel 9 (29)</t>
  </si>
  <si>
    <t xml:space="preserve">Hamburgisches Fried- und Freudenfeur von dem Edlen und Mannfesten Herrn Titus Hektor Wolbestalten Lieutenant bei der Statt Hamburg und berühmten Feurwercken künstlich verfärtiget und nach glüklich beschlossenen allgemeinen Friede in Teutschlandt etc.</t>
  </si>
  <si>
    <t xml:space="preserve">Völlige Friedens-Subscription</t>
  </si>
  <si>
    <t xml:space="preserve">HB 199, Kapsel 1220</t>
  </si>
  <si>
    <t xml:space="preserve">Laufhütte 1998
Harms</t>
  </si>
  <si>
    <t xml:space="preserve">S. 351
Bd. II, S. 570–571, Nr. 327</t>
  </si>
  <si>
    <t xml:space="preserve">23:675890S</t>
  </si>
  <si>
    <t xml:space="preserve">http://diglib.hab.de/drucke/ih-247/start.htm</t>
  </si>
  <si>
    <t xml:space="preserve"> 39 x 30 </t>
  </si>
  <si>
    <t xml:space="preserve">IH 247</t>
  </si>
  <si>
    <t xml:space="preserve">nach S. 1053 (Kopie und ohne Typendruck)</t>
  </si>
  <si>
    <t xml:space="preserve">Geschehen zu Nürnberg/ auf der Burg/ in der Käiser-Stuben/ am 1. Sontag nach Trinit. Im Jahr 1650</t>
  </si>
  <si>
    <t xml:space="preserve">53718869X</t>
  </si>
  <si>
    <t xml:space="preserve">Für eine Beschreibung des Bildinhaltes siehe&amp;nbsp;HB 198, Kapsel 1220, dort aber versehen mit einem Gedicht von Johann Klaj.
</t>
  </si>
  <si>
    <t xml:space="preserve">Völlige Friedens-Subscription,
Geschehen zu Nürnberg/ auf der Burg/ in der Kaiser-Stuben/ am I. Sontag
nach Trinit. Im Jahr 1650.
Des Friedens mit Teutschland Vermählungsfest.
Der Fried war zwar verlobt mit Teutschland seiner Trauten;
doch war der Tag noch fern/ an dem sie solte brauten
und werden heimgeführt; doch gieng es noch was hart/
bis der Vermählungsbrief gar abgefasset ward.
Da fuhr der Schluß zu Schloß auf jenen Felsenhügel
der edlen Neronsburg. Der Fried nahm Taubenflügel/
flog' eilends Himmel-ab/ von Eintracht einbegleitt;
Gerechtigkeit zog vor/ und nach die Ewigkeit.
Sie traten vor den Tisch/ wo Teutschland schön geschmücket
mit ihren Werbern saß. Hand wurd auf Hand gedrücktet.
Bald schickt man das Papier/ den Friedvermälungsbrief
den Werberhäusern zu. Mars/ der hier gar nicht schlief/
kam/ goß für Dinte Blut in ihre Schreibgefässe/
Daß etwan noch allhier die Feder sich vergässe/
und Krieg für Frieden schrieb. Was halfs? weil GOTT so gut
verwandelt er in Oel das eingegossne Blut.
Der Brief kommt wieder ein/ ist friedlich unterschrieben.
Der ganze Hauf folgt nach/ sie schreiben lauter Lieben.
Was donnert so? was knallt? Es wirft itzt aus der Hand
den Donner Jupiter/ der Teutschland so verbrandt/
raufft seinem Adler aus die Feder/ die itzt schreibet.
Der Kriegerische Löw/ der Mars (wer hätt's gegläubet?)
schmeist seinen Degen weg/ und fasst den Oelzweig an/
und schreibet Fried damit/ so gut er immer kan.
Frag' einer/ wo man findt die Götterschaar bey haufen?
Schau sie versammlet hier/ du darfst nicht ferne laufen.
Sie stimmen allzumahl zum Frieden überein.
Der wehrte Neronsberg must ihr Olympus seyn.
Bisher er Nürnberg hieß; nun soll er Friedberg heissen.
Der Anfang fieng hier an/ den Frieden einzuweissen;
Hier geht der Schluß zu End. O aller Städte Stadt
O Tag/ der Tage Kron! O aller Rähte Raht!
Ihr Friedenstifter ihr/ wo findet man satt Zungen/
daß eures Witzes Lob werd würdiglich besungen?
Ihr lebt nun in die Wett mit unsrer Friedenszeit.
Euch windt die Teutsche Welt den Kranz der Ewigkeit.
Willkommen/ güldner Fried/ du Fürst von Götterstammen/
Prinz von Oranien! Wir ehren deine Flammen/
die Teutschland gönstig seyn. Die ganze Stadt erschallt.
Die Echo hört den Ruf/ rufft wieder aus dem Wald.
Viel weinen gar/ vor Freud. Wir wollen dir Teutschinne
das Fräulein legen bey; Bleib nur/ weich nicht von hinne/
sey König über uns. So sagte das Gebäum
zum Oelbaum*: So sagt auch mein treuer Wunsch und Reim.
&amp;nbsp;
*im B. der Richt. c.9.v.8.[fn]Die Bäume gingen hin, daß sie einen König über sich salbten, und sprachen zu dem Ölbaum: Sei unser König! [/fn]
S. B.
MATW
</t>
  </si>
  <si>
    <t xml:space="preserve">http://friedensbilder.gnm.de/sites/default/files/HB199.tif</t>
  </si>
  <si>
    <t xml:space="preserve">Die schwedischen und kaiserlichen Delegaten bestätigten die Schlussakte des Friedensexekutionskongresses im Kaisersaal der Nürnberger Burg. Die beiden Hauptbevollmächtigten&amp;nbsp;Ottavio Piccolomini&amp;nbsp;und Pfalzgraf&amp;nbsp;Karl Gustav von Schweden hatten den Vertrag bereits in ihren Quartieren unterzeichnet, weshalb deren Stühle im Bild&amp;nbsp;–&amp;nbsp;beziffert mit den Nummern 42 und 43&amp;nbsp;–&amp;nbsp;freigeblieben sind. Die Radierung diente sowohl als Illustration im Theatrum Europaeum, als auch für mehrere Gedenkblätter.
Das vorliegende Beispiel ist mit Versen Sigmund von Birkens versehen und knüpft an Dichtungen Johann Klajs (HB 24659, Kapsel 1220) an. Birken führt den&amp;nbsp;bereits in früheren Blättern eingeführten Ehetopos zur Beschreibung der Friedensverhandlungen weiter und bezeichnete die Szene als ”Des Friedens mit Teutschland Vermählungsfest“.
Auch losgelöst vom Text reiht sich das Blatt in eine Vielzahl Darstellungen ein, die das Vertragsdokument im diplomatischen Prozess zeigen. Konstitutive Darstellungselemente bilden die Schreibwerkzeuge, die Dokumente – die in unserem Beispiel kollationiert werden – und die anwesenden Gesandten, Sekretäre und Schreiber.
ALS
</t>
  </si>
  <si>
    <t xml:space="preserve">Völlige Friedens-Subscription, HB 199, Kapsel 1220</t>
  </si>
  <si>
    <t xml:space="preserve">https://friedensbilder-neu.gnm.de/sites/default/files/2019-06/HB199_0.png</t>
  </si>
  <si>
    <t xml:space="preserve">http://friedensbilder.gnm.de/content/frieden_foto_order20c4ee</t>
  </si>
  <si>
    <t xml:space="preserve">Friede Erlangtes Teutschland / In einem Schauspiel auffgeführet und beschrieben Von Johan Henrich Hadewig </t>
  </si>
  <si>
    <t xml:space="preserve">8 P DRAM III, 940</t>
  </si>
  <si>
    <t xml:space="preserve">Verfasser 
Drucker
Verleger</t>
  </si>
  <si>
    <t xml:space="preserve">Hadewig, Johann Heinrich
Grimm, Georg Friedrich
Waesberghe, Joannes Janssonius van</t>
  </si>
  <si>
    <t xml:space="preserve">1:644783P</t>
  </si>
  <si>
    <t xml:space="preserve">http://gdz.sub.uni-goettingen.de/dms/load/img/?PID=PPN776467107</t>
  </si>
  <si>
    <t xml:space="preserve">11 Musica Helmst. (2)</t>
  </si>
  <si>
    <t xml:space="preserve">72 Bl.</t>
  </si>
  <si>
    <t xml:space="preserve">Gedruckt durch Georg Friederich Grimm/ In Verlegung Johann Jansons von Br. </t>
  </si>
  <si>
    <t xml:space="preserve">http://friedensbilder.gnm.de/sites/default/files/Hadewig.jpg</t>
  </si>
  <si>
    <t xml:space="preserve">Das Schauspiel des protestantischen Theologen Johann Heinrich Hadewig (1623–1671) behandelt in elf Aufzügen den Wiedereinzug des Friedens in Deutschland nach dem Dreißigjährigen Krieg. Gewidmet hat Hadewig das Stück der schwedischen Königin Christine. Neben dem Schauspiel finden sich in der Veröffentlichung noch zehn Lobgedichte auf den Verfasser Hadewig, der in Lübbecke lebte und wirkte. Das Hochstift Minden ging 1648 als fortan säkularisiertes Fürstentum an Brandenburg. Es fungierte als Ausgleich für die Abtretung Vorpommerns an Schweden. Die Intention des Stücks wird bereits durch das Figurenensemble deutlich: Neben den Propheten treten der Personifikationen von Glaube, Liebe, Gottseligkeit, Gerechtigkeit und Keuschheit die Gottlosigkeit, Trunkenheit, Pest und Hunger personifiziert gegenüber. Die Kriegsfolgen und -gründe werden den Visionen der Friedenszeit gegenübergestellt. Zugleich kommt darin die Überzeugung zum Ausdruck, dass der Friede nur durch Glauben an Gott und seine Gnade erreicht werden kann. Es liegt in Gottes Hand seine Strafe, den Krieg, zu beenden. Der Friede ist folglich kein Ergebnis von politischen Entscheidungen, sondern gottgegeben. So steht auch am Ende dieses Schauspiels: „Gott allein [sei] die Ehre“.&amp;nbsp;
FB
</t>
  </si>
  <si>
    <t xml:space="preserve">Friede Erlangtes Teutschland, 8 P DRAM III, 940</t>
  </si>
  <si>
    <t xml:space="preserve">https://friedensbilder-neu.gnm.de/sites/default/files/2019-06/8-P-DRAM-III-940.png</t>
  </si>
  <si>
    <t xml:space="preserve">Friede Erlangtes Teutschland</t>
  </si>
  <si>
    <t xml:space="preserve">http://friedensbilder.gnm.de/content/frieden_foto_order20c796</t>
  </si>
  <si>
    <t xml:space="preserve">Poetische Entdeckung der Ehren-Pforte Welche Dem Allerdurchleuchtigsten ... Römischen Keyser ... Ferdinand dem Dritten ...nach geschlossenen allgemeinen Teutschen Frieden ... von einem Löbl. Rath daselbst auffgerichtet worden</t>
  </si>
  <si>
    <t xml:space="preserve">1.B.8345,angeb.32</t>
  </si>
  <si>
    <t xml:space="preserve">Balduin, Christian Adolf
Fischer, Christoff</t>
  </si>
  <si>
    <t xml:space="preserve">Regensburg</t>
  </si>
  <si>
    <t xml:space="preserve">1:085718L </t>
  </si>
  <si>
    <t xml:space="preserve">http://digital.slub-dresden.de/werkansicht/dlf/61586/1/</t>
  </si>
  <si>
    <t xml:space="preserve">Gedruckt zu Regenspurg bey Christoff Fischer/ 1635. </t>
  </si>
  <si>
    <t xml:space="preserve">http://digital.slub-dresden.de/fileadmin/data/359241980/359241980_tif/jpegs/00000003.tif.large.jpg</t>
  </si>
  <si>
    <t xml:space="preserve">Poetische Entdeckung der Ehren-Pforte Welche Dem Allerdurchleuchtigsten ... Römischen Keyser ... Ferdinand dem Dritten ...nach geschlossenen allgemeinen Teutschen Frieden ... von einem Löbl. Rath daselbst auffgerichtet worden, 1.B.8345,angeb.32</t>
  </si>
  <si>
    <t xml:space="preserve">Hertzseuffzende Friedens-Begierde From[m]er, Gottseliger und Friedliebender Christen:</t>
  </si>
  <si>
    <t xml:space="preserve">Xb 6904</t>
  </si>
  <si>
    <t xml:space="preserve">Verfasser </t>
  </si>
  <si>
    <t xml:space="preserve">Westenhausen, Johann</t>
  </si>
  <si>
    <t xml:space="preserve">23:683520Z </t>
  </si>
  <si>
    <t xml:space="preserve">Yi 5276 </t>
  </si>
  <si>
    <t xml:space="preserve">nicht identisch mit Exemplar von der HAB, unterschiedliche Widmungsempfänger</t>
  </si>
  <si>
    <t xml:space="preserve">12 Bl. </t>
  </si>
  <si>
    <t xml:space="preserve"> in welcher Der unwiderbringliche Schaade/ welchen der Blutdürstige Krieges-Gott hin und wider angerichtet und annoch verübet/ erwogen/ hingegen der herrliche Nutzen des Edlen Friedens betrachtet wird / ... zum Druck verfertiget Von Johan[n] Westenhausene/ aus Mechlenburg/ der Heil. Schrifft und reinen Dichter-Kunst Treu-gefliessenen</t>
  </si>
  <si>
    <t xml:space="preserve">http://friedensbilder.gnm.de/sites/default/files/Westenhausen.jpg</t>
  </si>
  <si>
    <t xml:space="preserve">Jan Schlürmann: Der Zweite Nordische Krieg
</t>
  </si>
  <si>
    <t xml:space="preserve">Johann Westenhausen schildert in seiner Antikriegsdichtung von 1659 den Verlauf des Zweiten Nordischen Krieges und geht hierbei sowohl chronologisch als auch nach topographischen Gesichtspunkten vor. Er beginnt mit dem Einmarsch der Schweden in Polen und der Auseinandersetzung zwischen Dänemark und Schweden um Holstein. Die Ausbreitung des Krieges wird beklagt. Die einzige bekannte Information über Westenhausen, seine Tätigkeit als Dichter und Theologe in Mecklenburg, lässt sich aus dem Titelblatt entnehmen. Heute sind zwei Varianten des Drucks erhalten, eine mit einer gedruckten Widmung an den Rat der Stadt Zürich, die andere an den Rat der Stadt Bern. Möglicherweise war Westenhausen als Glaubensflüchtling oder mit einer Gesandtschaft in die Eidgenossenschaft gekommen. Eventuell stellen die Widmungen auch eine Verbindung zum Villmergerkrieg her, einen konfessionellen Konflikt zwischen reformierten und katholischen Orten der Eidgenossenschaft.
Das Friedensgedicht schließt mit einem vierstrophigen „Schluss-Seuffzer“. Bereits im Titel spricht Westenhausen explizit den „frommen, gottseligen und friedliebenden Christen“ an und stellt Gott als Friedensbringer heraus.
FB&amp;nbsp;
</t>
  </si>
  <si>
    <t xml:space="preserve">Hertzseuffzende Friedens-Begierde From[m]er, Gottseliger und Friedliebender Christen:, Xb 6904</t>
  </si>
  <si>
    <t xml:space="preserve">https://friedensbilder-neu.gnm.de/sites/default/files/2019-06/Xb-6904.png</t>
  </si>
  <si>
    <t xml:space="preserve">http://friedensbilder.gnm.de/content/frieden_foto_order1c542f</t>
  </si>
  <si>
    <t xml:space="preserve">Europaeischer Glück- und FriedensWunsch:</t>
  </si>
  <si>
    <t xml:space="preserve">Lo 263 (1)</t>
  </si>
  <si>
    <t xml:space="preserve">Verfasser 
Drucker</t>
  </si>
  <si>
    <t xml:space="preserve">Bassewitz, Caspar Volraht von
Güssow, Andreas</t>
  </si>
  <si>
    <t xml:space="preserve">Stendal</t>
  </si>
  <si>
    <t xml:space="preserve">23:231295H</t>
  </si>
  <si>
    <t xml:space="preserve">14 Bl. </t>
  </si>
  <si>
    <t xml:space="preserve"> welchen Allen Christlichen Potentaten in Europa, Insonderheit Der Römisc hen Käys. auch zu Ungarn und Böhmen Königlichen Majestäten ... offeriret / Caspar Volraht von Baßeviz ... </t>
  </si>
  <si>
    <t xml:space="preserve">Europaeischer Glück- und FriedensWunsch:, Lo 263 (1)</t>
  </si>
  <si>
    <t xml:space="preserve"> Das von süsser Friedens-Ruh schlaffend/ und über heuntigen Welt- und Kriegs-Lauff Träumende Teutschland</t>
  </si>
  <si>
    <t xml:space="preserve">Einbl. YA 11020 m</t>
  </si>
  <si>
    <t xml:space="preserve">Weller</t>
  </si>
  <si>
    <t xml:space="preserve">Bd. I, S. 415, Nr. 773</t>
  </si>
  <si>
    <t xml:space="preserve">1:620859W</t>
  </si>
  <si>
    <t xml:space="preserve">https://www.gbv.de/vd17-cms/vd17_image_full_view?zuid=555ab1f6-f5a7-4666-87b2-af89fbb08b51</t>
  </si>
  <si>
    <t xml:space="preserve">38 x 32,5</t>
  </si>
  <si>
    <t xml:space="preserve">Das um 1680 von einem heute unbekannten Künstler gestochene Blatt lässt sich im weitesten Sinne als Lehrgedicht bezeichnen und findet sich eingebunden in verschiedenen Foliobänden. In 30 Verszeilen wird der Status Quo der europäischen Mächte und der Deutsche Wunsch nach Frieden in einem metaphorischen Gedicht versinnbildlicht. Das Dargestellte zu beschreiben hat somit bereits der Text übernommen, der mit Hilfe einer Buchstabenlegende das gesamte Blatt erklärt. Dabei handelt es um die Personifikation Deutschlands, die im sanften Schlaf des Friedens schlummert und deren Traum sich vor unseren Augen visualisiert. Dem ikonographisch unerfahrenen Betrachter verhilft die textuelle Legende jedoch nur bedingt weiter, da der Autor lediglich die damals üblichen Metaphern und Symboliken beschreibt.Das befriedete Deutschland sitzt in Person einer weiblichen Figur mit einem Adler auf einem Thron und ist in einen leichten Schlaf versunken. Schweden tritt in Form des Löwen in Erscheinung, der des Kämpfens müde und durch den Ölzweig nun befriedet ist.[fn]Ein Anzeichen dafür, dass die Friedensverträge von Nimwegen geschlossen und der&amp;nbsp;Niederländisch-Französische Krieg (1672-1679) bereits beendet gewesen ist.[/fn] Doch gerade als sich das Römische Reich Deutscher Nationen in Sicherheit wähnt, da wird es unsanft von einer Schreckensvision heimgesucht. Der Halbmond im Osten und der Hahn im Westen, links und rechts im Bild, bedrohen den Frieden in Europa erneut. Gemeint sind hiermit zum einen der Osmane, "Der einen Sichel/ Mond in seinen Fahnen ehret" und zum anderen das französische Gallien, das "in Römer-Sprach den Hanen-Namen führet".&amp;nbsp;Diese Bedrohung, die bereits durch blutige See- und Landschlachten auf der linken Bildseite verdeutlicht wird, versetzt die anderen europäischen Mächte in Unruhe. Diese befinden sich im Bildzentrum, verhandeln bereits miteinander und versuchen auf Deutschland einzugehen. Bei den fünf Herrschaften handelt es sich nicht um die im Text genannten Flüsse, sondern um die mit diesen zu identifizierenden Nationen Spanien, Niederlande, England, Ungarn und die Deutschen Lande. Beim Ausblick auf die neuen drohenden Gefahren möchte das personifizierte Deutschland lieber weiterschlafen und hofft auf die Beständigkeit des Friedens. Eine Tatsache, die sich nicht erfüllt sollte: 1682 wurde der langjährige Friedensvertrag mit dem Osmanischen Reich nicht weiter verlängert, weshalb sich das Heilige Römische Reich ab 1683 im&amp;nbsp;Großen Türkenkrieg verwickelt sah. Ermutig zu seinem Zug gegen Europa wurde&amp;nbsp;Sultan&amp;nbsp;Mehmed&amp;nbsp;IV.&amp;nbsp;unter anderem durch Ludwig XIV. von Frankreich, dessen&amp;nbsp;antihabsburgischen Ambitionen im Pfälzischen Erbfolgekrieg (1688-1697) mündeten.[fn]Die Hinweise auf das Zusammenspiel von Ludwig XIV. und Mehmed IV. legen nahe, dass der Stich erst Anfang&amp;nbsp; 1683 entstanden sein kann.[/fn]MATW</t>
  </si>
  <si>
    <t xml:space="preserve">Das von süsser Friedens-Ruh schlaffend/ und über heuntigen Welt-&amp;nbsp;und Kriegs-Lauff Träumende&amp;nbsp;Teutschland.Die nach viel Jahren Lauff vom Kriegen muede NachtDie hatte (1.) Teutschland nun zur sanfften Ruh gebrachtEs kuessten sich mit Ihr Gerechtigkeit und FriedeDer (2.) Adler un der (3.) Loew als langen Kaempffens muedeDie druckten ihre Schoß; So schlieff sie unerwecktKein Heer-Trompeten-Klang noch Trommel sie erschreckt.Sie lag in stiller Ruh und dachte wol zu lebenGeringste Anlaß nicht zur Unruh mehr zu geben;Indem sie nun so ruht (4.) vom Frieden eingewiegtErsieht sie diesen Traum der hier vor Augen liegt.Deß blassen (5.) Mondes Schein stund' Ihr in Ost entgegenVon Westen hoerte sie ein (6.) Hanen-Kraehen regenWorvon Europens Volck in Harnisch ward gebracht;Der den die (7.) Iber traenckt und der die Maas (8.) bewachtDer an der (9.) Temse wohnt und den die (10.) Donau netzetAuch der am (11.) Elb und Rhein sich eh deß hat ergoetzetDie giengen starck zu Rath vor ihrem Angesicht;Indem erwachte Sie und sah bey hellem LiechtDie Warheit deß Gesichts so ihr die Ruh zerstoeret:Der einen Sichel-Mond in seinen Fahnen ehretUnd der in Roemer-Sprach den Hanen-Namen fuehretDie hatten See und Land mit ihren Volck beruehrtDer Rhein (12.) war nicht mehr rein von Blut gefuellten FluessenDer (13.) Pohl und Ungar schwam in herben Zaehren-GuessenDer weite See war roth und duester anzuseh'nVon einer (14.) scharffen Schlacht so allbereit geschehn.Ach! seufftzte Teutschland aus: Wo seyt ihr meine Fürsten?Und du mein Himmels-Fuerst! Sollstdu nach Blut dann duersten:Ach! Schone Vatter Schon! Erstatte nur die RuhUnd laß mich doch einmahl im Friede schlaffen zu.So schlieff sie wiederum ein.MATW</t>
  </si>
  <si>
    <t xml:space="preserve">https://www.gbv.de/durl/555ab1f6-f5a7-4666-87b2-af89fbb08b51?width=0</t>
  </si>
  <si>
    <t xml:space="preserve">Möglicherweise das Entstehungsdatum anpassen --&amp;gt; 1683Möglicherweise den Friedenstypus anpassen --&amp;gt; Ordnungsvorstellungen</t>
  </si>
  <si>
    <t xml:space="preserve">Das von süsser Friedens-Ruh schlaffend/ und über heuntigen Welt- und Kriegs-Lauff Träumende Teutschland, Text , Einbl. YA 11020 m
Das von süsser Friedens-Ruh schlaffend/ und über heuntigen Welt- und Kriegs-Lauff Träumende Teutschland, Bild, Einbl. YA 11020 m</t>
  </si>
  <si>
    <t xml:space="preserve">Das von süsser Friedens-Ruh schlaffend/ und über heuntigen Welt- und Kriegs-Lauff Träumende Teutschland, Text 
Das von süsser Friedens-Ruh schlaffend/ und über heuntigen Welt- und Kriegs-Lauff Träumende Teutschland, Bild</t>
  </si>
  <si>
    <t xml:space="preserve">Sieg-gepränge/ Des Nach vielen blutigen Unfrieds-Jahren wiederumb eingezognen Friedens:</t>
  </si>
  <si>
    <t xml:space="preserve"> QuN 87 (8)</t>
  </si>
  <si>
    <t xml:space="preserve">23:647358Y</t>
  </si>
  <si>
    <t xml:space="preserve">7 Bl. </t>
  </si>
  <si>
    <t xml:space="preserve"> Dem befriedigten Teutschland in einem Helden-gedicht vorgestellet</t>
  </si>
  <si>
    <t xml:space="preserve">Sieg-gepränge/ Des Nach vielen blutigen Unfrieds-Jahren wiederumb eingezognen Friedens:,  QuN 87 (8)</t>
  </si>
  <si>
    <t xml:space="preserve">Die an den Mars Abentheuerlich-verkuppelte Schöne Irene : Ja diß ist nun bekand, der Grosse Ludewig Beschließt das seltne Band Des Friedens mit dem Krieg!</t>
  </si>
  <si>
    <t xml:space="preserve"> AB 175957</t>
  </si>
  <si>
    <t xml:space="preserve">zwischen 1701 und 1702</t>
  </si>
  <si>
    <t xml:space="preserve">http://vd18.de/de-ulbsa-vd18/content/pageview/6986645</t>
  </si>
  <si>
    <t xml:space="preserve">http://vd18.de/de-ulbsa-vd18/image/view/6986645?w=1304</t>
  </si>
  <si>
    <t xml:space="preserve">Die an den Mars Abentheuerlich-verkuppelte Schöne Irene ,  AB 175957</t>
  </si>
  <si>
    <t xml:space="preserve">Die an den Mars Abentheuerlich-verkuppelte Schöne Irene </t>
  </si>
  <si>
    <t xml:space="preserve">Ein Gespräch, So von Drey Sächsischen Bauren über den Zustand ihres Landes, Und über den von beyden Königl. Majestäten, ... Unverhofft und erwünscht-geschlossenen Frieden;</t>
  </si>
  <si>
    <t xml:space="preserve">Hist.Suec.404,misc.4</t>
  </si>
  <si>
    <t xml:space="preserve">http://digital.slub-dresden.de/werkansicht/dlf/104611/1/</t>
  </si>
  <si>
    <t xml:space="preserve"> Wie auch über die Pommerische Bauer-Freude, gehalten, Als sie (auff dem Wege nach der Stadt) zusammen kamen</t>
  </si>
  <si>
    <t xml:space="preserve">Besonderheit hier ist die Gesprächsituation zwischen den drei Bauern, außerdem ist der Text komplett in "Volkssprache" verfasst</t>
  </si>
  <si>
    <t xml:space="preserve">http://digital.slub-dresden.de/fileadmin/data/377344869/377344869_tif/jpegs/00000003.tif.large.jpg</t>
  </si>
  <si>
    <t xml:space="preserve">Ein Gespräch, So von Drey Sächsischen Bauren über den Zustand ihres Landes, Und über den von beyden Königl. Majestäten, ... Unverhofft und erwünscht-geschlossenen Frieden;, Hist.Suec.404,misc.4</t>
  </si>
  <si>
    <t xml:space="preserve">Geburtstag Deß Friedens/ Oder rein Reimteutsche Vorbildung/ Wie der großmächtigste Kriegs- und Siegs-Fürst Mars auß dem längstbedrängten und höchstbezwängten Teutschland / seinen Abzug genommen / mit Trummeln/ Pfeiffen/ Trompeten/ Heerpaucken/ Mußqueten und Stücken Salven begleitet / hingegen die mit vielmalhunderttausend feurigen Seuftzen gewünschte und nunmehrerbetene goldgüldene Irene mit Zincken/ Posaunen/ Flöten/ Geigen/ Dulcinen/ Orgeln/ Anziehungen der Glocken/ Feyertägen/ Freudenmalen/ Feuerwercken/ Geldaußtheilungen und andern Danckschuldigkeiten begierigst eingeholet und angenommen worden:</t>
  </si>
  <si>
    <t xml:space="preserve">4°St. 569,2</t>
  </si>
  <si>
    <t xml:space="preserve">Verfasser
Verleger
Komponist</t>
  </si>
  <si>
    <t xml:space="preserve">Klaj, Johann
Staden, Sigmund Theophil</t>
  </si>
  <si>
    <t xml:space="preserve">75:687132S </t>
  </si>
  <si>
    <t xml:space="preserve">http://www.gbv.de/vd/vd17/75:687132S</t>
  </si>
  <si>
    <t xml:space="preserve">1 an Will. I. 445 4°</t>
  </si>
  <si>
    <t xml:space="preserve">nur die ersten vier Blatt, Rest fehlt</t>
  </si>
  <si>
    <t xml:space="preserve">78 S. : Kupfert., Ill. (Holzschn.).</t>
  </si>
  <si>
    <t xml:space="preserve">entworffen von Johann Klaj/ der Hochh. GottesLehr. ergeben. und Gekr. Käiserl. Poeten.</t>
  </si>
  <si>
    <t xml:space="preserve">Nürnberg/ In Verlegung Wolffgang Endters / 1650.</t>
  </si>
  <si>
    <t xml:space="preserve">Geburtstag deß Friedens, 4°St. 569,2
Tempel des Friedens, 4°St. 569,2
Lustfreudiges Friedenfest, 4°St. 569,2
Castell deß Unfriedens, 4°St. 569,2
Die Nymphe Noris An die Stadt Nürnberg, 4°St. 569,2
Außtheilung der Friedenschilling, 4°St. 569,2
Armbrust-Schiessen, 4°St. 569,2
Verneuerung deß künstlichgehauenen Metzger-Ochsens, 4°St. 569,2
David Geistlicher Orpheus, 4°St. 569,2</t>
  </si>
  <si>
    <t xml:space="preserve">Geburtstag deß Friedens
Tempel des Friedens
Lustfreudiges Friedenfest
Castell deß Unfriedens
Die Nymphe Noris An die Stadt Nürnberg
Außtheilung der Friedenschilling
Armbrust-Schiessen
Verneuerung deß künstlichgehauenen Metzger-Ochsens
David Geistlicher Orpheus</t>
  </si>
  <si>
    <t xml:space="preserve">http://friedensbilder.gnm.de/content/frieden_object327b9</t>
  </si>
  <si>
    <t xml:space="preserve">Druckgraphik (Frontispiz)</t>
  </si>
  <si>
    <t xml:space="preserve">Geburtstag deß Friedens</t>
  </si>
  <si>
    <t xml:space="preserve">A: 65.15 poet (2)</t>
  </si>
  <si>
    <t xml:space="preserve">Laufhütte 1998</t>
  </si>
  <si>
    <t xml:space="preserve">S. 352</t>
  </si>
  <si>
    <t xml:space="preserve">16,4 x 14 </t>
  </si>
  <si>
    <t xml:space="preserve">cm </t>
  </si>
  <si>
    <t xml:space="preserve">4°St. 569,2 (1)</t>
  </si>
  <si>
    <t xml:space="preserve">Frontispiz</t>
  </si>
  <si>
    <t xml:space="preserve">vor dem Titelblatt</t>
  </si>
  <si>
    <t xml:space="preserve">Auf einem Sockel mit der Inschrift "Geburtstag des Friedens." steht die Statue der&amp;nbsp;Irene. Mit Palmzweig und Lorbeerkranz sowie Genien der vier Jahreszeiten gibt sie die Friedenssäule wieder, die am 14. Juli 1650 im Rahmen des kaiserlichen Feuerwerks auf dem Festplatz vor St. Johannis aufgstellt war (vgl.&amp;nbsp;HB 907, Kapsel 1220). Der Regen aus Blumen und Früchten versinnbildlicht den aufblühenden Wohlstand, während auf der gegenüberliegenden Seite vor dem Prospekt einer brennenden Stadt Kriegsgerät zu Boden fällt. Darunter liegt&amp;nbsp;eine umgestürzte Statue, die von den Personifikationen Frankreichs&amp;nbsp;(im Gewand mit Lilien), Schwedens (Löwe) und des Reiches (Adler) versorgt wird.&amp;nbsp;
ALS
</t>
  </si>
  <si>
    <t xml:space="preserve">http://friedensbilder.gnm.de/sites/default/files/Frontispiz Geburtstag des Friedens.jpg</t>
  </si>
  <si>
    <t xml:space="preserve">Auf einem Sockel mit der Inschrift ”Geburtstag des Friedens“ steht die Statue der griechischen Friedensgöttin&amp;nbsp;Irene&amp;nbsp;vor einer stilisierten Ansicht der Nürnberger Stadtsilhouette. Mit Palmzweig und Lorbeerkranz sowie Genien der vier Jahreszeiten ähnelt sie der Friedenssäule, die beim abschließenden Feuerwerk der Nürnberger Friedensfeierlichkeiten vom 14. Juli 1650 aufgestellt wurde. Als Symbol des neuen Wohlstandes lässt sie einen Blumen- und Früchteregen auf die Erde fallen.Den vergangenen Kriegszustand und das anschließende Ringen um den Frieden symbolisiert eine am unteren Bildrand auf Dornen liegende Friedensfigur.&amp;nbsp;Sie wird von den Personifikationen Frankreichs im Liliengewand, Schwedens in Form eines Löwen und des Reiches in Erscheinung eines Adlers umsorgt. Frankreich führt ihr den Ölzweig als Nahrung an die Lippen, das Deutsche Reich setzt ihr einen Lorbeerkranz auf das Haupt während der schwedische Löwe ihr eine Medaille(?) in die Hand legt. Zu ihren Füßen versucht ein Putto ein Feuer zu entzünden um die Dornen zu vernichten. Anstelle von Früchten fällt hier vor dem Prospekt einer brennenden Stadt Kriegsgerät zu Boden.ALS/MATW</t>
  </si>
  <si>
    <t xml:space="preserve">Geburtstag deß Friedens., A: 65.15 poet (2)</t>
  </si>
  <si>
    <t xml:space="preserve">Geburtstag deß Friedens.</t>
  </si>
  <si>
    <t xml:space="preserve">http://friedensbilder.gnm.de/content/frieden_foto_order1f9d73</t>
  </si>
  <si>
    <t xml:space="preserve">Frontispiz von Irene das ist Vollständige Außbildung Deß zu Nürnberg geschlossenen Friedens 1650. </t>
  </si>
  <si>
    <t xml:space="preserve">Schnitzer, Lukas</t>
  </si>
  <si>
    <t xml:space="preserve">Hollstein German
Faber du Faur
Müller 1791</t>
  </si>
  <si>
    <t xml:space="preserve">Bd. XLVI, S. 189, Nr. 208
Bd. I, Nr. 534
S. 138</t>
  </si>
  <si>
    <t xml:space="preserve">http://diglib.hab.de/drucke/65-15-poet-1/start.htm?image=00003</t>
  </si>
  <si>
    <t xml:space="preserve">16,4 x 13,2</t>
  </si>
  <si>
    <t xml:space="preserve">A: 65.15 Poet. (1)</t>
  </si>
  <si>
    <t xml:space="preserve">LS fec.</t>
  </si>
  <si>
    <t xml:space="preserve">Das Frontispiz zeigt eine Personifikation des Friedens, die in Johann Klajs Gedicht den griechischen Namen&amp;nbsp;Irene&amp;nbsp;trägt. Sie steht auf einem Podest vor dem Nürnberger Rathaus, in dem das schwedische Friedensmahl 1649 stattfand. Lorbeerkranz, Friedenstaube und ein Schwert mit gebrochener Scheide symbolisieren die Friedenszeit. Über der Friedensgöttin halten drei Putti eine Partitur und die Flaggen der am Exekutionskongress beteiligten Mächte Frankreichs, des Heiligen Römischen Reichs und Schwedens in die Höhe. Dem schwedischen Pfalzgrafen bot das Festmahl auch die Gelegenheit, durch aussagekräftige Symbole auf sein Land hinzuweisen. Dazu gehört etwa der Löwe als Weinspender (siehe&amp;nbsp;HB 194, Kapsel 1220). Er tritt hier jedoch gegenüber der Figur der&amp;nbsp;Irene&amp;nbsp;in den Hintergrund, die ein Gewand mit dem Wappentier des Heiligen Römischen Reiches trägt. Dies bekräftigt auch die Erläuterung zu&amp;nbsp;Irene, die sich auf der dem Frontispiz folgenden Seite befindet. Die Komposition "Ehre sey Gott in der Höhe" stammt aus Sigmund Theophil Stadens&amp;nbsp;Musicalischen Friedensgesängen.ALS&amp;nbsp;</t>
  </si>
  <si>
    <t xml:space="preserve">http://friedensbilder.gnm.de/sites/default/files/Frontispiz Irene.jpg</t>
  </si>
  <si>
    <t xml:space="preserve">
</t>
  </si>
  <si>
    <t xml:space="preserve">Frontispiz von Irene das ist Vollständige Außbildung Deß zu Nürnberg geschlossenen Friedens 1650.
Frontispiz von Irene das ist Vollständige Außbildung Deß zu Nürnberg geschlossenen Friedens 1650.</t>
  </si>
  <si>
    <t xml:space="preserve">http://friedensbilder.gnm.de/content/frieden_foto_order11fceb</t>
  </si>
  <si>
    <t xml:space="preserve">Kaiserlich-sächsischer Frieden, unterzeichnet in Prag am 20./30. Mai 1635</t>
  </si>
  <si>
    <t xml:space="preserve">Med 14500</t>
  </si>
  <si>
    <t xml:space="preserve">Maué 2008
Mehl 2004
Dethlefs 1997
Pax in Nummis 1913
Wiêcek 1962
Boeheim 1890</t>
  </si>
  <si>
    <t xml:space="preserve">S. 79–80, Kat.-Nr. 37
S. 33–34
S. 21–22, Nr. 79
S. 113, Kat.-Nr. 93
S. 357–363</t>
  </si>
  <si>
    <t xml:space="preserve">59
49,52</t>
  </si>
  <si>
    <t xml:space="preserve">SIC BELLI DISSIPABITUR ARCus
GERMANIA SECUm IPSA DISCORS
PAX
BELLUm
STRENA ANNO SAL: MDCXXXV DICATA. MITTET OPEM TANDEM, COELO MISERATUS ABALOT. UT SPERARE TYPUS NOS IUBET ISTE, DEUS. PROFUGIET BELLONA PROCUL GERMANIDOS ORIS, PAXQUE IBI PERPETUOS FIGET AMICA LARES. HAC REDEUNTE, REDIBIT PLENO COPIA CORNU: AMPLIus INVENIET NULLA QUERELA LOCUm.</t>
  </si>
  <si>
    <t xml:space="preserve">links neben Figur
rechts neben Figur
zentriert</t>
  </si>
  <si>
    <t xml:space="preserve">Sebastian Dadler nutzte das Bild siamesischer Zwillinge, um die Streitigkeiten innerhalb Deutschlands[fn]Darauf bezieht sich der zweite Teil der Umschrift GERMANIA SECUm IPSA DISCORS. Übersetzung nach Maué 2008: Deutschland ist mit sich selbst uneins. [/fn] zu versinnbildlichen, die mit dem Prager Frieden beendet werden konnten. Das Paar versucht sich gegenseitig mit Streitkolben zu erschlagen, eine bäuerliche Schlagwaffe, die Dadler sicherlich bewusst auswählte. Aus einem Wolkenband tauchen zwei Engel auf, die versuchen, die Gewalthandlungen der Zwillinge zu verhindern. Aus dem Hintergrund nähert sich&amp;nbsp;Pax&amp;nbsp;mit Olienzweig und Füllhorn der Gruppe, während die Personifikation des Krieges mit Fackel und Geißel davon eilt. Zu ihren Füßen liegt ein zerbrochener Kriegsbogen, der sich auf den ersten Teil der Umschrift&amp;nbsp;SIC BELLI DISIPABITUR ARCus bezieht: Das Prophetenbuch Sacharja enthält in Kapitel neun eine Ankündigung des Friedenskönigs: ”Ich vernichte die Streitwagen aus Efraim [...] vernichtet wird der Kriegsbogen“ (lat.: dissipabitur arcus belli).Die rückseitige Inschrift erläutert die Flucht des Kriegsgottes und die Rückkehr des Friedens, der den Wohlstand im Land wieder erblühen lässt.ALS</t>
  </si>
  <si>
    <t xml:space="preserve">http://friedensbilder.gnm.de/sites/default/files/Med14500_vs_0.tif
http://friedensbilder.gnm.de/sites/default/files/Med14500_rs_0.tif</t>
  </si>
  <si>
    <t xml:space="preserve">Kaiserlich-sächsischer Frieden, unterzeichnet in Prag am 20./30. Mai 1635, Rückseite, Med 14500
Kaiserlich-sächsischer Frieden, unterzeichnet in Prag am 20./30. Mai 1635, Rückseite, Med 14500
SIC BELLI DISIPABITUR ARCus, Vorderseite, Med 14500</t>
  </si>
  <si>
    <t xml:space="preserve">Kaiserlich-sächsischer Frieden, unterzeichnet in Prag am 20./30. Mai 1635, Rückseite
Kaiserlich-sächsischer Frieden, unterzeichnet in Prag am 20./30. Mai 1635, Rückseite
SIC BELLI DISIPABITUR ARCus, Vorderseite</t>
  </si>
  <si>
    <t xml:space="preserve">http://friedensbilder.gnm.de/content/frieden_foto_order204f4e</t>
  </si>
  <si>
    <t xml:space="preserve">Friedensschluss zwischen Spanien und den Vereinigten Niederlanden</t>
  </si>
  <si>
    <t xml:space="preserve">Med 14516</t>
  </si>
  <si>
    <t xml:space="preserve">Medailleur
Verfasser</t>
  </si>
  <si>
    <t xml:space="preserve">Dadler, Sebastian
Boxhorn, Marcus Zuerius</t>
  </si>
  <si>
    <t xml:space="preserve">Maué 2008
Ausst. Kat. Münster 1988a
Wiêcek 1962
Pax in Nummis 1913</t>
  </si>
  <si>
    <t xml:space="preserve">S. 117–118, Kat.-Nr. 70
S. 51, Kat.-Nr. 34
S. 121, Kat.-Nr. 124
S. 28, Nr. 100</t>
  </si>
  <si>
    <t xml:space="preserve">58 
56</t>
  </si>
  <si>
    <t xml:space="preserve">BOXH: INUEN: 
S. D. F. </t>
  </si>
  <si>
    <t xml:space="preserve">Inschrift</t>
  </si>
  <si>
    <t xml:space="preserve">PAX ET LIBERT. FOED. BELGAR.
LIEBERTATI FOEDERAT: BELGAR. POST TOT: PROPE SAECULI BELLUM CUM HISPAN: AETERNA PACE AETERNAE FACTAE ANNO M.DC.XL.VIII.</t>
  </si>
  <si>
    <t xml:space="preserve">Die Medaille feiert die Unabhängigkeit der nördlichen Provinzen der Vereinigten Niederlande, die sich durch den Frieden von Münster im Januar 1648 von der spanischen Herrschaft lösen konnten. Nackte Mädchen symbolisieren die sieben Provinzen. Sie tanzen in einem Reigen um einen Freiheitshut, auf dem ”Friede und Freiheit der Vereinigten Niederlande“ zu lesen ist. Dabei halten die Figuren&amp;nbsp;die Wappen der sieben Landesteile, die durch einen Lorbeerkranz miteinander verbunden sind. Eine solche Symbolik findet sich für die sieben Provinzen häufig. Sie hat nicht nur eine topographische Bedeutung, sondern betont durch die Bandmetapher zusätzlich die Eintracht und den Zusammenhalt der nördlichen Niederlande. In vielen weiteren Friedensdarstellungen finden sich solche Verweise, etwa auf einem Stich von Crispijn de Passe d.Ä. mit dem Titel Victoriae Praemium, zu dessen Motiven auch der Kuss von Gerechtigkeit und Friede gehört.[fn]Dlugaiczyk 2005, S. 62–64 und S. 335, Kat.-Nr. 15.[/fn]Auf der Rückseite der Medaille nennt sich der Verfasser Marcus Zuerius Boxhorn selbst. Hermann Maué vermutet, dass der Entwurf der Vorderseite ebenfalls von dem Leidener Gelehrten stammt.ALS</t>
  </si>
  <si>
    <t xml:space="preserve">http://friedensbilder.gnm.de/sites/default/files/Med14516_vs.tif
http://friedensbilder.gnm.de/sites/default/files/Med14516_rs.tif</t>
  </si>
  <si>
    <t xml:space="preserve">Friedensschluss zwischen Spanien und den Vereinigten Niederlanden, Med 14516</t>
  </si>
  <si>
    <t xml:space="preserve">http://friedensbilder.gnm.de/content/frieden_foto_order204f2b</t>
  </si>
  <si>
    <t xml:space="preserve">Beendigung des Krieges zwischen den Niederlanden und England im Frieden von Westminster 1654</t>
  </si>
  <si>
    <t xml:space="preserve">Med 14523</t>
  </si>
  <si>
    <t xml:space="preserve">Maué 2008
Pax in Nummis 1913
Van Loon</t>
  </si>
  <si>
    <t xml:space="preserve">S. 130, Nr. 81
S. 52, Nr. 209
Bd. II, S. 385, Nr. III</t>
  </si>
  <si>
    <t xml:space="preserve">Durchmesser</t>
  </si>
  <si>
    <t xml:space="preserve">61 </t>
  </si>
  <si>
    <t xml:space="preserve">S D</t>
  </si>
  <si>
    <t xml:space="preserve">Umschrift
Inschrift
Umschrift (zweizeilig)</t>
  </si>
  <si>
    <t xml:space="preserve">MENTIBUS UNITIS PRISCUS PROCUL ABSIT AMAROR, PILEA NE SUBITO PARTA RUANT.
CONCL. XV/XXV D. APRIL. AnnO. M DC LIV.
LUXURIAT GEMINO NEXU TRANQVILLA SALO RES. EXCIPIT UNANIMES TOTIUS ORBIS AMOR.</t>
  </si>
  <si>
    <t xml:space="preserve">Zwei Frauengestalten symbolisieren auf der Vorderseite der Medaille die gegnerischen Parteien&amp;nbsp;des Ersten Niederländischen Seekrieges, den der Friede von Westminster 1654 beendete. Im Schoß der linken Figur ruht die Harfe, das heraldische Symbol Irlands. Zu Füßen der rechten Gestalt liegt,&amp;nbsp;stellvertretend&amp;nbsp;für die sieben unabhängigen Provinzen der nördlichen Niederlande, der Löwe. Beide halten als Zeichen des Friedens den Freiheitshut in die Höhe. Die Umschrift lautet: ”In geeinter Gesinnung soll die frühere Bitterkeit fern sein, damit die errungenen Freiheitshüte nicht sofort im Blut verloren gehen“.[fn]Übersetzung aus Maué 2008, S. 120, Nr. 81.[/fn] Die Datumsangabe im Abschnitt gibt oben die julianische, unten die Zählung nach gregorianischem Kalender an.Die Wappensymbole Harfe und Löwe&amp;nbsp;erscheinen auch auf der Rückseite der Medaille in den Heckflaggen zweier Kriegsschiffe. Ihre&amp;nbsp;Befehlshaber reichen sich zum Zeichen des Friedens die Hände. Die Umschrift deutet das neue Bündnis als Möglichkeit für ein erneutes Aufblühen des Seehandels.Die detaillierte Wiedergabe der Schiffe mit figuralen Heckspiegeln in Schrägansicht und die in kleinen Wellen schlagende See sind Merkmale der holländischen Marinemalerei des 17. Jahrhunderts.[fn] vgl. Ausst. Kat. Minneapolis 1990 etwa die 'Viertageschlacht' von Abraham Storck S. 146–148, Kat.-Nr. 29 oder die Schlacht von Terheide von Jan Abrahamsz. Beerstraten, S. 98–99, Kat.-Nr. 8.[/fn]&amp;nbsp;Diese war Dadler &amp;nbsp;sicherlich durch ihre druckgraphische Verbreitung bekannt, zumal er seit seiner Zeit in Danzig (ab 1635) Aufträge aus den Niederlanden erhielt.&amp;nbsp;ALS</t>
  </si>
  <si>
    <t xml:space="preserve">http://friedensbilder.gnm.de/sites/default/files/Med14523.tif
http://friedensbilder.gnm.de/sites/default/files/Med14523_rs_0.tif</t>
  </si>
  <si>
    <t xml:space="preserve">Beendigung des Krieges zwischen den Niederlanden und England im Frieden von Westminster 1654, Vorderseite, Med 14523
Beendigung des Krieges zwischen den Niederlanden und England im Frieden von Westminster 1654, Rückseite, Med 14523</t>
  </si>
  <si>
    <t xml:space="preserve">Beendigung des Krieges zwischen den Niederlanden und England im Frieden von Westminster 1654, Vorderseite
Beendigung des Krieges zwischen den Niederlanden und England im Frieden von Westminster 1654, Rückseite</t>
  </si>
  <si>
    <t xml:space="preserve">http://friedensbilder.gnm.de/content/frieden_foto_order204e83</t>
  </si>
  <si>
    <t xml:space="preserve">Dessein de l'illumination Préparée au College Royale des Jésuites de Strasborg, pour le réjouissances de la Paix, 1698</t>
  </si>
  <si>
    <t xml:space="preserve">ohne Signatur; alte Signatur N. A 293_1</t>
  </si>
  <si>
    <t xml:space="preserve">https://opac.rism.info/search?id=840001039</t>
  </si>
  <si>
    <t xml:space="preserve">Canticum eucharisticum. Pro Pace Facta Ann. 1697</t>
  </si>
  <si>
    <t xml:space="preserve">Vera relatione delle feste fatte in Roma per la pubblicazione della Pace stabilita tra le due corone. Con le cerimonie fatte, et esatta descrizione del sontuoso apparato della Chiesa di S. Maria della Pace. Con un racconto delle fontioni delle due chiese nazionali</t>
  </si>
  <si>
    <t xml:space="preserve">Biblioteca Nazionale Centrale Vittorio Emanuele II</t>
  </si>
  <si>
    <t xml:space="preserve">MISC. B. 1234.28</t>
  </si>
  <si>
    <t xml:space="preserve">Moneta, Francesco</t>
  </si>
  <si>
    <t xml:space="preserve">per Francesco Moneta. Si vendono a Pasquino</t>
  </si>
  <si>
    <t xml:space="preserve">http://friedensbilder.gnm.de/sites/default/files/4.JPG</t>
  </si>
  <si>
    <t xml:space="preserve">Bei der „Vera relatione“ handelt es sich um einen detaillierten Bericht über die Feste, mit denen in Rom der Friedensschluss zwischen Frankreich und Spanien im November 1659 aufgenommen und gefeiert wurde. Aus der Berichterstattung ist der Ablauf der Feierlichkeiten zu entnehmen. Sie beginnen mit dem Te Deum, das Papst Alexander VII. am 19.&amp;nbsp;Dezember 1659 in der Kirche Santa Maria della Pace zelebriert, und enden mit drei Freudentagen („allegrezze“), die der Papst offiziell vom 24. bis zum 26.&amp;nbsp;Februar 1660 ausruft. Der Bericht erwähnt Festbeleuchtung und Feuerwerke an vielen Abenden, Artilleriefeuer von der Engelsburg und mindestens zwei offizielle Bankette – eines mit Musikbegleitung, das Kardinal Antonio Barberini am 19.&amp;nbsp;Dezember 1659 ausrichtet, und ein weiteres, das der spanische Gesandte am 8.&amp;nbsp;Januar 1660, möglicherweise ebenfalls mit Musik, organisiert. Außerdem wird von vier Aufführungen des Te Deummit Musik in den Kirchen Santa Maria della Pace (19.&amp;nbsp;Dezember 1659 und 24.&amp;nbsp;Februar 1660) und den beiden Nationalkirchen San Luigi dei Francesi (25.&amp;nbsp;Februar1660) und San Giacomo degli Spagnoli (25.&amp;nbsp;Februar 1660) berichtet. Die Reihe der zahlreichen Nachrichten und Depeschen, die in Rom mit der Meldung des Friedensschlusses eintreffen (von Ende November 1659 bis 31.&amp;nbsp;Januar 1660, als der Papst die beiden offiziellen Briefe der Staatssekretariate Frankreichs und Spaniens erhält), stellt den zunehmend offiziellen Charakter der Dokumente heraus. Mit der Veröffentlichung der Friedensmeldungen im Rom des Jahres 1660 gestaltet sich der Bericht als Friedensbotschaft. Der Stich auf dem Frontispiz der „Vera relatione“ zeigt das Medaillon, das, wie im Bericht erwähnt, den Portikus der Kirche Santa Maria della Pace anlässlich des Te Deum vom 24.&amp;nbsp;Februar 1660 schmückt. Auf diesem Bild ist der Frieden dargestellt, mit einem Olivenzweig, während er seine rechte Hand der Religion reicht, die ihrerseits ein Kreuz hält, das die Versöhnung der Christenheit symbolisiert.
CP
</t>
  </si>
  <si>
    <t xml:space="preserve">Vera relatione delle feste fatte in Roma per la pubblicazione della Pace stabilita tra le due corone. Con le cerimonie fatte, et esatta descrizione del sontuoso apparato della Chiesa di S. Maria della Pace. Con un racconto delle fontioni delle due chiese nazionali, MISC. B. 1234.28</t>
  </si>
  <si>
    <t xml:space="preserve">https://friedensbilder-neu.gnm.de/sites/default/files/2019-06/MISC-B-1234.png</t>
  </si>
  <si>
    <t xml:space="preserve">http://friedensbilder.gnm.de/content/frieden_foto_order1df96d</t>
  </si>
  <si>
    <t xml:space="preserve">Gl'Avvisi d'amore / Amanti curiosi</t>
  </si>
  <si>
    <t xml:space="preserve">Biblioteca Nazionale Marciana</t>
  </si>
  <si>
    <t xml:space="preserve">Venedig</t>
  </si>
  <si>
    <t xml:space="preserve">MUSICA 377</t>
  </si>
  <si>
    <t xml:space="preserve">Komponist
Drucker</t>
  </si>
  <si>
    <t xml:space="preserve">Grossi, Carlo
Magni, Francesco</t>
  </si>
  <si>
    <t xml:space="preserve">http://cantataitaliana.it/query_bid.php?id=752</t>
  </si>
  <si>
    <t xml:space="preserve">Appresso Francesco Magni Gardano</t>
  </si>
  <si>
    <t xml:space="preserve">Gl'avvisi d'amore / Amanti curiosi, MUSICA 377</t>
  </si>
  <si>
    <t xml:space="preserve">Gl'avvisi d'amore / Amanti curiosi</t>
  </si>
  <si>
    <t xml:space="preserve">Magni, Francesco</t>
  </si>
  <si>
    <t xml:space="preserve">http://cantataitaliana.it/query_bid.php?id=44</t>
  </si>
  <si>
    <t xml:space="preserve">Museo internazionale e Biblioteca della musica
Biblioteche della Fondazione Giorgio Cini</t>
  </si>
  <si>
    <t xml:space="preserve">Bologna
Venedig</t>
  </si>
  <si>
    <t xml:space="preserve"> AA. 93
G. 4732</t>
  </si>
  <si>
    <t xml:space="preserve">http://friedensbilder.gnm.de/content/frieden_object354c9</t>
  </si>
  <si>
    <t xml:space="preserve">EIGENTLICHE ABBILDVNG DES WEGEN VÖLLIGGESCHLOSENEN REICHSFRIEDENS in Nürnberg gehaltenen Armburst Schießens</t>
  </si>
  <si>
    <t xml:space="preserve">HB 2592, Kapsel 1379a</t>
  </si>
  <si>
    <t xml:space="preserve">Stecher
Verfasser</t>
  </si>
  <si>
    <t xml:space="preserve">Schnitzer, Lukas
Klaj, Johann</t>
  </si>
  <si>
    <t xml:space="preserve">Dünnhaupt
Hollstein German 
Paas
Ausst. Kat. Coburg 1983
Ausst. Kat. Münster 1988b
Harms
Paas</t>
  </si>
  <si>
    <t xml:space="preserve">Bd. II, S. 1032, Nr. 72
Bd. XLVI (Lucas Schnitzer), S. 60, Nr. 59
Bd. VIII, S. 97, Nr. 2283
S. 226, Kat.-Nr. 110 (Beate Rattay)
S. 252, Kat.-Nr. 167 (Gerd Dethlefs)
Bd. II, S. 572–573, Nr. 328 (Ralf Kulschewskij)
Bd. VIII, S. 106. Nr. 2292</t>
  </si>
  <si>
    <t xml:space="preserve">19,8 x 34</t>
  </si>
  <si>
    <t xml:space="preserve">welches den 29 Julij seinen Anfang genomen, vnd den 28 des Augsust=monats sich freüdig geendet, Darbeij Michäll Stoij das beste gewonnen. Anno. 1650</t>
  </si>
  <si>
    <t xml:space="preserve">Verfasserangabe
mit zusätzlicher Abbreviatur</t>
  </si>
  <si>
    <t xml:space="preserve">Joh. Klaj. gekr. Poet. 
Lucas Schnitzer delineavit. et sculpsit.</t>
  </si>
  <si>
    <t xml:space="preserve">Nach der Unterzeichnung des Hauptrezesses 1650 fanden verschiedene Feierlichkeiten statt. Neben dem berühmten Feuerwerk (siehe&amp;nbsp;Einbl. YA 8321 m) richtete&amp;nbsp;Piccolomini&amp;nbsp;vom 29. Juli bis zum 28. August ein Armbrustschießen auf der Hallerwiese vor den Toren Nürnbergs aus. Die Radierung von Lukas Schnitzer&amp;nbsp;zeigt die aufgebauten Schießstände und Zelte, etwa das Schankzelt und jenes des kaiserlichen Gesandten. Im Hintergrund sind Teile der Stadtmauer mit dem Spittler- und Weißen Turm zu sehen. Die Kartusche darüber enthält nicht nur den Titel des Blattes, sondern auch den Namen des Gewinners des Armbrustschießens: Michael Stoy.&amp;nbsp;Johann Klaj lieferte für diese Radierung den Text. Er erläutert die Tätigkeit, die sowohl in Friedens-, als auch in Kriegszeiten notwendig sei:&amp;nbsp;”Mit Schießen wie allhier, mit Schießen daß da nütz in Friedenszeit erfreut, in strengen Kriegen Schütz“. Außerdem führt er am Ende die verschiedenen Schützenmeister auf. Das Blatt diente sowohl in&amp;nbsp;Geburtstag Deß Friedens&amp;nbsp;als auch in&amp;nbsp;Irene&amp;nbsp;als Illustration. Das letzte, mit einem Text von Sigmund von Birken&amp;nbsp;versehene Beispiel wurde auch als großformatiges Blatt vertrieben.[fn]Harms, Bd. II, S. 572–573, Nr. 328&amp;nbsp;(Ralf Kulschewskij)&amp;nbsp;und Paas Bd. VIII, S. 106. Nr. 2292.[/fn] Birken vergleicht hier die geräuschvollen Artilleriegeschütze des Krieges mit den älteren Fernwaffen, die nun in Friedenszeiten wieder zum Einsatz kämen (siehe&amp;nbsp;IH249).ALS&amp;nbsp;&amp;nbsp;</t>
  </si>
  <si>
    <t xml:space="preserve">EIGENTLICHE ABBILDVNG DES WEGEN VÖLLIG GESCHLOSENEN REICHSFRIEDENSin Nürnberg gehaltenen Armbrust Schießens, welches den 29. Julij seinen Anfang genomen, vnd den 28 des August&amp;nbsp;monats sich freüdig geendet, Darbeij Michäll Stoij das beste gewonnen. Anno. 1650.&amp;nbsp;Ein waßen das da fleust bleibt hell, vnd gantz nicht stincketEin Pflug der stetig pflügt wird hell vnd glentzend blinckent;Verstand wie scharf er ist wird er nicht ausgewetztverrostet er gar bald; was sich nicht offt ergetztdas hällt nicht lange Stand, drum mus man sich ergetze.mit Jagen, Reiten, fahrn, mit vogelstellen, hetzen&amp;nbsp;Mit Schießen wie alhier, mit Schießen daß da nützin Friedenszeit erfreüut, in strengen Kriegen Schütz;&amp;nbsp;So daß auch Fürsten selbst die lange zeitverkürtzenund ihre wiederpart, durch Schißen lernen Stürtzenim fall es Noth erheischt. wan itzt ein Bogen Stahltreibt ein geflügelt holtz mit Pfeiffen in das Mahl,&amp;nbsp;da folget den Gewin das Glück heist alle hoffender hatt das beste Glück, der da den zweck getroffenaus seinem Schatten zelt, schiest, kürtzet zeit vnd weil,vnd dencket doch darbej fein an des TodesPfeil.Herr Schwendter Schützen stets die schöne fliegel Geister,Herr Francken, Lauren auch, Herr Spatze Schützenmeister,&amp;nbsp;&amp;nbsp;vnd Schützen allesamt: So bringet Schieße Nutz,Nutz vnd Ergetzligkeit, auch Gottes Hold vnd Schutz.Denen Lobwürdigen H.Schützenmeistern vnd gesamtenLöblichen Armbrust=Schützenzu sonderbaren Ehrenfügete dises bejJoh. Klaj. gekr. Poet.Lucas Schnitzer deleineavit. et sculpsit.&amp;nbsp;&amp;nbsp;</t>
  </si>
  <si>
    <t xml:space="preserve">http://friedensbilder.gnm.de/sites/default/files/HB2592.tif</t>
  </si>
  <si>
    <t xml:space="preserve">EIGENTLICHE ABBILDVNG DES WEGEN VÖLLIGGESCHLOSENEN REICHSFRIEDENS in Nürnberg gehaltenen Armburst Schießens,, HB 2592, Kapsel 1379a
EIGENTLICHE ABBILDVNG DES WEGEN VÖLLIGGESCHLOSENEN REICHSFRIEDENS in Nürnberg gehaltenen Armburst Schießens,, HB 2592, Kapsel 1379a</t>
  </si>
  <si>
    <t xml:space="preserve">EIGENTLICHE ABBILDVNG DES WEGEN VÖLLIGGESCHLOSENEN REICHSFRIEDENS in Nürnberg gehaltenen Armburst Schießens,
EIGENTLICHE ABBILDVNG DES WEGEN VÖLLIGGESCHLOSENEN REICHSFRIEDENS in Nürnberg gehaltenen Armburst Schießens,</t>
  </si>
  <si>
    <t xml:space="preserve">http://friedensbilder.gnm.de/content/frieden_foto_order204ed8</t>
  </si>
  <si>
    <t xml:space="preserve">Nürnbergisches Denckwürdiges Freüden Fest, wegen deß Völlig-geschlossenen und daselbst einhellig Unterschriebenen Reichs-Friedens den 26/16 Junii jetzlauffenden 1650 Jahrs</t>
  </si>
  <si>
    <t xml:space="preserve">SP 10579, Kapsel 1068</t>
  </si>
  <si>
    <t xml:space="preserve">Verleger
Verfasser
Zeichner</t>
  </si>
  <si>
    <t xml:space="preserve">Fürst, Paul
Klaj, Johann
Haeberlin, Leonhard</t>
  </si>
  <si>
    <t xml:space="preserve">Dünnhaupt
Paas
Hollstein German
Hampe 1915
Laufhütte 1998
Harms</t>
  </si>
  <si>
    <t xml:space="preserve">Bd. II, S. 1032, Nr. 70
Bd. VIII, S. 87, Nr. P-2273
Bd. XLVI (Lucas Schnitzer), S. 226–277, ohne Nr.
S. 45–46, Nr. 95
S. 351
Bd. II, S. 568, Nr. 326</t>
  </si>
  <si>
    <t xml:space="preserve">75:710578K</t>
  </si>
  <si>
    <t xml:space="preserve">http://gso.gbv.de/DB=1.28/CMD?ACT=SRCHA&amp;IKT=8002&amp;TRM=%2775:710626S%27</t>
  </si>
  <si>
    <t xml:space="preserve">Blatt
Darstellung</t>
  </si>
  <si>
    <t xml:space="preserve">60 x 41 
27,2 x 39,2</t>
  </si>
  <si>
    <t xml:space="preserve">Ebl. 20.028</t>
  </si>
  <si>
    <t xml:space="preserve">2 (von mind. 2)</t>
  </si>
  <si>
    <t xml:space="preserve">mit zusätzlicher Abbreviatur
Verlagsadresse
Monogramm</t>
  </si>
  <si>
    <t xml:space="preserve">Leonhart Heberlein. Inventor. 
zufinden in Nürnberg/bey Paulus Fürsten/Kunsthändler allda
J. K. </t>
  </si>
  <si>
    <t xml:space="preserve">links unten im Bild
mittig unten
rechts unten</t>
  </si>
  <si>
    <t xml:space="preserve">Am 16. Juni 1650 wurden die Dokumente des Hauptrezesses kollationiert, wozu die Gesandten unter der Beobachtung von Zuschauern vom Rathaus zur Burg fahren mussten.&amp;nbsp;Im Theatrum Europaeum[fn]Theatrum Europaeum Bd. VI, Sp. 1050a–1053a.[/fn] sind der Ablauf und die beteiligten Diplomaten genauestens beschrieben. Kanonen- und Gewehrschüsse sowie abendliche Dankgottesdienste begleiteten das Ereignis, wie die&amp;nbsp;Pulverwolken auf dem Burgberg und am Laufer Tor verdeutlichen. Über der gesamten Darstellung prangt ein Regenbogen, unter dem die Friedenstaube mit Ölzweig fliegt. Sie ist hier nicht nur als generelles Friedenssymbol zu verstehen, sondern bezieht sich auf den in der zweiten Spalte genannten Vers aus Gen 8. Damit stellen&amp;nbsp;Klaj&amp;nbsp;und&amp;nbsp;Haeberlin[fn]Die Zuschreibung an&amp;nbsp;Lucas Schnitzer&amp;nbsp;als Stecher ist mittlerweile unsicher, siehe Hollstein.[/fn]&amp;nbsp;einen Bezug zur alttestamentlichen Bundestheologie her.
Für die gleiche Darstellung mit einem Gedicht von&amp;nbsp;Sigmund von Birken&amp;nbsp;siehe&amp;nbsp;HB 24659, Kapsel 1220.&amp;nbsp;
ALS
&amp;nbsp;
</t>
  </si>
  <si>
    <t xml:space="preserve">Nürnbergisches Denckwürdiges Freüden Fest, wegen deß Völlig=geschlossenen und daselbst einhellig unterschriebenen Reichs=Friedens den 26 16 Junij jetzlaüffenden 1650 Jahrs.
&amp;nbsp;
Es liegt in Nordgans=Land da sonst die Flut=Göttinen/
mit ihren Pegnitz=trieb das Nürenberg durchrinnen
ein treflich feiner Ort / deß Friedens schöne Stadt/
dergleichen unser Reich und Teutschland fast nicht hat/
der Städte Kaiserin / die Zier der teutschen Erden
in die kein einig Pfeil geschossen können werden/
drüm brach der Fried hier aus / durch vieler Helden Raht/
hört / wie man da mit Lust den Fried geschlossen hat /
den längstgewünschten Fried / der Teutschland hoch erfreuet/
weil er im Teutschen Reich den Krieges=Sturm zerstreuet /
vermehret Hertzens=Lust / ermunter Wäld und Feld /
befriedigt Stadt und Dorff / der neugebornen Welt.
Der Raht und Burgerschafft schickt sich in eyl aufs beste
zu Haus und auf der Gaß / zum Fried=und Freuden=Feste/
man drängt sich in die Kirch / singt GOTT mit Hertz und Mund/
üm angenehme Zeit / üm eine gute Stund.
Das Rahthaus wird geschmückt mit bunten Blum=gepränge/
von goldbewundnen Grün, gebunden in Gehänge/
mit Früchten untermengt ; die Bilder sind bekräntzt /&amp;nbsp;
auf ihrer Kronen Glantz die Blumen Krone gläntzt;
Deß Reiches Vestung auch die Nero angefangen
auf welcher Thorgericht viel stoltze Lilien prangen/
die Gassen auf und auf mit Mayen sind besteckt
die Strassen aus und aus mit Grase grün bedeckt.
Die Sonne hatte schon den Mittelpunet genommen /&amp;nbsp;
die Friedens=Helden nun zum Unterschreiben kommen /&amp;nbsp;
die Rosse trappen starck / die Wagen fahren auf /&amp;nbsp;
auf zu deß Reiches Burg mti längst begehrten Lauf;
Ein jeder wünschet Ach / daß GOTT deß Friedens Stärcke
möcht selber Hülffsmann seyn zu diesen Friedenwercke!
Es halff der Friede=Fürst / der Himmel=Friedensheld /&amp;nbsp;
der Friede ward gestifft zum Frieder dieser Welt.
O wundergrosse Güt ! O nie verhoffte Gnade!
O friedenreicher GOTT / durch welchen unser Schade
so bald geheilet ist ! O Fried / O treuer Schatz
wie findest du gewünscht im Teutschen Lande Platz!
&amp;nbsp;
Drauf donnert das es rollt der Blitz der Falckeneten /&amp;nbsp;
der Hagelstücken Zorn / deß Kanstern der Mußqueten /&amp;nbsp;
es rüllet / brüllet / saust / es dämpfet liechter Loh ;&amp;nbsp;
Ob diesen Schiessen ward ganz Nürenberg sehr froh.
Das schöne Friedenbild das sich hier eingestellet /&amp;nbsp;
hat sich von mancher Stadt zusammen hergestellte;&amp;nbsp;
zwar Nürenberg hat erst die Füsse dran gemacht;
die Schenckel Regenspurg ; die Hüfft hat Franckfurt bracht ;&amp;nbsp;
Westphalen gab den Leib ; das Haubt hat heute geben&amp;nbsp;
zu letzt auch Nürenberg / und GOTT gab ihm das Leben /&amp;nbsp;
damit er möchte stets bey guten Wolstad stehn /
und nimmer nimmer nicht zu Grund noch Boden gehn.
O Fried ! O teurer Fried nichts ist dir zuvergleichen /&amp;nbsp;
kein Herlichkeit der Welt kan dir das Wasser reichen /&amp;nbsp;
drüm werthes Teutsches Land erfreue dich mit mir /&amp;nbsp;
weil dieses güldne Gut nun schwebet über dir.
Es donnern wiederüm die Messingen Metallen /&amp;nbsp;
die Thürne üm und üm / die prallen / hallen / knallen /
die Wachen geben Feur / die Bürger ruffen laut /&amp;nbsp;
willkommen Frieden=Bild / willkommen Himmel=Braut!
&amp;nbsp;
Hier wo der Edle Raht zu rahte täglich gehet /&amp;nbsp;
ein neugebauter Chor der Fried=Ausbläser stehet /&amp;nbsp;
mit Bircken und beziert. Die Trompeter trompten auf /&amp;nbsp;
die Kesselpaucke pauckt / ein jeder nimmt den Lauf /&amp;nbsp;
auf diesen Freuden Thon. Der Fried wird ausgeruffen /&amp;nbsp;
die Trompeter trompten fort / die Kesseltrummeln puffen
die Gassen durch und durch ; der Glockenklang der klingt /&amp;nbsp;
und eine gantze Stund durch Lufft und Wolcken dringt.
Es donnern abermal die doppelten Carthaunen /&amp;nbsp;
drauf spielt ein andrer Chor mit Zincken und Posaunen.&amp;nbsp;
[nächste Spalte]
die gantze Stadt ist auf / gibt Feuer in die Lufft /&amp;nbsp;
und überlaut Fried / Fried in allen Häusern rufft !&amp;nbsp;
diß wehret die Nacht durch. Als Noä muste schweben
selb acht in Tennen=Schiff / den Wellen sich ergeben
ein gantz geschlagnes Jahr ließ er am Sontag aus&amp;nbsp;
ein Täublein / dieses kam üm Abendzeit zu Haus &amp;nbsp; &amp;nbsp; &amp;nbsp; &amp;nbsp; &amp;nbsp; &amp;nbsp; &amp;nbsp; &amp;nbsp; &amp;nbsp; &amp;nbsp;I. Buch Mos. 8.
Ach haben wir nicht auch im finstren Krieges=Kasten
gesessen dreyssig Jahr ; da dann ohn alles Kasten
die wilde Krieges=Flut geschlagen unser Schiff /&amp;nbsp;
biß das die fromme Taub den Friedenzweig ergriff /&amp;nbsp;
trug ihn nach Nürenberg ; die nicht vergällte Taube /&amp;nbsp;
die SontagsZeitung bracht / das man von Krieg und Raube /
das man von Mord und Brand fort nichts mehr hören soll/
das gebe / gebe GOTT der alles gebens voll.
Gesegnet müsse seyn deß Kaisers treuer Treuer /&amp;nbsp;
der Printz von Amalfi / der Helden Kern und Feuer ;&amp;nbsp;
Gesegnet müsse seyn der Held dem Norden Hold /
&amp;nbsp;den Lorbeerlaub bekrönt vermengt mit Kronengold
Carl Gustav / Graf der Pfaltz ; samt allen Abgesandten
das Göttergleiche Volck die Himmels Anverwandten ;&amp;nbsp;
Der HERR HERR müsse Sie bewahren vor der Pein /&amp;nbsp;
in allen Nöhten Heil / in Krancktheit Rettung sein ;&amp;nbsp;
Der HERR HERR lasse sie bey Wolergehen grauen /&amp;nbsp;
nach hohen Alterthum die Grabestätte schauen&amp;nbsp;
die aller Mutter ist ; doch müsse ihr Gebein
mit Blumen und mit Graß ringsum umschlossen seyn.
&amp;nbsp;
Der HERR HERR wolle die / die friedlich sind erhören /&amp;nbsp;
Sie / Sie wird Jacobs GOTT hoch setzen und hoch ehren /&amp;nbsp;
die HERR HERR segne Sie mit Segen spat und früh /&amp;nbsp;
Er lege grosses Lob und grossen Schmuck auf Sie.
Und du / du Nürnberg dein Lob das muß bekleiben /&amp;nbsp;
der Friede wird dich selbst mit güldner Dinte schreiben
an einen solchen Ort / das es kein Rost auslescht /&amp;nbsp;
das es kein Feuer frist / kein Wetter=Sturm abschwächt.
&amp;nbsp;
Doch mißbrauch keiner nicht deß güldnen Frieden=Gaben /&amp;nbsp;
den der / der Gottloß ist wird keinen Friede haben /&amp;nbsp;
so gnädig als GOTT ist so zornig ist er auch /&amp;nbsp;
und wann sein Zorn entbrennt so setzt er alls in Rauch /&amp;nbsp;
Er findet nimmer nicht zur Gnade Raum noch Stelle /&amp;nbsp;
Es brennet gantz hinnab biß in die untre Helle /&amp;nbsp;
diß weiset Sodom aus / und auch die schöne Stadt&amp;nbsp;
wo unser Heyland selbst im Fleisch gelitten hat.
Geh sündige nicht mehr in deinen Lebens Jahren /&amp;nbsp;
es möchte dir sonst wol was ärgers wiederfahren /&amp;nbsp;
sprach unser Friede=Fürst zu dem der 20. Jahr
und drüber noch / sehr hart zu Bett gelegen war;
diß mercke Teutschland auch. Es lerne nach den Leiden
der grossen Krieges Last die alten Sünden meiden /
dann wann man Sünd mit Sünd von neuen überhäuffe
so wird die Sünderwelt mit neuer Straff ersäufft.
&amp;nbsp;
Darüm so kommen wir vor dir O GOTT getretten.
wir dancken dir O GOTT und loben dich mit Beten /&amp;nbsp;
Dir / dir / dir bringen wir deß Lobes Sieges=Palm /&amp;nbsp;
Dir / dir / dir singen wir deß Danckens Freunden=Psalm:
&amp;nbsp; &amp;nbsp; &amp;nbsp; &amp;nbsp; &amp;nbsp; &amp;nbsp; &amp;nbsp; &amp;nbsp; &amp;nbsp; &amp;nbsp; &amp;nbsp; &amp;nbsp; &amp;nbsp; &amp;nbsp; &amp;nbsp; &amp;nbsp; &amp;nbsp; &amp;nbsp; &amp;nbsp; &amp;nbsp; &amp;nbsp; &amp;nbsp; &amp;nbsp; &amp;nbsp; &amp;nbsp; &amp;nbsp; &amp;nbsp; &amp;nbsp; &amp;nbsp; &amp;nbsp; &amp;nbsp; &amp;nbsp;Psalm. 147. 12.13.14.
Jerusalem erheb den HERREN
LOB Nürenberg ihm weit und ferren /&amp;nbsp;
er machet deine Thore veste&amp;nbsp;
mit Rigeln auf das allerbeste ;&amp;nbsp;
Er segnet in dir deine Kinder
schafft deinen Gräntzen Fried nicht minder ;&amp;nbsp;
Er giebt dir Weitzen nach genügen /&amp;nbsp;
So schön er irgend ist zu kriegen. &amp;nbsp; &amp;nbsp; &amp;nbsp; &amp;nbsp; &amp;nbsp; &amp;nbsp; &amp;nbsp; &amp;nbsp; &amp;nbsp; &amp;nbsp; &amp;nbsp; &amp;nbsp; &amp;nbsp; &amp;nbsp; &amp;nbsp; &amp;nbsp;J. K.&amp;nbsp;
</t>
  </si>
  <si>
    <t xml:space="preserve">http://friedensbilder.gnm.de/sites/default/files/HB200_SP10579.tif</t>
  </si>
  <si>
    <t xml:space="preserve">Am 16. Juni 1650 wurden im Nürnberger ”Schlos“ die Dokumente des Hauptrezesses kollationiert, die den Nürnberger Friedensexekutionskongress beendeten. Das vorliegende Blatt zeigt die Kutschabfahrt der Abgeordneten vom dem Nürnberger Rathaus in Richtung Burg. Dem Spektakel wohnt eine Vielzahl an Stadtbewohner bei, die sich im Bildvordergrund versammelt haben. Im Theatrum Europaeum&amp;nbsp;sind der Ablauf und die Beteiligten genauestens beschrieben. Musikanten begleiteten den Auszug, und die Friedensnachricht wurde durch Boten in der Stadt verbreitet. In der gesamten Stadt und vor allem auf der Burg wurden Kanonen- und Gewehrschüsse abgefeuert sowie abendliche Dankesgottesdienste abgehalten. Die Pulverwolken der Türme sind in der Nürnberger Stadtsilhouette, die sich hinter dem Rathaus erstreckt, gut zu erkennen. Der Blick von Südosten wird&amp;nbsp; durch einen Regenbogen abgeschlossen, unter dem die Friedenstaube den Ölzweig bringt. Sie ist hier nicht nur als generelles Friedenssymbol zu verstehen, sondern bezieht sich auf den in der zweiten Spalte genannten Vers aus Gen 8. Damit stellen sowohl der Dichter Johann Klaj&amp;nbsp;als auch der Zeichner der Vorlage Leonhard Haeberlin&amp;nbsp;einen Bezug zur alttestamentlichen Bundestheologie her.
Für eine bildgleiche Darstellung mit einem Gedicht von&amp;nbsp;Sigmund von Birken siehe&amp;nbsp;HB 24659, Kapsel 1220.
Für eine beinahe motivgleiche Darstellung aber einem anderen Text von Klaj siehe&amp;nbsp;Ebl. 20.020.
MATW/ALS
</t>
  </si>
  <si>
    <t xml:space="preserve">Nürnbergisches Denckwürdiges Freüden Fest, wegen deß Völlig-geschlossenen und daselbst einhellig Unterschriebenen Reichs-Friedens den 26/16 Junii jetzlauffenden 1650 Jahrs, SP 10579, Kapsel 1068
Nürnbergisches Denckwürdiges Freüden Fest, wegen deß Völlig-geschlossenen und daselbst einhellig Unterschriebenen Reichs-Friedens den 26/16 Junii jetzlauffenden 1650 Jahrs, SP 10579, Kapsel 1068</t>
  </si>
  <si>
    <t xml:space="preserve">https://friedensbilder-neu.gnm.de/sites/default/files/2019-06/SP10579_0.png</t>
  </si>
  <si>
    <t xml:space="preserve">Nürnbergisches Denckwürdiges Freüden Fest, wegen deß Völlig-geschlossenen und daselbst einhellig Unterschriebenen Reichs-Friedens den 26/16 Junii jetzlauffenden 1650 Jahrs
Nürnbergisches Denckwürdiges Freüden Fest, wegen deß Völlig-geschlossenen und daselbst einhellig Unterschriebenen Reichs-Friedens den 26/16 Junii jetzlauffenden 1650 Jahrs</t>
  </si>
  <si>
    <t xml:space="preserve">http://friedensbilder.gnm.de/content/frieden_foto_order1c4464</t>
  </si>
  <si>
    <t xml:space="preserve">Libretto </t>
  </si>
  <si>
    <t xml:space="preserve">Il mondo in Pace.</t>
  </si>
  <si>
    <t xml:space="preserve">Musikbibliothek - Deutsches Historisches Institut</t>
  </si>
  <si>
    <t xml:space="preserve">Rar. Libr. Orat. 17. Jh. 12</t>
  </si>
  <si>
    <t xml:space="preserve">Pacieri, Giuseppe
</t>
  </si>
  <si>
    <t xml:space="preserve">Pelliccia 2018</t>
  </si>
  <si>
    <t xml:space="preserve">http://daten.digitale-sammlungen.de/bsb00049546/image_1</t>
  </si>
  <si>
    <t xml:space="preserve">Componimento per musica a cinque voci con Istromenti. Da cantarsi per la notte del Santissimo Natale nel Palazzo Apostolico. Parole di N.N.. Musica di Giuseppe Pacieri virtuoso dell'Eminentiss. Signor Cardinal Cybo.</t>
  </si>
  <si>
    <t xml:space="preserve">http://friedensbilder.gnm.de/sites/default/files/bsb00049546_00001.jpg</t>
  </si>
  <si>
    <t xml:space="preserve">„Il mondo in pace“ ist eine weihnachtliche Komposition für fünf Solostimmen und einen Chor. Die Solisten repräsentieren Pace (Friede, Sopran), Discordia (Zwietracht, Sopran), Amor Divino (Göttliche Liebe, Alt), Mondo (Welt, Bass) und Testo (Erzähler, Tenor). Der Chor vertritt die Schar der Engel. Nicht nur wegen des zentralen Themas der Weihnacht ist dieses musikalische Werk als eine Friedensbotschaft zu verstehen. Zu Beginn beschreibt Testo die Welt, in der zur Zeit Frieden herrscht: Friedvoll ist der nächtliche Schlaf in der leuchtenden Nacht von Christi Geburt, inmitten eines allgemeinen politischen Friedens, den Kaiser Augustus verfügt hat und den der Kaiser selbst verkörpert, als er die Türen des Janustempels schließt. Augustus wird als derjenige beschrieben, der die Welt mit Olivenzweigen umhüllt: „Chiuso il Tempio di Giano | e in ogni parte | cinto l’Orbe d’ulivi Augusto avea“ (Geschlossen ist der Tempel des Janus | und überall hat Augustus | die Welt mit Oliven umhüllt). Das erste Rezitativ der Komposition enthält also eine ganze Reihe von Friedenssymbolen.
Discordia eilt herbei, um die Ruhe der Welt (Mondo) zu stören, sie beklagt die müßigen Friedenszeiten und beginnt mit der dialogischen Querelle, die den Fortgang des Werks bestimmt. Am Anfang steht der Kontrast zwischen Discordia und Mondo, dann zwischen Pace und Mondo. In diese Auseinandersetzung mischt sich Amor divino ein, die göttliche Liebe, und überbringt die prophetische Botschaft von Erlösung und Frieden, die mit der Geburt Christi einhergehen, sowie die politische Botschaft als eigentliche Bedeutung des Werks: Hinter der Figur von Amor divino verbirgt sich Papst Innozenz XI., der als neuer Augustus („Augusta innocenza“) und somit als Friedensstifter der Christenheit erscheint. Das Werk schließt, paradoxerweise begleitet von einem Aufruf zu einem neuen „Kreuzzug“, mit einer deutlichen Friedensbotschaft, die mit der Anrufung von Pace endet, auf dass es der Welt gelinge, Frieden zu finden und zu bewahren. Der zugleich erfolgte Aufruf zum „gerechten“ Krieg gegen das Osmanische Reich, das in der Frühen Neuzeit als Feind der Christenheit betrachtet wurde, verengt das Friedensmotiv des Werks zu einer Aufforderung zum Frieden in der christlichen Welt und zur europäischen Eintracht, die mühsam auf politischem Wege erreicht wurde. Der Frieden von Nimwegen wurde erst wenige Jahre zuvor unter Schwierigkeiten besiegelt und wird schon bald missachtet: Der neue Türkenkrieg sollte im darauf folgenden Jahr beginnen.
CP
</t>
  </si>
  <si>
    <t xml:space="preserve">Il mondo in Pace. , Rar. Libr. Orat. 17. Jh. 12</t>
  </si>
  <si>
    <t xml:space="preserve">https://friedensbilder-neu.gnm.de/sites/default/files/2019-06/Rar.-Libr.-Orat.-17.-Jh.png</t>
  </si>
  <si>
    <t xml:space="preserve">Il mondo in Pace. </t>
  </si>
  <si>
    <t xml:space="preserve">http://friedensbilder.gnm.de/content/frieden_foto_order1df1b7</t>
  </si>
  <si>
    <t xml:space="preserve">Allegorie auf den Sieg der Niederlande über Spanien</t>
  </si>
  <si>
    <t xml:space="preserve">HB 303, Kapsel 1313</t>
  </si>
  <si>
    <t xml:space="preserve">Stecher
Stichvorlage</t>
  </si>
  <si>
    <t xml:space="preserve">Keller, Georg
Saenredam, Jan</t>
  </si>
  <si>
    <t xml:space="preserve">Harms
Hollstein German</t>
  </si>
  <si>
    <t xml:space="preserve">Bd. II, S. 122, Nr. 65
Bd. XVI, S. 32, Nr. 59</t>
  </si>
  <si>
    <t xml:space="preserve">22,8 x 30,5</t>
  </si>
  <si>
    <t xml:space="preserve">GK 1601</t>
  </si>
  <si>
    <t xml:space="preserve">Anlässlich des niederländischen Sieges gegen Spanien bei Nieuwpoort fertigte&amp;nbsp;Jan Pietersz. Saenredams[fn]Hollstein Dutch, Bd. XXIII, S. 92–93, Nr. 120, Zustand 1(5) und Harms&amp;nbsp;Bd. IV, S. 110, Nr. 81.[/fn] einen&amp;nbsp;Stich&amp;nbsp;an, der den&amp;nbsp;Leo Belgicus&amp;nbsp;als Verteidiger der Religion und des Vaterlandes auf einem Triumphwagen präsentiert.&amp;nbsp;Georg Keller&amp;nbsp;kopierte das Blatt, verzichtete aber auf die ausführliche&amp;nbsp;subscriptio.
Der Triumphwagen bedient über Zierschmuck und Personal das gesamte Programm der Friedensikonografie: Der Belgische Löwe führt den Freiheitshut auf einer Lanze mit sich und bewacht sowohl das Buch der Religion, als auch einen Lorbeerschild mit Handschlag und Pfeilbündel.[fn]Das Pfeilbündel symbolisiert allgemein die Sieben Vereinigten Provinzen der Niederlande, ist hier jedoch mit acht Pfeilen dargestellt. Bei dem achten Pfeil handelt es sich wahrscheinlich um die Provinz Drente, die ebenfalls Teil der Utrechter Union gewesen ist, was zum beistehenden Unio passen würde[/fn]&amp;nbsp;Letzteres symbolisiert die vereinigten nördlichen Provinzen,&amp;nbsp;die unter Führung&amp;nbsp;Moritz von Oraniens&amp;nbsp;den Sieg über Spanien errungen hatten.&amp;nbsp;Stellvertretend für den Stadthalter erwächst aus einem Stumpf im Heck des Wagens ein junger Orangenbaum mit dessen Wappen.&amp;nbsp;
Ganz vorne sitzt neben&amp;nbsp;Prudentia&amp;nbsp;auch&amp;nbsp;Victoria, die eine Lanze mit den Wappen zurückgewonnener Städte in die Höhe hält. Sie thront auf einem Bündel eroberter Fahnen und führt mit ihrer linken Hand eine Kette, welche die gefangenen Spanier bändigt; unter diesen befindet sich auch der Heerführer&amp;nbsp;Francisco de Mendoza.&amp;nbsp;Zugkraft des ganzen Triumphes aber ist die Eintracht (Concordia), die mit Zepter und drei Pfeilen voranschreitet, während die Wachsamkeit (Vigilantia) und das glückliche Vaterland (Feliciter Patria) den Zug begleiten. An der Spitze des Siegeszuges marschieren dicht gedrängt Soldaten, die symbolisch für die im Krieg Gefallenen einen Sarg mit leeren Wappen tragen. In der himmlischen Sphäre darüber schwebt Fama, welche den Sieg in Ewigkeit verkündet. Sie wird begleitet von einer Puttenschar, die mit vielfältigen Friedenssymbolen versehen ist.
Die Prozession orientiert sich an Triumphzügen, wie sie anlässlich der Rückkehr siegreicher Herrscher in der Antike abgehalten wurden. Zur Belustigung der Zuschauer und Legitimierung des Herrschers präsentierten diese nicht nur Gefangene und Kriegsbeute, sondern ließen das Geschehen musikalisch begleiten.
Saenredams Stich diente nicht nur Keller als Vorlage. 1654 erschien im Verlag von&amp;nbsp;Hugo Allard&amp;nbsp;eine&amp;nbsp;Neuauflage&amp;nbsp;anlässlich der Siege im&amp;nbsp;Ersten niederländisch-englischen Seekrieg.[fn]Hollstein Dutch, Bd. XXIII, S. 92–93, Nr. 120, Zustand 4(5). [/fn] Hier sitzt&amp;nbsp;Pax&amp;nbsp;im Triumphwagen und der Leo Belgicus ist an die Spitze des Zuges gerückt. Im Wagen befinden sich außerdem die Admirale der niederländischen Flotte,&amp;nbsp;Cornelis Tromp&amp;nbsp;und&amp;nbsp;&amp;nbsp;Michiel de Ruyter, denen die entscheidenden Siege zugeschrieben wurden.[fn]Zur Rolle der beiden Seehelden in Gelegenheitsschriften anlässlich des Friedens von Breda siehe Jensen 2016, S. 43–56.[/fn]
MATW/ALS
</t>
  </si>
  <si>
    <t xml:space="preserve">http://friedensbilder.gnm.de/sites/default/files/HB303.tif</t>
  </si>
  <si>
    <t xml:space="preserve">Anlässlich des niederländischen Sieges gegen Spanien bei Nieuwpoort fertigte&amp;nbsp;Jan Pietersz. Saenredams&amp;nbsp;einen&amp;nbsp;Stich&amp;nbsp;an, der den&amp;nbsp;Leo Belgicus&amp;nbsp;als Verteidiger der Religion und des Vaterlandes auf einem Triumphwagen präsentiert.&amp;nbsp;Georg Keller&amp;nbsp;kopierte das Blatt, verzichtete aber auf die ausführliche&amp;nbsp;Bildunterschrift.Der Triumphwagen bedient über Zierschmuck und Personal das gesamte Programm der Friedensikonografie: Der Belgische Löwe führt den Freiheitshut auf einer Lanze mit sich und bewacht sowohl das Buch der Religion, als auch einen Lorbeerschild mit Handschlag und Pfeilbündel.&amp;nbsp;Letzteres symbolisiert die vereinigten nördlichen Provinzen,&amp;nbsp;die unter Führung&amp;nbsp;Moritz von Oraniens&amp;nbsp;den Sieg über Spanien errungen hatten.&amp;nbsp;Stellvertretend für den Stadthalter erwächst aus einem Stumpf im Heck des Wagens ein junger Orangenbaum mit dessen Wappen.&amp;nbsp;Ganz vorne sitzt neben&amp;nbsp;Prudentia&amp;nbsp;auch&amp;nbsp;Victoria, die eine Lanze mit den Wappen zurückgewonnener Städte in die Höhe hält. Sie thront auf einem Bündel eroberter Fahnen und führt mit ihrer linken Hand eine Kette, welche die gefangenen Spanier bändigt; unter diesen befindet sich auch der Heerführer&amp;nbsp;Francisco de Mendoza.&amp;nbsp;Zugkraft des ganzen Triumphes aber ist die Eintracht (Concordia), die mit Zepter und drei Pfeilen voranschreitet, während die Wachsamkeit (Vigilantia) und das glückliche Vaterland (Feliciter Patria) den Zug begleiten. An der Spitze des Siegeszuges marschieren dicht gedrängt Soldaten, die symbolisch für die im Krieg Gefallenen einen Sarg mit leeren Wappen tragen. In der himmlischen Sphäre darüber schwebt Fama, welche den Sieg in Ewigkeit verkündet. Sie wird begleitet von einer Puttenschar, die mit vielfältigen Friedenssymbolen versehen ist.Die Prozession orientiert sich an Triumphzügen, wie sie anlässlich der Rückkehr siegreicher Herrscher in der Antike abgehalten wurden. Zur Belustigung der Zuschauer und Legitimierung des Herrschers präsentierten diese nicht nur Gefangene und Kriegsbeute, sondern ließen das Geschehen musikalisch begleiten.MATW/ALS</t>
  </si>
  <si>
    <t xml:space="preserve">Allegorie auf den Sieg der Niederlande über Spanien, HB 303, Kapsel 1313</t>
  </si>
  <si>
    <t xml:space="preserve">https://friedensbilder-neu.gnm.de/sites/default/files/2019-06/HB303.png</t>
  </si>
  <si>
    <t xml:space="preserve">http://friedensbilder.gnm.de/content/frieden_foto_order1f913b</t>
  </si>
  <si>
    <t xml:space="preserve">Hist.Sax.C.147.m</t>
  </si>
  <si>
    <t xml:space="preserve">Bergen, Anna Elisabeth</t>
  </si>
  <si>
    <t xml:space="preserve">Sauer 2011</t>
  </si>
  <si>
    <t xml:space="preserve">S. 99–108</t>
  </si>
  <si>
    <t xml:space="preserve">https://archive.org/details/operaballetvonde00harm</t>
  </si>
  <si>
    <t xml:space="preserve">MT.4.66 </t>
  </si>
  <si>
    <t xml:space="preserve">Gedruckt bey der Cuhrfl. Sächß. verwittibten Hof-Buchdruckerin</t>
  </si>
  <si>
    <t xml:space="preserve">Springendes Fried- und Freudenlied: Denen Lobwürdigsten/ Tapffern und Weltberühmten Kriegs- und Sieges-Helden Zu Unsterblichen Ehrenruhm und Lobgedächtnuß auffgesetzet und Bey dem In Nürnberg den 24 Herbstmonat im Jahr 1649. einmüthig angestelten hochvertreulichen Fried- und Freudenmahl zu fröhlicher Auffmunterung überreichet / Durch Victorinus Friedenhold</t>
  </si>
  <si>
    <t xml:space="preserve">8 P GERM I, 6414 (3) RARA</t>
  </si>
  <si>
    <t xml:space="preserve">7:685056W</t>
  </si>
  <si>
    <t xml:space="preserve">http://gdz.sub.uni-goettingen.de/dms/load/img/?PID=PPN803281420</t>
  </si>
  <si>
    <t xml:space="preserve">Xb 2515</t>
  </si>
  <si>
    <t xml:space="preserve">Victorinus Friedenhold ist Pseud. für&amp;nbsp;Johann&amp;nbsp;KlajErscheinungsjahr nach einem Chronogramm</t>
  </si>
  <si>
    <t xml:space="preserve">personifizierte Länder: Schweden, Österreich, FrankreichNennung Türkengenannte Figuren: Löwe, Adler, Lilien -&amp;gt; wo soll das eingetragen werden?</t>
  </si>
  <si>
    <t xml:space="preserve">http://friedensbilder.gnm.de/sites/default/files/00000001.jpg
http://friedensbilder.gnm.de/sites/default/files/00000002.jpg
http://friedensbilder.gnm.de/sites/default/files/00000003.jpg
http://friedensbilder.gnm.de/sites/default/files/00000004.jpg
http://friedensbilder.gnm.de/sites/default/files/00000005.jpg
http://friedensbilder.gnm.de/sites/default/files/00000006.jpg
http://friedensbilder.gnm.de/sites/default/files/00000007.jpg
http://friedensbilder.gnm.de/sites/default/files/00000008.jpg
http://friedensbilder.gnm.de/sites/default/files/00000009.jpg</t>
  </si>
  <si>
    <t xml:space="preserve">Springendes Fried- und Freudenlied, 8 P GERM I, 6414 (3) RARA</t>
  </si>
  <si>
    <t xml:space="preserve">Springendes Fried- und Freudenlied</t>
  </si>
  <si>
    <t xml:space="preserve">Friedenswunsch im Jahr 1628</t>
  </si>
  <si>
    <t xml:space="preserve">Med 14477</t>
  </si>
  <si>
    <t xml:space="preserve">Maué 2008
Ausst. Kat. Münster / Osnabrück 1998
Wiêcek 1962
Bibel Einheitsübersetzung, Jes 11,6</t>
  </si>
  <si>
    <t xml:space="preserve">S. 58-59, Nr. 13
Bd. II, S. 181-182, Kat.-Nr. 516 
S. 102, Kat.-Nr. 43</t>
  </si>
  <si>
    <t xml:space="preserve">34,45 
52 </t>
  </si>
  <si>
    <t xml:space="preserve">Umschrift (zweizeilig)
Inschrift
Umschrift</t>
  </si>
  <si>
    <t xml:space="preserve">IM GANTZEN LAND: GOTT GEBE FRIED / ERHALTE LEHR: WEHR: VND NEHRSTAND.
MDCXXVIII
IN IESV PAX ET CONCORDIA
VDMIAE</t>
  </si>
  <si>
    <t xml:space="preserve">Im&amp;nbsp;Dreißigjährigen Krieg&amp;nbsp;thematisierten deutsche Medaillen seit den 1620er Jahren vor allem Friedenswünsche, wie ein Beispiel von&amp;nbsp;Sebastian Dadler&amp;nbsp;zeigt.&amp;nbsp;Unter der Sentenz&amp;nbsp;Verbum Domini Manet in Aeternum&amp;nbsp;stehen&amp;nbsp;Pax&amp;nbsp;und&amp;nbsp;Concordia. Ihre Attribute verweisen auf eine gerechte Herrschaft: Die Personifikation des Friedens trägt Brustpanzer und Schwert, zu ihren Füßen nährt ein Pelikan seine Jungen mit Eigenblut als Sinnbild der Hingabe und der Pflichterfüllung eines gerechten Herrschers.&amp;nbsp;Die Gestalt der Eintracht hält in ihrer Rechten einen Spaten als Zeichen der aufblühenden Landwirtschaft. Der Bienenkorb symbolisiert eine intakte Gemeinde, während die emsigen Bienen für Fleiß und die Milde des Herrschers (clementia principis) stehen. In der Tradition von Platons Politeia (Der Staat) unterstreicht die Umschrift die Notwendigkeit&amp;nbsp;einer guten Regierung in Friedenszeiten. In diesem utopischen Modell eines Idealstaates bildet die Symbiose aus Lehr-, Wehr- und Nährstand die Grundlage eines funktionierenden Staatensystems.Auf der Rückseite zitiert Dadler die Ankündigung des messianischen Reichs in Jes 11,6: ”Dann wohnt der Wolf beim Lamm, der Panther liegt beim Böcklein. Kalb und Löwe weiden zusammen, ein kleiner Knabe kann sie hüten“.ALS</t>
  </si>
  <si>
    <t xml:space="preserve">http://friedensbilder.gnm.de/sites/default/files/Med14477_01.tif
http://friedensbilder.gnm.de/sites/default/files/Med14477_02.tif</t>
  </si>
  <si>
    <t xml:space="preserve">Friedenswunsch im Jahr 1628, Vorderseite, Med 14477
Friedenswunsch im Jahr 1628, Vorderseite, Med 14477
Friedenswunsch im Jahr 1628, Rückseite, Med 14477</t>
  </si>
  <si>
    <t xml:space="preserve">Friedenswunsch im Jahr 1628, Vorderseite
Friedenswunsch im Jahr 1628, Vorderseite
Friedenswunsch im Jahr 1628, Rückseite</t>
  </si>
  <si>
    <t xml:space="preserve">Augspurgischer Friden=Wagen</t>
  </si>
  <si>
    <t xml:space="preserve">Einbl. XI,255</t>
  </si>
  <si>
    <t xml:space="preserve">Verleger
Stecher
Verfasser
Drucker</t>
  </si>
  <si>
    <t xml:space="preserve">Kilian, Wolfgang
Heins, Johann
Schönig, Johann-Ulrich</t>
  </si>
  <si>
    <t xml:space="preserve">Harms 
Paas
Burkhardt 1998a</t>
  </si>
  <si>
    <t xml:space="preserve">Bd. II, Nr. 321
Bd. VII, Nr. P-2244
S. 104</t>
  </si>
  <si>
    <t xml:space="preserve">1:623092P</t>
  </si>
  <si>
    <t xml:space="preserve">http://daten.digitale-sammlungen.de/~db/0009/bsb00099473/images/</t>
  </si>
  <si>
    <t xml:space="preserve">58 x 38 
28,6 x 35,8</t>
  </si>
  <si>
    <t xml:space="preserve">IH 242</t>
  </si>
  <si>
    <t xml:space="preserve">Franziska Bauer, Marius Wittke</t>
  </si>
  <si>
    <t xml:space="preserve">Johannes Henisius D. Invenit et descripsit.
Wolfgang Kilian sculpsit et excudit.
Gedruckt zu Augspurg / bey Johan-Ulrich Schönigk.
In verlegung Wolffgang Kilians / Kupfferstecher. </t>
  </si>
  <si>
    <t xml:space="preserve">Das bekannte Blatt des Augspurgischen Frieden-Wagens bietet eine Fülle an Motiven und Figuren, die sich über vier Windungen des Triumphzuges verteilen. Zur Erklärung des historischen Hintergrundes sowie einzelner Szenen, verfasste der Augsburger Dichter&amp;nbsp;Johann Heins&amp;nbsp;ein sehr ausführliches&amp;nbsp;Bildgedicht,[fn]Transkription siehe unten[/fn]dass sich in vier Kolonnen unter dem Bild erstreckt.
Zentral am unteren Bildrand präsentiert uns der Kupferstecher&amp;nbsp;Wolfgang Kilian&amp;nbsp;den Triumphwagen der Pax, der von vier weißen Pferden gezogen wird. Der Zug bewegt sich in wiederholenden Kehren durch zwei geschmückte Triumphbögen und umfasst verschiedene Reitergestalten und Passanten. Darunter befinden sich der Kaiser des Reiches Deutscher Nationen und europäische Regenten, Herolde und Fürsten, vornehme Gäste und Kriegsheimkehrer, sowie Personifikationen und Tugenden auf den Frieden.
Pax selbst hält Füllhorn und Lorbeerzweig in den Armen, während sie von einem Engel mit einem immergrünen Kranz bekrönt wird. Ihre Begleiterinnen, sind stets durch ihre Attribute zu identifizieren. Auf dem Muschelwagen fahren die Gerechtigkeit (Waage), der Glaube (Kreuz und Buch) und die Freiheit (Lanze mit Hut). Dabei, und dies gilt für den gesamten Zug, erscheinen die dem Betrachter abgewandten Figuren deutlich verschattet, ein Kniff des Künstlers um den Eindruck von Tiefe zu evozieren. Als Gefangene führt der Friedenszug das Gefolge des Kriegsgottes Mars mit sich, der in voller Rüstung über die am Boden liegenden Waffen schreitet. Zu seinen Leidensgenossen zählen&amp;nbsp;Tod, Geiz, Verzweiflung, Neid, Heuchelei und Pestilenz.
Geführt werden die Zugpferde von den weiblichen Figurationen der Kraft (Säule) und der Einigkeit (Schlangenstab), sowie der Hoffnung (Anker) und Fama, welche die Friedensbotschaft mit ihrer Schalmei[fn]So bezeichnet Johann Heins das Friedensinstrument, dass meist als Posaune oder Fanfare gedeutet wird.[/fn] verkündet. Ihnen voran flankieren Treue und Liebe einen greiser Mann mit Sense und Stundenglas&amp;nbsp;- die Zeit - der soeben das erste Portal durchschreiten will, auf dem sich die drei Augsburger Flüsse&amp;nbsp;Lech, Werde (Wertach) und Sinckel (Senkelbach) ergießen.
Kaiser Ferdinand III. hat diesen ersten Triumphbogen bereits durchritten, er beherrscht das kompositorische Zentrum des Mittelgrundes und wird von einem getragenen Baldachin beschirmt. Zu seiner Rechten reitet der junge&amp;nbsp;Ludwig XIV, König von Frankreich und zu seiner Linken befindet sich die schwedische Königin&amp;nbsp;Christina I. Das Regententrio, das hier als Garant des&amp;nbsp;Westfälischen Friedens&amp;nbsp;steht, wird von drei geistlichen und vier weltlichen Kurfürsten begleitet. Davor präsentieren drei Herolde mit Stab und Schild die Einigkeit von Adler, Lilie und Löwe,&amp;nbsp;während die Leibgarde den Zug vor einigen Schaulustigen abschirmt. Die lange Spitze des Zuges bilden dann&amp;nbsp;die vielen reitenden Abgesandten, die den Frieden verhandelt haben. Sie durchqueren einen zweiten Prachtbogen, der von einem ungewöhnlich bärtigen Apollon im Himmelswagen bekrönt wird;[fn]Möglicherweise irrt Johann Heins in der Deutung Apolls und es handelt sich hier um den griechischen Sonnengott Helios, der mit seinem Wagen die rechts im Bild befindliche Friedenssonne verstärken soll.[/fn]&amp;nbsp;die Weisheit mit Spiegel und Pallas mit Schild und Waffen unterstützen ihn symbolkräftig.&amp;nbsp;
Was die Beschreibung Heins' außer Acht lässt, ist das Geschehen am Horizont. Die Spitze des Triumphzuges verschwindet hinter seichten Hügeln in einer Senke vor der befestigten Stadt Augsburgs, die sich am gesamten oberen Bildrand entfaltet. Die Position der Umzugsspitze muss vom Betrachter gedacht werden, ihr Ziel wird aber zweifelsohne die Stadt am Lech sein, wenngleich es so anmutet, als würde der Freudenzug in der linken oberen Bildecke in einem Heerlager münden. Hiermit wird aber sicher auf die letzten bayerischen Truppenverbände des 30-jährigen Krieges angespielt, die nach der Schlacht bei Zusmarshausen vor den Toren Augsburgs ausharrten.
MATW
</t>
  </si>
  <si>
    <t xml:space="preserve">Bild: Die Friedensgöttin zieht durch zwei Triumphbogen nach dem im Hintergrund liegenden Augsburg. Vor ihr Kaiser und Reichsstände.
Bibliogr. Nachweis: Drugulin 2305, Harms II, 321, Paas P-2244
Im Kupfer: Johannes Henisius D. Invenit et descripsit. Wolfgang Kilian sculpsit et excudit
Vorlageform des Erscheinungsvermerks: Gedruckt zu Augspurg/ bey Johan[n]-Ulrich Schönigk. In[n] verlegung Wolffgang Kilians/ Kupfferstecher. 1649.
In 2 Teilen. - Format: ca. 58 x 38 cm. - Satzspiegel: 27,7 x 37,2 cm. - Ill.: 28,6 x 35,8 cm
Schlüsselseiten aus dem Exemplar der SBB-PK Berlin: Einbl. YA 8265 gr.
Digitalisat: BSB&amp;nbsp;
</t>
  </si>
  <si>
    <t xml:space="preserve">Es seind nun dreyssig Jahr daß wir geplagte Teutschen/ Die wolverdiente Straff der harten Kriegs-Peutschen Erfahren vnd gesehen/ wie vnser Vatterland/ Vns Teutschen selber sey fast nim[m]ermehr bekant. Wie alles in dem Krieg bald vnden vnd bald oben/ von vielen hin und her vnd wieder hin geschoben/ Vnd ganz verwürret sey; daß vnser armes Reich/ zerstümpelt und zerfetzt ihm selber nim[m]er gleich. Der ganzen Christenheit vornembste Potentaten/ Betrachten diese noth vnd wird endlich gerathen/ Daß ein Zusam[m]enkunfft deßhalb gehalten werd/ Dadurch der edle Frid werd wider bracht auf Erd. Westphalen ist dz Land da man zusam[m]en kom[m]en, Vnd diese grosse Sach mit eyfer vorgenom[m]en: Man rathschlage tag vnd nacht/ biß in dz 5te Jar Mit nicht geringer Müh/ Vnkosten und Gefahr: Biß kam die rechte Zeit da es müßt Friede werden/ Darab sich hat erfrewt der Him[m]el vnd die Erden/ Also war GOttes will/ also hat Ers bestelt/ Wann es schon tausendmal&amp;nbsp; dem Teufel nit gefelt. Augspurg die edle Statt an sitten an gebräuchen/ An Alter hochberümbt/ vnd welche ihres gleichen An Schönheit wenig hat/ in aller Welt bekant/ Vor diesem aller Künst und Tugend Vatterland/ Die war ein lange zeit belegt mit vielen plagen/ Krieg/ teürung/ pestilenz/ un[d] wz noch mehr zu klage[n] Die hat durch Gottes gnad mit frewden angehört/ Wie daß der liebe Frid ihr endlich sey beschert. Vnd wie die trübe Nacht deß Krieges abgewichen/ Weil die bestrahlte Son[n] deß Frides hergeschliche[n]/ Derhalben sie sich auch alßbalden hat bedacht/ Vnd ihrem HErren Gott ein Lobgesang gemacht. Nach dem sie mit begierd vn[d] frewde[n] hat vernom[m]en Dz ir der teüre Frid schon bey der Statt ankom[m]en Da schicket sie heraus Soldaten/ Reütterey/ Heerwägen Kutsche[n]/ Pferd vnd anders mehr dabey Den edels-werthe[n] Frid mit frewden zuempfangen/ Auf welche[n] sie so lang mit seufftzen vnd verlangen Gewartet vnd gehofft/ der kompt jetzt eben an/ Drumb frewe/ frewe sich was sich erfrewen kan. Es reitet erstlich her die außgewählte Jugendt/ Der edle[n] Ritterschafft ein außbund aller Tugend/ Der alten Stäm[m]e frucht/ das herzlich Hofgesind/ Wobey man Redekunst vnd Zierlichkeiten find, Vnd weil kein Frewde ist/ wo keine Music klinget/ Beschicht dz man den Frid auch ritterlich besinget Trumpeten Heerestrum die geben iren Thon/ Das Echo widerhalle/ der rechten Rede Sohn. Auf dise folgen bald die Reitter vnd Soldaten/ Die Leib bestelte Wacht der hohen Potentaten/
Mit aller zugehör/ wie man zu Felde zieht/ Wann einer seinen Feind entgegen kom[m]en sieht. Die ziehen ordentlich durch diesen Ehren-Bogen/ Durch welchen albereit die andre auch gezogen/ Apollo wohnt darauff der Vatter aller Kunst/ Vnd welcher vil kunst hat/ bekom[m]et auch vil gunst: zur rechte[n] sitzet im die Weißheit mit dem Spiegel/ Vnd lehret wie man doch die vorgeschobne Rigel/ Vnd krum[m]-geschrauffte list der Mensche[n] ken[n]en soll/ Weil ja die gantze Welt der Listen gäntzlich voll. Pallas zur lincken Hand bezeugt mit ihren Waffen/ Vnd mit der Künste[n]schild/ dz dz Glück sey beschaffe[n] Durch fleiß vnd arbeit groß/ vnd nit durch güt vnd (gelt Dieweil der Feder preiß regier die gantze Welt. Nach diesen reitten her die Herren Abgesandten/ Die so mit GOttes hülf vnd mäniglich bekandten Wol weisen gute[n] Rath/ den Fride[n]schluß gemacht/ Dardurch dz gantze Reich in gute[n] Stand gebracht Drey Herold kom[m]en gleich mit ihrer Herre[n]-stäben Vnd Schilden anzusehen/ die weisen vns beneben/ Daß Adler/ Lilien/ Löw/ nun mehr verainigt sey/ Mit ohngefärbter Lieb vnd ungefälschter Trew. Drey Geistlich ires Stands Churfürsten außer-&amp;nbsp;(kore[n]&amp;nbsp;zum edle[n] Fride[n]schluß vo[n] hohe[m] Stam[m] gebore[n] Die kom[m]en gleich hernach mit wolbedachtem mut/ Vnd frewen sich zumal ob diesem edle[n] Gut. Der Kayser Ferdinand, der Böhm vnnd Vngern (König Das Haupt der Christe[n]heit/ dem dz Reich vnd'tänig In seiner Maiestät den Friden führet ein/ zu Augsburg in der Satt/ was kan wol höhers (sein: zu seiner rechte[n] Hand ein König jung von Jahren/ An weißheit aber alt/ wie Fra[n]reich wird erfahre[n] Wan[n] Er einmal regiert/ der theure Helden Sohn/ Gerechtigkeit vnd Frid bekrönet seinen Thron. Der Schweden Königin kom[m]t auf der lincken seite[n] Die Crone ires Landes zu disen schweren zeiten/ Die mit vil Macht vnd Mut das Werck befürdert (hat Dardurch verbleibt ihr Nam bewisen mit der that. Auf welche folge[n] 4 Churfürste[n] weltlichs standes Die Saulen Teutsches[n] Reichs vnd Vatter ires Lan (des. Die ziehe[n] herrlich auf in gleich gezierte[m] schmuck Vnd nem[m]en Friden an/ vnd stossen Krieg zuruck. Ab dero Gegenwart erfrew sich aller Orten Wem einigkeit beliebt: vnd vf der Sigesporten Ergiessen sich drey Flüß/ vnd rauschen mehr gelind Als sie zu andrer zeit/ daher geflossen sind: Der fischbereichte Lech/ die sanfftgelinde Werde/ Der stillen Sinckel-fluß verstellen ihr Gebärde/ Vnd frewen sich mit vns/ daß sie vor Feindes hand Jetzt bleiben vnbetrübt/ vnd sauber an dem strand Durch dise Ehre[n]port vnd schönem Sigesbogen
Seyn vil vornehme Gäst mit frewden eingezogen: Dann welche durch den Krieg vorher getriben auß/ Die kom[m]en widerumb durch Frid mit frewd zuhauß. Das kugel-runde Glück im vnbestand beständig/ Vnd dz durch keine bit/ noch durch geschäncke bändig Vnd zahme wird gemacht/ das bald bey einem lacht/ Bald aber vnverhofft ihn wider traurig macht. Die Zeit der edle Schatz/ wo durch in wenig stunden/ Vnd die Gelegenheit die man bey ihrem Shopff/ zwar vornen halten kan/ sonst kahl auff irem Kopff. Der Menschen festes band die Lieb so vnverdrossen/ In allem alles kan/ mit mund vnd hand geschlossen/ Vnd alles vberwind/ vnd die gepahrte Trew/ BeymFriden sich befind/ damit sie sicher sey. Die Hoffnung welche sonst zu Ancker im[m]er liget/ Vnd im[m]er durch Gebet zu GOtt/ hat obgesiget. Ja Fama selber will nicht die geringste seyn/ Stelt derohalben sich auch bey den andern ein/ Vnd blaßt den Fride[n] auß mit irer Waldschallmeyen/ Die and're müssen all mit frewden Fride schreyen/ Daß es in aller Welt erschall/ weil jederman In angenehmer ruh sein Werck verrichten kan. Nun kom[m]et endlich her auff seinem Ehrenwagen Der Frid/ der edle Frid/ gantz prächtig hergetragen Vnd einer Göttin gleich/ auff das herrlichst geziert/ Mit Gold vnd Edelgstein auff das beste staffiert. In irer rechten Hand sicht man sie frölich schwingen/ Ein im[m]er grünes Zweig vnd mit der lincken bringen/ Ein wolgefültes Horn vo[n] Frücht vnd Blümen reich/ Vnd was zur Ehr gehört vnd zu der noth zugleich( Ein Engel hinder ihr thut herrlich vberraichen/ Ein ewig grüne Cron vnd Palm zum Sigeszeichen/ Vnd rüffet: Lebe wol/ mein Fride lebe wol( So lang biß jederman der Friden-frewde vol. Die nit gebundne Fraw so man die Freyheit nen[n]et Die ihr selbst aigen ist/ vnd keinen Herzen kennet/ Die sitzet gleich bey jhr vnd schwinget jhren Hut/ Zaigt an wo Freyheit ist da sey das höchste Gut. Vnd die Gerechtigkeit/ Die keines zu verschonen/ Das böß zu straffen weißt/ das gute zu belohnen/ Die recht Religion mit Creutz vnd Buch geziert/ Wird mit dem Friden auch zugleich hereingeführt. Vnd daß dem adle[n] Gut kein leid mehr mög geschehen So ist die Stärck zurhand ihm kräfftig beyzustehen Wie auch die Einigkeit mit jhrem Schlangenstab/ Die richtet allen Streit/ vnd wendet Vnfried ab. Der Wagen wird gefürt vo[n] vier schneeweissen Pferde[n] Die trage[n] auf dem Kopf 4. Jarsfrücht auß der Erden Bedeuten daß der Frid alles mit sich bringen bringen thut/
Was man zur Nahru[n]g braucht/ vnd wz vns alle[n] gut. Weil nu der Frid gemacht/ zerbricht man alle waffen Vn[n] hat die künfftig zeit mit dem Krieg nichts zu schaf-(fen. Kartaune[n]/ büchsen/ Loth/ zerbrochenes Gewehr/ Mußqueten/ harnisch/ helm vnd wz dergleiche[n] mehr. Der alte Störenfrid/ der Mars ist vberwunden/ Vnd wird mit seiner Rott gefangen vnd gebunden/ Zum schawspil vmbgefürt/ deß frewt sich män[n]iglich/ Das blat hat sich gewent/ nun lebt man sicherlich. Bey disem gehet her der grim[m]ig Menschenschinder/ Der auff der Seelen hat vil arme Weib vnd Kinder/ Der vber möglichkeit nur Gelt/ Gelt haben wolt/ Wann gleich das gantze Land zu grunde gehen solt. Der ohnerschöpffte Geitz vnd Mutter viler Sündern Der laider vnter vns/ gar häuffig ist zu finden/ Der nim[m]er sich vernügt/ vnd nicht hat was er hat/ Vnd wan[n] er alles hat/ so ist er doch nit satt. Verzweiflung geht auch mit / vnd will sich selbst er-(morden/ Weil sie an Leib vnd Gut vilmal verderbet worden. Der todenfarbe Neid/ der frißt sein aigen Herz/ Wann andern wol ergeht/ ist es sein größter schmerz. Die grausam Tyran[n]ey/ mord/ raub/ brand/ schand vnd wüten/ Vom Freünd selbst vnd vom Feind/ so schwerlich zu-(verhüten. Die schleichend Heucheley/ mit jrem falschen schein/ Gibt honigsüsse wort/ die doch gallbitter sein. Die erblich Pestilentz so scharpffes Gifft außschittet/ Dardurch sie Statt vnd Land in kurtzer zeit zerrittet/ Die bleiben gfangne Knecht/ biß in jhr Grub hinein/ Weil stränge Curassier/ auff sie bestellen sein. Vnd also hat der Frid sein frewdenzug gehalten/ Mit höchst beliebter lust bey jungen vnd bey alten: Ein Gott beliebter Frid das beste Gut der Welt/ Der von dem Him[m]el kompt/ vnd alle Leüth erhelt. Der die Religion in würden lasset bleiben/ Vnd jedermän[n]iglich sein Kunst vnd handlung treibe[n]/ Der die Gerechtigkeit zu jhrer Wage führt/ Daß jederman geschicht wie nach dem Recht gebürt/ Der vilmal besser ist/ als vilerlangte Siege/ Durch blutigen Gewalt/ vnd lang gewärte Kriege/ Der Wein vnd Früchten gibt/ zu jhrer rechten zeit/ Vnd der die Künste nehret/ vnd ehrt gelehrte Leüt. Der jederman erhelt/ in seinem Lebens-Stande/ Er seye wo er woll/ zu Wasser oder Lande/. Wolan wir wünschen nur/ daß er beständig bleib/ Vnd daß der Friedensfürst/ behüte Seel vnd Leib. Ehr sey dem grossen Gott dem Schöpfer diser Erden/ Ehr seye seinem Sohn/ durch den wir selig werden/ Ehr sey dem gutten Geist/ der alles Vnglück wend/ Vnd endtlich vns bescher/ ein selig gutes End. AMEN.
Gedruckt zu Augspurg/ bey Johan[n]-Olrich Schönigk. In[n] verlegung Wolffgang Kilians/ Kupferstecher. 1649
MATW
</t>
  </si>
  <si>
    <t xml:space="preserve">http://friedensbilder.gnm.de/sites/default/files/HAB_IH_242.jpg</t>
  </si>
  <si>
    <t xml:space="preserve">Das bekannte Blatt des Augspurgischen Frieden-Wagens bietet eine Fülle an Motiven und Figuren, die sich über vier Windungen des Triumphzuges verteilen. Zur Erklärung des historischen Hintergrundes sowie einzelner Szenen, verfasste der Augsburger Dichter&amp;nbsp;Johann Heins&amp;nbsp;ein sehr ausführliches&amp;nbsp;Bildgedicht, dass sich in vier Kolonnen unter dem Bild erstreckt.
Zentral am unteren Bildrand präsentiert uns der Kupferstecher&amp;nbsp;Wolfgang Kilian&amp;nbsp;den Triumphwagen der Pax, der von vier weißen Pferden gezogen wird. Der Zug bewegt sich in wiederholenden Kehren durch zwei geschmückte Triumphbögen und umfasst verschiedene Reitergestalten und Passanten. Darunter befinden sich der Kaiser des Reiches Deutscher Nationen und europäische Regenten, Herolde und Fürsten, vornehme Gäste und Kriegsheimkehrer, sowie Personifikationen und Tugenden auf den Frieden.
Pax selbst hält Füllhorn und Lorbeerzweig in den Armen und auch ihre Begleiterinnen sind stets durch die jeweiligen Attribute zu identifizieren. Auf dem Muschelwagen fahren die Gerechtigkeit (Waage), der Glaube (Kreuz und Buch) und die Freiheit (Lanze mit Hut). Als Gefangene führt der Friedenszug das Gefolge des Kriegsgottes Mars mit sich, der in voller Rüstung über die am Boden liegenden Waffen schreitet. Zu seinen Leidensgenossen zählen&amp;nbsp;Tod, Geiz, Verzweiflung, Neid, Heuchelei und Pestilenz.&amp;nbsp;Geführt werden die Zugpferde von den weiblichen Figurationen der Kraft (Säule) und der Einigkeit (Schlangenstab), sowie der Hoffnung (Anker) und Fama.
Kaiser Ferdinand III. hat bereits einen Triumphbogen durchritten, er beherrscht das kompositorische Zentrum des Mittelgrundes und wird von einem getragenen Baldachin beschirmt. Zu seiner Rechten reitet der junge&amp;nbsp;Ludwig XIV, König von Frankreich und zu seiner Linken befindet sich die schwedische Königin&amp;nbsp;Christina I. Das Regententrio, das hier als Garant des&amp;nbsp;Westfälischen Friedens&amp;nbsp;steht, wird von drei geistlichen und vier weltlichen Kurfürsten begleitet. Davor präsentieren drei Herolde mit Stab und Schild die Einigkeit von Adler, Lilie und Löwe,&amp;nbsp;während die Leibgarde den Zug vor einigen Schaulustigen abschirmt. Die lange Spitze des Zuges bilden dann viele reitende Abgesandte, die den Frieden mitverhandelt haben und nun den zweiten der Prachtbögen durchqueren.
MATW
</t>
  </si>
  <si>
    <t xml:space="preserve">Augspurgischer Friden=Wagen, Text, Einbl. XI,255
Augspurgischer Friden=Wagen, Bild, Einbl. XI,255</t>
  </si>
  <si>
    <t xml:space="preserve">https://friedensbilder-neu.gnm.de/sites/default/files/2019-06/Einbl. XI,255_0.png</t>
  </si>
  <si>
    <t xml:space="preserve">Augspurgischer Friden=Wagen, Text
Augspurgischer Friden=Wagen, Bild</t>
  </si>
  <si>
    <t xml:space="preserve">http://friedensbilder.gnm.de/content/frieden_foto_order1ba323</t>
  </si>
  <si>
    <t xml:space="preserve">Medaille auf den Reichsfrieden</t>
  </si>
  <si>
    <t xml:space="preserve">26252 Mz</t>
  </si>
  <si>
    <t xml:space="preserve">Ausst. Kat. Münster/Osnabrück 1998</t>
  </si>
  <si>
    <t xml:space="preserve">Bd. III, S. 228-229, Kat.-Nr. 680</t>
  </si>
  <si>
    <t xml:space="preserve">Durchmesser 
Gewicht</t>
  </si>
  <si>
    <t xml:space="preserve">36,2
18,69</t>
  </si>
  <si>
    <t xml:space="preserve">Nicht mit blut sonder dinten
ReichsFriden Nach 30 Jahr: vnruhe durch versönung der Röm: Frantz: vnnd Schwedischen Cronen und Stände auß Gottes güte beschlossen in Osnabruck v. Münster 15 Oct: 1648</t>
  </si>
  <si>
    <t xml:space="preserve">im Abschnitt
zentriert</t>
  </si>
  <si>
    <t xml:space="preserve">In den protestantischen Territorien entstanden nach 1648 Münzen und Medaillen, die nicht die einzelnen Vertragsergebnisse, sondern die allgemeine Freude über den Frieden zum Ausdruck brachten. Zu den wichtigsten Motiven zählten Symbole für den Vertragsabschluss, beispielsweise ein Handschlag oder Tintenfass und Feder. Die Inschrift 'Nicht Blut sondern Dinte' auf dem Avers verdeutlicht den durch diplomatische und nicht militärische Handlungen errungenen Frieden. Die drei Flaggen der unterzeichnenden Mächte über der Kaiserkrone sind durch ein Band und Vorhängeschloss mit dem Handschlag verbunden. Auf den Tintenfässern daneben befinden sich die Wappen Osnabrücks (links) und Münsters (rechts).Die Verträge von Münster und Osnabrück wurden am 24. Oktober 1648 geschlossen. Da die protestantischen Gemeinden jedoch noch nach dem julianischen Kalender rechneten, gibt die Rückseite den 15. Oktober als Datum an.ALS&amp;nbsp;</t>
  </si>
  <si>
    <t xml:space="preserve">http://friedensbilder.gnm.de/sites/default/files/26252Mz_16252Mz_Rs.jpg</t>
  </si>
  <si>
    <t xml:space="preserve">Medaille auf den Reichsfrieden, Vorderseite, 26252 Mz</t>
  </si>
  <si>
    <t xml:space="preserve">Medaille auf den Reichsfrieden, Vorderseite</t>
  </si>
  <si>
    <t xml:space="preserve">http://friedensbilder.gnm.de/content/frieden_foto_order11f5f0</t>
  </si>
  <si>
    <t xml:space="preserve">Gemälde</t>
  </si>
  <si>
    <t xml:space="preserve">Beschwörung des spanisch-niederländischen Friedens im Rathaus zu Münster</t>
  </si>
  <si>
    <t xml:space="preserve">The National Gallery (London)</t>
  </si>
  <si>
    <t xml:space="preserve">Malerei</t>
  </si>
  <si>
    <t xml:space="preserve">Ölfarbe</t>
  </si>
  <si>
    <t xml:space="preserve">Kupfer</t>
  </si>
  <si>
    <t xml:space="preserve">Maler</t>
  </si>
  <si>
    <t xml:space="preserve">Borch, Gerard ter</t>
  </si>
  <si>
    <t xml:space="preserve">Ausst. Kat. Münster 1988b
Genders 1973
Ausst. Kat. Münster/Osnabrück 1998
Kat. London 1960
Pieper 1961
Ausst. Kat. Münster / Magdeburg 2008/2009
Groenveld 1998a
Ausst. Kat. Stuttgart 2012
Ausst. Kat. Washington 2004
Ausst. Kat. Münster 1974
Ausst. Kat. Den Haag 1998
Gudlaugsson 1960
McNeil Kettering 1998b
Plietzsch 1944
Hofstede 1912
Kat. London 1991
Kaster / Steinwascher 1996
Kaulbach 2003a
Kaulbach 2013</t>
  </si>
  <si>
    <t xml:space="preserve">S. 185–191, Kat.-Nr. 122 (Udo Grote)
Bd. III, S. 212–213, Kat.-Nr. 615 (Gerd Dethlefs)
S. 35–41
S. 19–28
S. 173, Kat.-Nr. II.25 (Dorothee Linnemann)
S. 11–12
S. 8, Abb. 1 (Hans-Martin Kaulbach)
S. 72, Kat.-Nr. 13 (Alison McNeil Kettering)
S. 21; S. 84, Kat.-Nr. 15 
S. 37–40
Bd. II, S. 81–85, Kat.-Nr. 57
S. 611–612
S. 41–42, Kat.-Nr. 25
S. 10, Kat.-Nr. 6
Bd. I, S. 34–39, Kat.-Nr. 896
S. 15, Nr. 4
S. 210–213
Bd. I, S. 63–68
S. 8</t>
  </si>
  <si>
    <t xml:space="preserve">http://www.nationalgallery.org.uk/paintings/gerard-ter-borch-the-ratification-of-the-treaty-of-munster</t>
  </si>
  <si>
    <t xml:space="preserve">Bildträger</t>
  </si>
  <si>
    <t xml:space="preserve">45,4 x 58,5 </t>
  </si>
  <si>
    <t xml:space="preserve">Gedenkbild</t>
  </si>
  <si>
    <t xml:space="preserve">G. T. Borch F. Monasterij A 1648</t>
  </si>
  <si>
    <t xml:space="preserve">links im Bild</t>
  </si>
  <si>
    <t xml:space="preserve">http://friedensbilder.gnm.de/sites/default/files/NG896.jpg</t>
  </si>
  <si>
    <t xml:space="preserve">Beschwörung des spanisch-niederländischen Friedens im Rathaus zu Münster, NG896</t>
  </si>
  <si>
    <t xml:space="preserve">http://friedensbilder.gnm.de/content/frieden_object0b2f</t>
  </si>
  <si>
    <t xml:space="preserve">http://friedensbilder.gnm.de/content/frieden_foto_order11ef2b</t>
  </si>
  <si>
    <t xml:space="preserve">Augsburger Medaille auf die Zweihundertjahrfeier der Confessio Augustana</t>
  </si>
  <si>
    <t xml:space="preserve">Med 1827</t>
  </si>
  <si>
    <t xml:space="preserve">
Holeisen, Johann Christian</t>
  </si>
  <si>
    <t xml:space="preserve">Kat. Sachsen-Anhalt 2015
Schnell 1983
Forster 1910
Kat. Philadelphia 1960
Aukt. Kat. Schott-Wallerstein Münzhandlung / Sally Rosenberg 1904
Aukt. Kat. Karl Kreß Nr. 115
Aukt. Kat. Slg. Whiting 1983
Aukt. Kat. Heidrun Höhn Nr. 51</t>
  </si>
  <si>
    <t xml:space="preserve">Bd. I.2, S. 732–733, Kat.-Nr. 1018
S. 199–200, Kat.-Nr. 197
Nr. 101
Kat.-Nr. 227/228
Nr. 1972
Nr. 354
Nr. 367
Nr. 4161</t>
  </si>
  <si>
    <t xml:space="preserve">Gewicht 
Durchmesser</t>
  </si>
  <si>
    <t xml:space="preserve">15,6 
38</t>
  </si>
  <si>
    <t xml:space="preserve">M</t>
  </si>
  <si>
    <t xml:space="preserve">IVBILAT APPLAVDENS SANCTIS AVGVSTA TRIVMPHIS.
CONFES AVGVS
VEL SIC AVGVSTA EST INGENTI LVMINE DIVES.
BIBLIA SACRA 
CONF AVG</t>
  </si>
  <si>
    <t xml:space="preserve">oben</t>
  </si>
  <si>
    <t xml:space="preserve">Die Vorderseite der Medaille zeigt einen Triumphwagen, der von einer ölzweigtragenden Taube durch die Wolken gezogen wird. Darin befindet sich die Personifikation des Glaubens, die in ihrer Linken einen Palmzweig hält und mit der rechten Hand die aufgeschlagene Bekenntnisschrift präsentiert. Deren Unterzeichnung hatte 1530 in der fürstbischöflichen Residenz zu Augsburg stattgefunden, die sich im Münzbild unterhalb des Triumphwagens abzeichnet. Im Vordergrund davor sitzen sich die Stadtpersonifikation und einige Augsburger Bürger einander gegenüber, die den Inhalt der Umschrift bildlich wiedergeben: “Augsburg jubelt und spendet den heiligen Triumphen Beifall”.
Auf dem Revers lenkt ein mit “Heiliger Schrift” bezeichneter Spiegel göttliche Strahlen auf die Confessio Augustana und betont damit ihre Entstehung aus der Bibel und dem Wort Gottes. Die auf dem Berg Ararat gestrandete Arche Noahs im Hintergrund symbolisiert das Festhalten am (protestantischen) Glauben in Krisenzeiten. Die Zweihundertjahrfeier der Unterzeichnung wird auch über die Chronogramme der Inschriften verdeutlicht: 1730.
Die beiden Hufeisen am rechten Rand identifizieren den Augsburger Münzmeister Johann Christian Holeisen als Hersteller der Medaille.
&amp;nbsp;
ALS/MATW
</t>
  </si>
  <si>
    <t xml:space="preserve">http://friedensbilder.gnm.de/sites/default/files/Med1827_vs.tif
http://friedensbilder.gnm.de/sites/default/files/Med1827_rs.tif</t>
  </si>
  <si>
    <t xml:space="preserve">Die Vorderseite der Medaille zeigt einen Triumphwagen, der von einer ölzweigtragenden Taube durch die Wolken gezogen wird. Darin befindet sich die Personifikation des Glaubens, die in ihrer Linken einen Palmzweig hält und mit der rechten Hand die aufgeschlagene Bekenntnisschrift präsentiert. Deren&amp;nbsp;Unterzeichnung&amp;nbsp;hatte 1530 in der fürstbischöflichen Residenz zu Augsburg stattgefunden, die sich im Münzbild unterhalb des Triumphwagens abzeichnet. Im Vordergrund davor sitzen sich die Stadtpersonifikation und einige Augsburger Bürger einander gegenüber, die den Inhalt der Umschrift bildlich wiedergeben: “Augsburg jubelt und spendet den heiligen Triumphen Beifall”.Auf dem Revers lenkt ein mit “Heiliger Schrift” bezeichneter Spiegel göttliche Strahlen auf die&amp;nbsp;Confessio Augustana&amp;nbsp;und betont damit ihre Entstehung aus der Bibel und dem Wort Gottes. Die auf dem Berg Ararat gestrandete Arche Noahs im Hintergrund symbolisiert das Festhalten am (protestantischen) Glauben in Krisenzeiten. Die&amp;nbsp;Zweihundertjahrfeier&amp;nbsp;der Unterzeichnung wird auch über die Chronogramme der Inschriften verdeutlicht: 1730.Die beiden Hufeisen am rechten Rand identifizieren den Augsburger Münzmeister Johann Christian Holeisen als Hersteller der Medaille.ALS/MATW</t>
  </si>
  <si>
    <t xml:space="preserve">Augsburger Medaille auf die Zweihundertjahrfeier der Confessio Augustana, Vorderseite, Med 1827
Augsburger Medaille auf die Zweihundertjahrfeier der Confessio Augustana, Rückseite, Med 1827</t>
  </si>
  <si>
    <t xml:space="preserve">https://friedensbilder-neu.gnm.de/sites/default/files/2019-06/Med1827-01.png
https://friedensbilder-neu.gnm.de/sites/default/files/2019-06/Med1827-02.png
https://friedensbilder-neu.gnm.de/sites/default/files/2019-06/Med1827-02-doppel.png</t>
  </si>
  <si>
    <t xml:space="preserve">Augsburger Medaille auf die Zweihundertjahrfeier der Confessio Augustana, Vorderseite
Augsburger Medaille auf die Zweihundertjahrfeier der Confessio Augustana, Rückseite</t>
  </si>
  <si>
    <t xml:space="preserve">http://friedensbilder.gnm.de/content/frieden_foto_order1f91e7</t>
  </si>
  <si>
    <t xml:space="preserve">Deutsche Medaille auf den Aachener Frieden von 1748</t>
  </si>
  <si>
    <t xml:space="preserve">Med 4136</t>
  </si>
  <si>
    <t xml:space="preserve">Öxlein, Johann Leonhard</t>
  </si>
  <si>
    <t xml:space="preserve">Richel 1899
Pax in Nummis 1913
Aukt. Kat. Künker Nr. 242</t>
  </si>
  <si>
    <t xml:space="preserve">S. 207, Nr. 17
S. 140, Nr. 561
S. 129, Nr. 3352</t>
  </si>
  <si>
    <t xml:space="preserve">44
21,73</t>
  </si>
  <si>
    <t xml:space="preserve">De Nederlandsche Bank, Nationale Numismatische Collectie</t>
  </si>
  <si>
    <t xml:space="preserve">PE-05264</t>
  </si>
  <si>
    <t xml:space="preserve">Silber, 29 g, 44 mm</t>
  </si>
  <si>
    <t xml:space="preserve">Dissertation Schwartz</t>
  </si>
  <si>
    <t xml:space="preserve">SANANDIS EUROPAE VULNERIBUS</t>
  </si>
  <si>
    <t xml:space="preserve">OCTAVA HOS TANDEM TRIBUIT VINDEMIA FRUCTUS
PAX AQUISGR:
A MDCCXLVIII M OCT</t>
  </si>
  <si>
    <t xml:space="preserve">1
1.1</t>
  </si>
  <si>
    <t xml:space="preserve">Das Jahr 1748 bot gleich mehrfach Anlass zur Prägung von Medaillen und so feiert auch dieses Exemplar zum einen die Säkularfeier des&amp;nbsp;Westfälischen Friedens&amp;nbsp;und zum anderen den Aachener Frieden.[fn]Ähnliche Doppelanlässe finden wir auch bei Med 15315&amp;nbsp;und Med 5017.[/fn] Der Avers zeigt den geflügelten Saturn, wie er lächelnd der auf dem Stier sitzenden Europa entgegentritt. Seine Sense hat er aus den Händen gelegt und an seinen Körper gelehnt, in der rechten Hand hält er statt der konventionellen Sanduhr ein Gefäß, während er mit seiner Linken Europa ein zweites Behältnis reicht.Auf der Rückseite befindet sich eine kleine Schar Putten, die in zwei voneinander getrennten Räumen dem Nahrungshandwerk nachgehen. Links entleert ein Knabe seine Kiepe in die Kelterwanne, in der sein Gefährte bereits die Trauben zertritt, sodass der Saft vorne in einen Zuber abläuft. Durch das Fenster im Hintergrund ist der Abzug eines Heeres zu erkennen.Der Raum auf der rechten Bildseite wird von einer Ölmühle eingenommen, in deren Mahlwerk ein Pferd eingespannt wurde. Während ein Putto neue Beeren auf dem Kopf heranträgt sorgt ein zweiter mit einem Schieber dafür, dass die Früchte unter die Mahlsteine gelangen. Die Fensteröffnung im Hintergrund gibt den Blick auf drei Schiffe frei, die für florierenden Handel oder die Heimkehr einer Kriegsflotte stehen können.Das Motiv der Ölpresse, das semantisch eng verbunden ist mit dem der Traubenkelte, stammt aus Johann Vogels Friedens-Emblembuch von 1649. Die dortige Nr. 3 verdeutlicht, welch hohen Stellenwert der Religion im Friedensprozess beigemessen wird:”Wie endlich man das Oel auß seinen Beeren preßt/Der Friede mit Gebet vnd Rath sich zwingen läßt.“Die auf der Vorderseite dargestellte Europa empfängt also nach langer Zeit des Krieges&amp;nbsp;den Friedenswein und das Friedensöl um ihre Wunden zu heilen (Sanandis vulneribus),&amp;nbsp;während die freundlich gesinnte Zeit ein wenig bei ihr verweilt.MATW/ALS</t>
  </si>
  <si>
    <t xml:space="preserve">Cat. KPK 2884 - Cat. Montagu (1897) 783.1 (dien exemplaar) - Pax in Nummis 561Aachener Münzfreunde:&amp;nbsp;Medaille auf den Aachener Frieden 1748&amp;nbsp;Silbermedaille 1748, unsigniert, auf den Frieden von Aachen und die 100-Jahrfeier des Westfälischen Friedens. Der geflügelte Saturn überreicht der auf einem liegenden Stier sitzenden Europa zwei Ölgefäße// Von Putten bediente Weinkelter und Ölmühle, im Hintergrund zwei Fenster, durch die man l. ein Landheer, r. eine Flotte sieht. 44,24 mm; 29,21 g. Menadier 39; Pax in Nummis 561.Emblem aus Vogels Friedens-Emblembuch (1649) mit Ölpresse:http://diglib.hab.de/drucke/41-4-quod-6s/start.htm?image=00011&amp;nbsp;</t>
  </si>
  <si>
    <t xml:space="preserve">http://friedensbilder.gnm.de/sites/default/files/PE-05264a.JPG
http://friedensbilder.gnm.de/sites/default/files/PE-05264b.JPG
http://friedensbilder.gnm.de/sites/default/files/Med4136_01.tif
http://friedensbilder.gnm.de/sites/default/files/Med4136_03a.tif</t>
  </si>
  <si>
    <t xml:space="preserve">Deutsche Medaille auf den Aachener Frieden von 1748, Recto, Med 4136
Deutsche Medaille auf den Aachener Frieden von 1748, Verso, Med 4136</t>
  </si>
  <si>
    <t xml:space="preserve">Deutsche Medaille auf den Aachener Frieden von 1748, Recto
Deutsche Medaille auf den Aachener Frieden von 1748, Verso</t>
  </si>
  <si>
    <t xml:space="preserve">http://friedensbilder.gnm.de/content/frieden_foto_order204ec6</t>
  </si>
  <si>
    <t xml:space="preserve">Le temple de la paix.</t>
  </si>
  <si>
    <t xml:space="preserve">Biblioteca Casanatense</t>
  </si>
  <si>
    <t xml:space="preserve">COMM 309 1</t>
  </si>
  <si>
    <t xml:space="preserve">Van Dunwaldt, Hendrik</t>
  </si>
  <si>
    <t xml:space="preserve">https://books.google.it/books?id=vaaZhh7h5WkC&amp;lpg=PA1&amp;ots=oEzcNUdley&amp;dq=Ballet.%20Dans%C3%A9%20devant%20sa%20Majest%C3%A9%20%C3%A0%20Fontainebleau%20le%2015.%20Octobre%201685&amp;hl=it&amp;pg=PA1#v=onepage&amp;q&amp;f=true</t>
  </si>
  <si>
    <t xml:space="preserve">Le temple de la paix. , COMM 309 1</t>
  </si>
  <si>
    <t xml:space="preserve">Le temple de la paix. </t>
  </si>
  <si>
    <t xml:space="preserve">Ballet. Du Temple de la Paix</t>
  </si>
  <si>
    <t xml:space="preserve"> Archives d'Arenberg</t>
  </si>
  <si>
    <t xml:space="preserve">Einghien</t>
  </si>
  <si>
    <t xml:space="preserve">Ms 9</t>
  </si>
  <si>
    <t xml:space="preserve">Verfasser
Komponist</t>
  </si>
  <si>
    <t xml:space="preserve">Quinault, Philippe
Lully, Jean-Baptiste</t>
  </si>
  <si>
    <t xml:space="preserve">LWV </t>
  </si>
  <si>
    <t xml:space="preserve">Nr. 69</t>
  </si>
  <si>
    <t xml:space="preserve">https://opac.rism.info/search?id=703001282</t>
  </si>
  <si>
    <t xml:space="preserve">Ballet. Du temple de la Paix, Ms 9</t>
  </si>
  <si>
    <t xml:space="preserve">Ballet. Du temple de la Paix</t>
  </si>
  <si>
    <t xml:space="preserve">La pace e Partenope</t>
  </si>
  <si>
    <t xml:space="preserve">Biblioteca Oratoriana del Monumento Nazionale dei Girolamini di Napoli</t>
  </si>
  <si>
    <t xml:space="preserve">AMCO MS 166.11</t>
  </si>
  <si>
    <t xml:space="preserve">Komponist</t>
  </si>
  <si>
    <t xml:space="preserve">Caresana, Girolamo</t>
  </si>
  <si>
    <t xml:space="preserve">http://www.internetculturale.it/opencms/opencms/it/ricerca_metamag.jsp?semplice.y=0&amp;semplice.x=0&amp;q=la+pace+e+partenope&amp;instance=mag</t>
  </si>
  <si>
    <t xml:space="preserve">La Pace e Partenope, AMCO MS 166.11</t>
  </si>
  <si>
    <t xml:space="preserve">La Pace e Partenope</t>
  </si>
  <si>
    <t xml:space="preserve">Astrea Placata Overo La Felicita della Terra</t>
  </si>
  <si>
    <t xml:space="preserve">Musikarchiv des Zisterzienserstiftes</t>
  </si>
  <si>
    <t xml:space="preserve">Heiligenkreuz im Wienerwald</t>
  </si>
  <si>
    <t xml:space="preserve">IV a</t>
  </si>
  <si>
    <t xml:space="preserve">Joly 1978
Gioldroni / Ziino 2002</t>
  </si>
  <si>
    <t xml:space="preserve">S. 371–382, 227</t>
  </si>
  <si>
    <t xml:space="preserve">https://opac.rism.info/search?id=600091566</t>
  </si>
  <si>
    <t xml:space="preserve">Medaille auf den Frieden von Nimwegen 1678</t>
  </si>
  <si>
    <t xml:space="preserve">Med Merkel 1.5.6</t>
  </si>
  <si>
    <t xml:space="preserve">Dishoecke, Jacob van</t>
  </si>
  <si>
    <t xml:space="preserve">Van Loon
Pax in Nummis 1913
Meer 1965
Zee 2008
Ausst. Kat. Nimwegen 1978</t>
  </si>
  <si>
    <t xml:space="preserve">Bd. III, S. 275–276, Nr. 2
S. 75, Nr. 305
S. 213, Nr. 11
S. 460, Nr. NYM16
S. 102, Kat.-Nr. N13</t>
  </si>
  <si>
    <t xml:space="preserve">125,21 
69</t>
  </si>
  <si>
    <t xml:space="preserve">I V DISHOUKE. F. 
I. V. D: F</t>
  </si>
  <si>
    <t xml:space="preserve">unten
im Abschnitt</t>
  </si>
  <si>
    <t xml:space="preserve">PACATUS SOLIS VIRTUTIBVS ORBIS
FIRMATA NEOMAGI PAX 1678</t>
  </si>
  <si>
    <t xml:space="preserve">Die Medaille von&amp;nbsp;Jacob van Dishoecke entstand anlässlich der Friedensverträge, die 1678/79 in Nimwegen geschlossen wurden und den&amp;nbsp;Französisch-Niederländischen Krieg beendeten. Die Vorderseite zeigt unter dem Stadtwappen eine Ansicht Nimwegens aus südlicher Richtung. Am Ufer des Waal ist die von&amp;nbsp;Menno van Coehoorn&amp;nbsp;entworfene&amp;nbsp;Stadtbefestigung&amp;nbsp;und das Fort Knodsenburg zu erkennen. Diese Ansicht folgt zeitgenössischen Beispielen, wie ein Blatt mit Friedenswünschen von 1677 zeigt.[fn]Radierung mit Typendruck, 442 x 319 mm (Blatt), Rijksmuseum Amsterdam, Inv.-Nr.&amp;nbsp;RP-P-OB-82.496. Auch im 18. Jahrhundert dominert diese Form: vergleiche etwa eine Ansicht im Museum Het Valkhof, Inv.-Nr. C.XV.D.2 um 1705. Die zugehörige Vorzeichnung von Matthias Berkenboom befindet sich im Regionaal Archief Nijmegen, Inv.-Nr. GN15602.[/fn] Unter den Gesandten, die sich in unmittelbarer Nähe zur Festung die Hände reichen, befinden sich auch französische Diplomaten, wie eine Vorzeichnung zu dieser Medaille belegt: sie zeigt eine von einer Lilie berkönte Kutsche.[fn]DP 1011, heute in Privatbesitz.[/fn]
Die Festung Knodsenburg hat in der niederländischen Geschichte eine besondere Bedeutung. Im Achtzigjährigen Krieg errichtet, wurde sie zuerst von den Spaniern und danach durch&amp;nbsp;Moritz von Oranien&amp;nbsp;1590 erobert, womit Nimwegen wieder in die nördlichen Provinzen zurückgeführt werden konnte. Im Katastrophenjahr 1672 (ndl. rampjaar) eroberte wiederum Frankreich das Fort. Auch das erwähnte Blatt im Rijksmuseum spielt auf die Bedeutung der Festung an: "Spanien / sich einst ergötze! Frankreich / fühl sein eigen Netze! Es verknüpft die Niederland ferner noch der Eintracht-Band! Gott laß diesem Theil der Erden / Friede zu Theil wieder werden!".
Auf der Rückseite hält&amp;nbsp;Pax&amp;nbsp;die Wappen[fn]In Ausst. Kat. Nimwegen von Mitte nach rechts fälschlich als England angegeben. Korrekt v.m.n.r: Heiliges Römisches Reich, Königreich Spanien, Königreich Schweden und die Republik.[/fn] der an den Verträgen beteiligten Mächte zusammen. Die sich in den Schwanz beißende Schlange verweist auf die Beständigkeit des Vertrages.
Der Prägestempel zu der Medaille befindet sich im Geldmuseum Utrecht. Seit 2010 vergibt die Stadt Nimwegen Kopien der Dishoecke'schen Medaille an die Preisträger der "Treaty of Nijmegen Medal" für Verdienste auf dem Gebiet europäischer Entwicklung.[fn]https://treatiesofnijmegenmedal.eu/wordpress/ [zuletzt aufgerufen am 02.03.17][/fn]
&amp;nbsp;
&amp;nbsp;ALS
</t>
  </si>
  <si>
    <t xml:space="preserve">http://friedensbilder.gnm.de/sites/default/files/MedMerkel1.5.6_01.tif
http://friedensbilder.gnm.de/sites/default/files/MedMerkel1.5.6_02.tif</t>
  </si>
  <si>
    <t xml:space="preserve">DP 1011</t>
  </si>
  <si>
    <t xml:space="preserve">Die Medaille von&amp;nbsp;Jacob van Dishoecke entstand anlässlich der Friedensverträge, die 1678/79 in Nimwegen geschlossen wurden und den&amp;nbsp;Französisch-Niederländischen Krieg beendeten. Die Vorderseite zeigt unter dem Stadtwappen eine Ansicht Nimwegens aus südlicher Richtung. Am Ufer des Waal ist die von&amp;nbsp;Menno van Coehoorn&amp;nbsp;entworfene&amp;nbsp;Stadtbefestigung&amp;nbsp;und das Fort Knodsenburg zu erkennen. Diese Ansicht folgt zeitgenössischen Beispielen, wie ein Blatt mit Friedenswünschen von 1677 zeigt. Unter den Gesandten, die sich in unmittelbarer Nähe zur Festung die Hände reichen, befinden sich auch französische Diplomaten, wie eine Vorzeichnung zu dieser Medaille belegt: sie zeigt eine von einer Lilie berkönte Kutsche.
Die Festung Knodsenburg hat in der niederländischen Geschichte eine besondere Bedeutung. Im Achtzigjährigen Krieg errichtet, wurde sie zuerst von den Spaniern und danach durch&amp;nbsp;Moritz von Oranien&amp;nbsp;1590 erobert, womit Nimwegen wieder in die nördlichen Provinzen zurückgeführt werden konnte. Im Katastrophenjahr 1672 (ndl. rampjaar) eroberte wiederum Frankreich das Fort. Auch das erwähnte Blatt im Rijksmuseum spielt auf die Bedeutung der Festung an: "Spanien / sich einst ergötze! Frankreich / fühl sein eigen Netze! Es verknüpft die Niederland ferner noch der Eintracht-Band! Gott laß diesem Theil der Erden / Friede zu Theil wieder werden!".
Auf der Rückseite hält&amp;nbsp;Pax&amp;nbsp;die Wappen der an den Verträgen beteiligten Mächte zusammen. Die sich in den Schwanz beißende Schlange verweist auf die Beständigkeit des Vertrages.
Der Prägestempel zu der Medaille befindet sich im Geldmuseum Utrecht. Seit 2010 vergibt die Stadt Nimwegen Kopien der Dishoecke'schen Medaille an die Preisträger der "Treaty of Nijmegen Medal" für Verdienste auf dem Gebiet europäischer Entwicklung.
ALS
</t>
  </si>
  <si>
    <t xml:space="preserve">Medaille auf den Frieden von Nimwegen 1678, Vorderseite, Med Merkel 1.5.6
Medaille auf den Frieden von Nimwegen 1678, Rückseite, Med Merkel 1.5.6</t>
  </si>
  <si>
    <t xml:space="preserve">https://friedensbilder-neu.gnm.de/sites/default/files/2019-06/MedMerkel1.5_6_01_0.png
https://friedensbilder-neu.gnm.de/sites/default/files/2019-06/MedMerkel1.5_6_02_0.png
https://friedensbilder-neu.gnm.de/sites/default/files/2019-06/MedMerkel1.5_6doppel_0.png</t>
  </si>
  <si>
    <t xml:space="preserve">Medaille auf den Frieden von Nimwegen 1678, Vorderseite
Medaille auf den Frieden von Nimwegen 1678, Rückseite</t>
  </si>
  <si>
    <t xml:space="preserve">http://friedensbilder.gnm.de/content/frieden_objectdc12d</t>
  </si>
  <si>
    <t xml:space="preserve">http://friedensbilder.gnm.de/content/frieden_foto_order1f9261</t>
  </si>
  <si>
    <t xml:space="preserve">La pace fra Tolomeo, e Seleuco: drama per musica</t>
  </si>
  <si>
    <t xml:space="preserve">Rar. Libr. Ven. 283</t>
  </si>
  <si>
    <t xml:space="preserve">http://daten.digitale-sammlungen.de/bsb00048560/image_1</t>
  </si>
  <si>
    <t xml:space="preserve">da rappresentarsi nel famoso Teatro Grimano di S. Gio. Grisostomo l'anno 1691</t>
  </si>
  <si>
    <t xml:space="preserve">per il Nicolini</t>
  </si>
  <si>
    <t xml:space="preserve">Historischer Hintergrund (Übersetzung des Argomento Istorico)
Seleucus, König von Syrien tötete seine Stiefmutter&amp;nbsp;Berenike.&amp;nbsp;Ptolemäus, König von Ägypten rächte Berenike, deren Bruder er war, und rüstete ganz Ägypten gegen Seleukos. Antiochos, sein kleiner Sohn, stand ihm dabei zur Seite;&amp;nbsp;in der Hoffnung, er könne die beiden gemeinsamen Kronen gewinnen, stimmte&amp;nbsp;Ptolemäus&amp;nbsp;schließlich dem Frieden zu.
Seleucus zog sich aus Angst vor einem Krieg, in einer syrische Stadt am Meer zurück, um Hilfe vom König von Cyrene zu erbeten. Um eine feste Allianz gegen Ptolemäus zu schaffen, bat er um die Königstocher von Cyrene Tamiri, die für ihren Ruhm von einzigartiger Schönheit bekannt war.&amp;nbsp;Dass Tamiri, in Liebe zum Prinzen von Makedonien Antiochos, diese Hochzeit verschmähte, zwang Atalus dazu, dem Bräutigam an ihrer Stelle seine Tochter Elvira Damigella zu präsentieren, eine Vertraute der Tamaris.
Da Antiochos sich nach einem Wiedersehen mit Tamari sehnte und sie schon als Ehefrau glaubte, betrat er die von Ptolemäus belagerte Stadt, wo ein Duell zwischen beiden folgte, und dasselbe gilt für Tamiri, die einen Orcane Guerriero fingierte, ein berühmtes Täuschungsmanöver jener Zeit in Griechenland, welches den Frieden zwischen Ptolemäus und Seleukos besiegelte.
MATW
&amp;nbsp;
&amp;nbsp;
&amp;nbsp;
</t>
  </si>
  <si>
    <t xml:space="preserve">http://friedensbilder.gnm.de/sites/default/files/bsb00048560_00001.jpg
http://friedensbilder.gnm.de/sites/default/files/bsb00048560_00003.jpg</t>
  </si>
  <si>
    <t xml:space="preserve">La pace fra Tolomeo e Seleuco, Musik, Rar. Libr. Ven. 283
La pace fra Tolomeo e Seleuco, Bild, Rar. Libr. Ven. 283</t>
  </si>
  <si>
    <t xml:space="preserve">https://friedensbilder-neu.gnm.de/sites/default/files/2019-06/Rar-Libr-Ven.png
https://friedensbilder-neu.gnm.de/sites/default/files/2019-06/Rar-Libr-Ven-01.png</t>
  </si>
  <si>
    <t xml:space="preserve">La pace fra Tolomeo e Seleuco, Musik
La pace fra Tolomeo e Seleuco, Bild</t>
  </si>
  <si>
    <t xml:space="preserve">http://friedensbilder.gnm.de/content/frieden_foto_order1ebfcb</t>
  </si>
  <si>
    <t xml:space="preserve">Medaille auf Friedrich Heinrich von Nassau-Oranien als Statthalter der Niederlande und die Hochzeit seines Nachfolgers Wilhelm mit Maria Stuart</t>
  </si>
  <si>
    <t xml:space="preserve">Med Merkel 3.1.4</t>
  </si>
  <si>
    <t xml:space="preserve">Silber
Gold</t>
  </si>
  <si>
    <t xml:space="preserve">Maué 2008
Van Loon
Gumowski 1924
Wiêcek 1962
Eimer 1987
Aukt. Kat. Fritz Rudolf Künker Münzhandlung Nr. 51
Aukt. Kat. Münzen und Medaillen A.G. Nr. 81</t>
  </si>
  <si>
    <t xml:space="preserve">S. 93–95, Kat.-Nr. 47
Bd. II, S. 263–265
S. 45
S. 117, Nr. 107
Nr. 182
S. 178, Kat.-Nr. 1627
S. 170, Kat.-Nr. 1545</t>
  </si>
  <si>
    <t xml:space="preserve">70
129,08</t>
  </si>
  <si>
    <t xml:space="preserve">LIEBERTAS PATRIAE, ME DEFENSORE, TRIUMPHAT, INSIDIATA NIHIL VIS INIMICA NOCET.
QUO TE MARS ET AMOR VOCAT INTRA. DIVA VIRETUM FRUCTUM HIC LIBERTAS TE GENINTRICE FERRET.</t>
  </si>
  <si>
    <t xml:space="preserve">Die Medaille feiert das Amt des niederländischen Statthalters und die Vermählung seines Sohnes mit der englischen Königstochter&amp;nbsp;Maria Stuart. &amp;nbsp;Die Vorderseite zeigt den mit Lorbeerkranz bekrönten&amp;nbsp;Friedrich Heinrich von Nassau-Oranien&amp;nbsp;auf einem reich geschmückten Thron, dem ein Krieger mit zerbrochenem Schwert als Fußschemel dient. Ihn flankieren links der statthalterliche Schild und rechts die Wappen der sieben vereinigten Provinzen.&amp;nbsp;Im Hintergrund öffnet sich eine Ansicht auf die Stadt Den Haag mit der&amp;nbsp;Grote Kerk.[fn]Vgl. Dumas 1990, S. 595–599, Kat.-Nr. 51 und die dazugehörigen Abbildungen Nr. 1, 2 und 5. Die perspektivische Darstellung der Kirche ist hier misslungen, denn die zweibahnigen Fensterfronten des Langhauses wirken wie um den Westturm gruppiert. Die Grote Kerk war&amp;nbsp;– ungewöhnlich für die Provinz Holland – nicht an einem großen Platz gelegen, sondern unmittelbar angrenzend stark bebaut. Daher zeigen Darstellungen des 17. Jahrhunderts die Kirche in der Regel nie freistehend, sodass ihre Architektur in Stadtansichten häufig falsch wiedergegeben ist.[/fn]Auf der Rückseite nimmt der&amp;nbsp;Hollandse Tuin&amp;nbsp;– ein Gartenmotiv mit seinem Ursprung im niederländischen Freiheitskampf des 16. Jahrhunderts&amp;nbsp;– die gesamte Komposition ein. An seinen Toren reicht sich das junge Brautpaar die Hände. Über ihnen auf zwei Pfeilern markiert der niederländische Löwe ähnlich dem rhodischen Koloss den Zugang. In seinen Pranken hält er die typischen Symbole niederländischer Unabhängigkeit: ein Schwert, ein Bündel aus sieben Pfeilen und eine Lanze mit Freiheitshut.[fn]Zur politischen Ikonographie des Hauses Oranien siehe Deisel 1999.[/fn] Die kleinteiligen Szenen verweisen auf die herrschaftlichen Qualitäten des statthalterlichen Paares, in dem sie Maria Stuart&amp;nbsp;Charitas&amp;nbsp;und&amp;nbsp;Wilhelm II.&amp;nbsp;den befriedeten Kriegsgott Mars zuordnen.ALS</t>
  </si>
  <si>
    <t xml:space="preserve">Medaillen zum&amp;nbsp;Vorvertragsfrieden zwischen Spanien und den Vereinigten Provinzen vom 20./30. Januar 1648 wurden&amp;nbsp;von denselben Stempeln gefertigt. Dort ist im Abschnitt zusätzlich "Belgium Pacatum" zu lesen.&amp;nbsp;</t>
  </si>
  <si>
    <t xml:space="preserve">http://friedensbilder.gnm.de/sites/default/files/MedMerkel3.1.4_01.tif
http://friedensbilder.gnm.de/sites/default/files/MedMerkel3.1.4_02.tif</t>
  </si>
  <si>
    <t xml:space="preserve">Medaille auf Friedrich Heinrich von Nassau-Oranien als Statthalter der Niederlande und die Hochzeit seines Nachfolgers Wilhelm mit Maria Stuart, Vorderseite, Med Merkel 3.1.4
Medaille auf Friedrich Heinrich von Nassau-Oranien als Statthalter der Niederlande und die Hochzeit seines Nachfolgers Wilhelm mit Maria Stuart, Rückseite, Med Merkel 3.1.4</t>
  </si>
  <si>
    <t xml:space="preserve">Medaille auf Friedrich Heinrich von Nassau-Oranien als Statthalter der Niederlande und die Hochzeit seines Nachfolgers Wilhelm mit Maria Stuart, Vorderseite
Medaille auf Friedrich Heinrich von Nassau-Oranien als Statthalter der Niederlande und die Hochzeit seines Nachfolgers Wilhelm mit Maria Stuart, Rückseite</t>
  </si>
  <si>
    <t xml:space="preserve">http://friedensbilder.gnm.de/content/frieden_foto_order204f6c</t>
  </si>
  <si>
    <t xml:space="preserve">Medaille mit Friedenswünschen aus dem Jahr 1644</t>
  </si>
  <si>
    <t xml:space="preserve">Med Merkel 1.6.1</t>
  </si>
  <si>
    <t xml:space="preserve">Maué 2008
Wiêcek 1962
Pax in Nummis 1913
Ausst. Kat. Münster / Osnabrück 1998
Ausst. Kat. Münster 2002
Roscher Lexikon Mythologie</t>
  </si>
  <si>
    <t xml:space="preserve">S. 102, Kat.-Nr. 54
S. 119–120, Kat.-Nr. 
S. 22–23, Kat.-Nr. 54
S. 182, Kat.-Nr. 519 (Gerd Dethlefs)
S. 36
Bd. II, Sp. 927–930
Bd. V, Sp. 570–606</t>
  </si>
  <si>
    <t xml:space="preserve">59,94
61</t>
  </si>
  <si>
    <t xml:space="preserve">Umschrift
Inschrift
Inschrift </t>
  </si>
  <si>
    <t xml:space="preserve">LAETA TROPHAEA TULIT VICTO PAX OPTIMA BELLO. NUNC TEMIS IN TERRAM ET COPIA PULSA REDIT.
1644
AMBIGUO PAX ET BELLUM LUCTAMINE CERTANT, PAX EUROPA CERTANT, PAX EUROPA VOVET LAETA TROPHAEAT FERAT!</t>
  </si>
  <si>
    <t xml:space="preserve">Auf der Vorderseite der Medaille ringen&amp;nbsp;Pax&amp;nbsp;und&amp;nbsp;Bellona, die einen aufwendig verzierten Harschisch und Helm mit Straußenfedern trägt.&amp;nbsp;"Es sind im Kampf mit unsicherem Ausgang der Friede und der Krieg. Der Friede, so ist es Europas Wunsch, trage die frohen Siegeszeichen!"[fn]Nach Maué 2008. [/fn] Von links reicht eine Hand den Erdball mit den 'Siegeszeichen', bestehend aus Merkurstab, Oliven- und Palmzweig. Gegenüber ruhen eine Lanze und ein Schild mit Gorgoneion&amp;nbsp;– Attribut der Minerva&amp;nbsp;– am Olivenbaum.[fn]Für die Verbindung von Minerva und Olivenbaum siehe&amp;nbsp;Med Merkel 1.4.5.[/fn]Sebastian Dadler&amp;nbsp;präsentiert den gewünschten Ausgang des Kampfes auf der Rückseite der Medaille, auf der&amp;nbsp;Pax&amp;nbsp;die&amp;nbsp;'Siegeszeichen' in den Händen hält. Sie steht auf der besiegten&amp;nbsp;Bellona, die zwischen Waffen und Fahnen geschlagen am Boden liegt. Von hinten nähern sich&amp;nbsp;Themis&amp;nbsp;und&amp;nbsp;Copia, die ihren Blick in Richtung Himmel wenden.&amp;nbsp;Themis&amp;nbsp;vereint in der römischen Mythologie sowohl die Überwachung göttlicher als auch irdischer Macht und besitzt die Gabe der Weissagung.&amp;nbsp;Copia&amp;nbsp;hingegen steht nicht alleine für Überfluss und Reichtum. Horaz schildert, dass ihr Füllhorn (lat. cornucopia(e), also das Horn der Copia) Glücksgüter enthalte, die für die Segnungen des Friedens in augusteischer Zeit verantwortlich seien. Somit griff Dadler nicht auf die gängigen Personifikationen&amp;nbsp;Iustitia&amp;nbsp;und&amp;nbsp;Abundantia&amp;nbsp;zurück, sondern wählte mythologische Figuren, die Bild und Text zu einer Einheit verschmelzen lassen.&amp;nbsp;Durch&amp;nbsp;Abundantia&amp;nbsp;und die Motive der aufblühenden Landwirtschaft und Natur verweist der Medailleur auf die Segnungen des Friedens. 1644 waren die Vorbereitungen für den Kongress in Münster und Osnbrück bereits in vollem Gange. Dadler ließ die gleiche Medaille nach Vertragsabschluss erneut mit den eingepunzten Jahreszahlen 1648 und 1649 vertreiben.ALS</t>
  </si>
  <si>
    <t xml:space="preserve">http://friedensbilder.gnm.de/sites/default/files/MedMerkel1.6.1_01.tif
http://friedensbilder.gnm.de/sites/default/files/MedMerkel1.6.1_02.tif</t>
  </si>
  <si>
    <t xml:space="preserve">Medaille mit Friedenswünschen aus dem Jahr 1644, Vorderseite, Med Merkel 1.6.1
Medaille mit Friedenswünschen aus dem Jahr 1644, Rückseite, Med Merkel 1.6.1</t>
  </si>
  <si>
    <t xml:space="preserve">Medaille mit Friedenswünschen aus dem Jahr 1644, Vorderseite
Medaille mit Friedenswünschen aus dem Jahr 1644, Rückseite</t>
  </si>
  <si>
    <t xml:space="preserve">http://friedensbilder.gnm.de/content/frieden_foto_order204fee</t>
  </si>
  <si>
    <t xml:space="preserve">Hamburger Portugaleser auf die Segnungen des Friedens 1653</t>
  </si>
  <si>
    <t xml:space="preserve">Med 14522</t>
  </si>
  <si>
    <t xml:space="preserve">geprägt
Abschlag</t>
  </si>
  <si>
    <t xml:space="preserve">Maué 2008
Ausst. Kat. Stuttgart 2012
Ausst. Kat. Osnabrück 1986
Ausst. Kat. Münster 1988a
Wiechmann 2012
Postel 2014</t>
  </si>
  <si>
    <t xml:space="preserve">S. 129, Kat.-Nr. 80
S. 133, Kat.-Nr. 84 
S. 30
S. 138, Kat.-Nr. 121
S. 56</t>
  </si>
  <si>
    <t xml:space="preserve">32,53
47</t>
  </si>
  <si>
    <t xml:space="preserve">HAEC VRBS TVTA DEI CLYPEO PROTECTA MANEBIT.
1653
PAX MARE PAX TERRAM PAX VRBES PAX BEATAGROS</t>
  </si>
  <si>
    <t xml:space="preserve">http://friedensbilder.gnm.de/sites/default/files/Med14522_01.jpg
http://friedensbilder.gnm.de/sites/default/files/Med14522_02.jpg
http://friedensbilder.gnm.de/sites/default/files/Med14522_01_0.jpg
http://friedensbilder.gnm.de/sites/default/files/Med14522_02_0.jpg</t>
  </si>
  <si>
    <t xml:space="preserve">Hamburger Portugaleser auf die Segnungen des Friedens 1653, Vorderseite, Med 14522
Hamburger Portugaleser auf die Segnungen des Friedens 1653, Rückseite, Med 14522</t>
  </si>
  <si>
    <t xml:space="preserve">https://friedensbilder-neu.gnm.de/sites/default/files/2019-06/Med14522-01_0.png
https://friedensbilder-neu.gnm.de/sites/default/files/2019-06/Med14522-02_0.png
https://friedensbilder-neu.gnm.de/sites/default/files/2019-06/Med14522-02-doppel_0.png</t>
  </si>
  <si>
    <t xml:space="preserve">Hamburger Portugaleser auf die Segnungen des Friedens 1653, Vorderseite
Hamburger Portugaleser auf die Segnungen des Friedens 1653, Rückseite</t>
  </si>
  <si>
    <t xml:space="preserve">http://friedensbilder.gnm.de/content/frieden_foto_order1f9243</t>
  </si>
  <si>
    <t xml:space="preserve">Testo per musica</t>
  </si>
  <si>
    <t xml:space="preserve">La clemenza d'Augusto. Dramma per musica di Carlo Sigismondo Capece</t>
  </si>
  <si>
    <t xml:space="preserve">35. 9.K.26.6</t>
  </si>
  <si>
    <t xml:space="preserve">Pelliccia 2015</t>
  </si>
  <si>
    <t xml:space="preserve">S. 82–93</t>
  </si>
  <si>
    <t xml:space="preserve">da rappresentarsi nel nuouo teatro di Tor di Nona dell'illustriss, sig. conte D'Alibert l'anno 1697</t>
  </si>
  <si>
    <t xml:space="preserve">per gl'eredi del Corbelletti. Si vendono in Parione nella libraria di Pietro Leone</t>
  </si>
  <si>
    <t xml:space="preserve">La clemenza d'Augusto, 35. 9.K.26.6</t>
  </si>
  <si>
    <t xml:space="preserve">La clemenza d'Augusto</t>
  </si>
  <si>
    <t xml:space="preserve">La clemenza d'Augusto. </t>
  </si>
  <si>
    <t xml:space="preserve">M/2257</t>
  </si>
  <si>
    <t xml:space="preserve">http://bdh-rd.bne.es/viewer.vm?id=0000113403&amp;page=1</t>
  </si>
  <si>
    <t xml:space="preserve">begonnen</t>
  </si>
  <si>
    <t xml:space="preserve">La clemenza d'Augusto. Partitur, M/2257</t>
  </si>
  <si>
    <t xml:space="preserve">La clemenza d'Augusto. Partitur</t>
  </si>
  <si>
    <t xml:space="preserve">Auf den ersten Jahrestag des Nürnberger Friedensexekutionskongress</t>
  </si>
  <si>
    <t xml:space="preserve">Med 7529</t>
  </si>
  <si>
    <t xml:space="preserve">Maué / Fischer 2014
Ausst. Kat. Nürnberg 1998
Ausst. Kat. Münster 1988a
Imhoff
Aukt. Kat. Schott-Wallerstein Münzhandlung / Sally Rosenberg 1904
Ausst. Kat. Münster / Osnabrück 1998
Will 1764
Dethlefs 1989
Laufhütte 1998</t>
  </si>
  <si>
    <t xml:space="preserve">S. 116, Kat.-Nr. 124
S. 57, Kat.-Nr. 24 (Hermann Maué)
Kat.-Nr. 155
Bd. II, S. 101, Nr. 66
Nr. 1736
Bd. III, S. 422, Kat.-Nr. 1211
S. 359, Nr. 6
S. 6–9
S. 253</t>
  </si>
  <si>
    <t xml:space="preserve">42,49
51</t>
  </si>
  <si>
    <t xml:space="preserve">DES FRIEDEN LOBS GEDENCKEN
Unser Gott der sey gepreyset, Der den Edlen Frieden gibt Der die krieges flamme dempfet, Der vns vätterlich geliebt, Dürch Ihn sol der liebe Friedt, Vnd Gerechtigkeit sich küssen Das wir in gewünschter ruh Süesse Friedensfrücht geniessen. A: 1650. 16 Junij.</t>
  </si>
  <si>
    <t xml:space="preserve">Schrank
Schublade </t>
  </si>
  <si>
    <t xml:space="preserve">1
2.36</t>
  </si>
  <si>
    <t xml:space="preserve">Der&amp;nbsp;auf Ps 85,11 basierende&amp;nbsp;Kuss zwischen Friede und Gerechtigkeit war im 16. Jahrhundert ein gängiges Friedenssymbol und spielte auch bei den Feierlichkeiten nach Abschluss des Nürnberger Friedensexekutionstages im Jahre 1650 eine besondere Rolle. Nach der Vertragsunterzeichnung nahmen die Abgeordneten vor den Toren der Stadt an einem Festmahl mit anschließendem Feuerwerk teil und bestaunten kleinere Aufführungen, in denen&amp;nbsp;Concordia,&amp;nbsp;Pax&amp;nbsp;und&amp;nbsp;Discordia&amp;nbsp;auftraten. Im ersten Teil von Sigmund von Birkens aufgeführtem "Teutschlands Krieges-Beschluß/ und FriedensKuß/" widmet sich eine Szene eben diesem Kussmotiv. Sowohl das Vorblatt des Schauspieltextes als auch die Figurengruppe über dem Hauptportal der Festbaracke zeigten wie sich Gerechtigkeit und Friede küssen.[fn]Für eine Abbildung der Festbaracke siehe HB 907, Kapsel 1220.[/fn]Der Autor der Inschrift auf der Medaillenrückseite ist zwar namentlich nicht bekannt, stammt aber mit großer Wahrscheinlichkeit aus dem Nürnberger Dichterkreis. Gerd Dethlefs wies nach, dass sich der Wortlaut ebenfalls in einer Verordnung des Nürnberger Rates anlässlich des Friedensfestes vom 21. Juni 1650 wiederfindet. Der Sebalder Prediger Johann Dillherr, der häufiger an diesen Erlässen beteiligt war, pflegte enge Kontakte zum Pegnesischen Blumenorden.ALS</t>
  </si>
  <si>
    <t xml:space="preserve">http://friedensbilder.gnm.de/sites/default/files/Med7529_01.tif
http://friedensbilder.gnm.de/sites/default/files/Med7529_02.tif</t>
  </si>
  <si>
    <t xml:space="preserve">Auf den ersten Jahrestag des Nürnberger Friedensexekutionskongress, Vorderseite, Med 7529</t>
  </si>
  <si>
    <t xml:space="preserve">Auf den ersten Jahrestag des Nürnberger Friedensexekutionskongress, Vorderseite</t>
  </si>
  <si>
    <t xml:space="preserve">http://friedensbilder.gnm.de/content/frieden_foto_order204e4c</t>
  </si>
  <si>
    <t xml:space="preserve">Medaille des Kurfürstentums Brandenburg mit Friedenswünsche im Jahr 1639</t>
  </si>
  <si>
    <t xml:space="preserve">Med Merkel 2.1.5</t>
  </si>
  <si>
    <t xml:space="preserve">Maué 2008
Menadier 1901
Wiêcek 1962
Bahrfeldt
Brockmann 1994
North 1986</t>
  </si>
  <si>
    <t xml:space="preserve">S. 89–90, Kat.-Nr. 44
S. 46, Nr. 125
S. 117, Kat.-Nr. 106
Bd. I, Nr. 1536
Nr. 187
Nr. 30</t>
  </si>
  <si>
    <t xml:space="preserve">70
98,07</t>
  </si>
  <si>
    <t xml:space="preserve">Umschrift (zweizeilig)
Umschrift</t>
  </si>
  <si>
    <t xml:space="preserve">NUMEN QVOD STUPEAT VEL PRISCA GEORGIUS AETAS ET MIREMUR ADHUC HOS RHENUS ET ODERA NEC NON. / SANGVINIS ET BRENNI SPES FIEDERICUS HABENT, BREGELA SI FAMULIS NOSTER ADORET AQVIS.
TALIS EGO AUREOLAM TRANQVILLA BORUSSIA PACEM, RARO DIVORUM MUNERE NACTA COLOR</t>
  </si>
  <si>
    <t xml:space="preserve">13
10</t>
  </si>
  <si>
    <t xml:space="preserve">Das Avers trägt ein Doppelbildnis des brandenburgischen Kurfürsten&amp;nbsp;Georg Wilhelm&amp;nbsp;und seines Sohnes&amp;nbsp;Friedrich Wilhelm. Beide tragen aufwendig verzierte Harnische mit einem Spitzkragen darüber. Hinter dem Kurfürsten, dessen Führungsposition Kommandostab und Feldbinde visualisieren, liegen Zepter und Kurhut auf dem Tisch. Die Umschrift ehrt das Herrscherhaus Brandenburg und verweist auf seine sagenhafte Abkunft von dem gallischen Heerführer&amp;nbsp;Brennus. Auf der Rückseite sitzt&amp;nbsp;Borussia&amp;nbsp;im Vordergrund auf zerbrochenen Waffen mit einem Ölzweig in ihrer rechten Hand. Die Karte im Hintergrund zeigt Königsberg und Fischhausen, die Pregelmündung, die Festung Pillau und das kurfürstliche Schloss.&amp;nbsp;Nach dem Sieg von Wittstock 1636 hatten schwedische Truppen beinahe die gesamte Mark Brandenburg besetzt. Im Entstehungsjahr der Medaille 1639 zogen sich der Kurfürst und sein Sohn in ihre Nebenresidenz Schloss Königsberg zurück. Der 'goldene Frieden', wie ihn die Umschrift auf der Rückseite betitelt, war noch nicht hergestellt. Ein Jahr später starb Georg Wilhelm, woraufhin sein Sohn Verhandlungen mit Schweden aufnahm, die 1641 in einen Waffenstillstand mündeten.ALS</t>
  </si>
  <si>
    <t xml:space="preserve">http://friedensbilder.gnm.de/sites/default/files/MedMerkel2.1.5_01.tif
http://friedensbilder.gnm.de/sites/default/files/MedMerkel2.1.5_02.tif</t>
  </si>
  <si>
    <t xml:space="preserve">Medaille des Kurfürstentums Brandenburg mit Friedenswünsche im Jahr 1639, Vorderseite, Med Merkel 2.1.5
Medaille des Kurfürstentums Brandenburg mit Friedenswünsche im Jahr 1639, Rückseite, Med Merkel 2.1.5</t>
  </si>
  <si>
    <t xml:space="preserve">Medaille des Kurfürstentums Brandenburg mit Friedenswünsche im Jahr 1639, Vorderseite
Medaille des Kurfürstentums Brandenburg mit Friedenswünsche im Jahr 1639, Rückseite</t>
  </si>
  <si>
    <t xml:space="preserve">http://friedensbilder.gnm.de/content/frieden_foto_order204fdf</t>
  </si>
  <si>
    <t xml:space="preserve">Medaille mit Friedenswunsch, 1628</t>
  </si>
  <si>
    <t xml:space="preserve">Med 7524</t>
  </si>
  <si>
    <t xml:space="preserve">Maué 2008
Wiêcek 1962
Ausst. Kat. Münster 1988a
Pax in Nummis 1913</t>
  </si>
  <si>
    <t xml:space="preserve">S. 56, Kat.-Nr. 8
S. 102, Kat.-Nr. 42
S. 190–192
S. 19, Nr. 72</t>
  </si>
  <si>
    <t xml:space="preserve">52
38,33</t>
  </si>
  <si>
    <t xml:space="preserve">Umschrift
Umschrift (zweizeilig)</t>
  </si>
  <si>
    <t xml:space="preserve">AVREA PAX VIGEAT DET DEVS ARMA CADANT
Traw nicht dem glick es hat viel tück im aügenblick wend / sichs zurück. drumb dich recht in dasselbe schick.</t>
  </si>
  <si>
    <t xml:space="preserve">Mit einer abweisenden Handhaltung und einem Palmzweig in ihrer Rechten vertreibt&amp;nbsp;Pax&amp;nbsp;die bewaffnete Figur des Krieges. Ebenfalls wie auf&amp;nbsp;Med 2446, die die gleiche Umschrift trägt, ist das Schwert der&amp;nbsp;Bellona&amp;nbsp;zerbrochen und die Waffen liegen am Boden. Über der Szene schwebt ein Putto mit den Attributen des Friedens:&amp;nbsp;Oliven- und Palmzweig.&amp;nbsp;Auf der Rückseite nimmt ein Krieger in antikisierendem Brustpanzer eine Krone von der Glücksgöttin entgegen, die ein Zepter und einen Geldsack in ihrer Linken hält. Zu beider Füßen liegt die Kugel der&amp;nbsp;Fortuna, ein Symbol für die Wechselhaftigkeit des Glücks. Darauf geht auch die Inschrift ein: "Traw nicht dem glick, es hat viel tuck, im augenblick wends sichs zuruck. drumb dich recht in dasselbe schick." Ihr Ursprung ist in der Emblemliteratur zu suchen. Beispielsweise in Johann Ebermeiers "Neu poetisch Hoffnungs-Gärtlein: das ist...Sinnbilder von der Hoffnung" (1653) lautet die deutsche Erläuterung zu Sinnbild Nr. 84 "Verlaß dich nit viel auff das Glück/ Es stecket voll der argen Tück." Das&amp;nbsp;Icon&amp;nbsp;zeigt drei Elemente, die den Wandel des Glücks versinnbildlichen: einen Würfelspieler, den Pharao Sesostris und die Krone des Apryes: "Apryes gab vor / sein Kron wär an Himmel angebunden / Und war doch in kurtzer Zeit von den Feinden überwunden/ Und mit einem Strick erwürgt : wann das Glück will mit dir lachen / Trawe nicht zu wol / es kan wieder leicht und hurtig krachen." Auch die abweichende Typographie der Umschrift könnte dafür sprechen, dass&amp;nbsp;Dadler&amp;nbsp;sich&amp;nbsp;auf eine bestimmte Quelle bezog.ALS&amp;nbsp;&amp;nbsp;&amp;nbsp;</t>
  </si>
  <si>
    <t xml:space="preserve">http://friedensbilder.gnm.de/sites/default/files/Med7524_01_0.tif
http://friedensbilder.gnm.de/sites/default/files/Med7524_02_0.tif</t>
  </si>
  <si>
    <t xml:space="preserve">Medaille mit Friedenswunsch, 1628, Vorderseite, Med 7524
Medaille mit Friedenswunsch, 1628, Rückseite, Med 7524</t>
  </si>
  <si>
    <t xml:space="preserve">Medaille mit Friedenswunsch, 1628, Vorderseite
Medaille mit Friedenswunsch, 1628, Rückseite</t>
  </si>
  <si>
    <t xml:space="preserve">http://friedensbilder.gnm.de/content/frieden_foto_order204fe9</t>
  </si>
  <si>
    <t xml:space="preserve">Medaille auf die Segnungen des Friedens </t>
  </si>
  <si>
    <t xml:space="preserve">Med 14501</t>
  </si>
  <si>
    <t xml:space="preserve">Höhn, Johann
Dadler, Sebastian</t>
  </si>
  <si>
    <t xml:space="preserve">Maué 2008
Wiêcek 1962
Van Loon
Schnell 1983
Ausst. Kat. Münster 1988a
Ausst. Kat. Münster 2002
Corpus nummorum Gedanensis
Kat. Posen 2008
Stahr 1990</t>
  </si>
  <si>
    <t xml:space="preserve">S. 100–101, Kat.-Nr. 52
S. 113, Kat.-Nr. 94
Bd. II, S. 317, Nr. IX
S. 336, Kat.-Nr. 528
S. 128–129, Kat.-Nr. 110
S. 38
S. 225, Nr. 556a
S. 55–56, Kat.-Nr. 42
S. 126–128; S. 231–232, Kat.-Nr. 44</t>
  </si>
  <si>
    <t xml:space="preserve">Gewicht</t>
  </si>
  <si>
    <t xml:space="preserve">58,1</t>
  </si>
  <si>
    <t xml:space="preserve">g</t>
  </si>
  <si>
    <t xml:space="preserve">SD
IH</t>
  </si>
  <si>
    <t xml:space="preserve">FELIX TERRA FIDES PIETATI UBI IUNCTA TRIUMPHAT
PAX CUM IUSTITIA FORA, TEMPLA ET RURA CORONAT.
PROXImO DEO</t>
  </si>
  <si>
    <t xml:space="preserve">Der Avers zeigt den Kuss von Gerechtigkeit und Frieden (Psalm 85,11). Pax präsentiert mit Merkurstab, Palm- und Olivenzweig sowie Blumen und Kornähren tradierte Symbole für die 'Segnungen des Friedens'. Mit intimer Vertrautheit küsst sie&amp;nbsp;die sternenbekrönte Iustitia, die ein Schwert mit sich führt, welches von einem flatternden Friedensband umwunden ist.Auf dem Revers sind es Pax und Providentia, die sich, beschienen von göttlichen Strahlen vor der Danziger Stadtsilhouette, die Hände reichen. Die Personifikation der Vorhersehung trägt neben einem Sternendiadem auch ein Sonnenzepter und wird damit zur allsehenden Lichtgestalt, die den göttlichen Frieden verkündet.Da die Medaille undatiert ist, lässt sich ihr genauer Anlass nicht bestimmen. Der Vorderseitenstempel, hergestellt in Zusammenarbeit mit Johann Höhn, weist nach Danzig, wo&amp;nbsp;Dadler&amp;nbsp;seit 1642 ansässig war.&amp;nbsp;Im Besitz der evangelischen Kirchengemeinde St. Nicolai in Lemgo befindet sich eine silberne Abendmahlskanne (um 1670), in deren Deckel eine stempelgleiche Medaille integriert ist.&amp;nbsp;Sofern die Kanne anlässlich des Friedens von Oliva gestiftet wurde, gab&amp;nbsp;Höhn als Münzmeister der Stadt Danzig eine Medaille mit gleichem Prägestempel auf den Vertrag von 1660 heraus, aber ohne Dadlers Sigantur.[fn]BKD Lemgo, S. 232, Nr. 34. Für die Nachprägungen von Höhn auf den Frieden von Oliva siehe Ausst. Kat. Münster 1988a, S. 128–129, Kat.-Nr. 110.[/fn]ALS</t>
  </si>
  <si>
    <t xml:space="preserve">Anfrage an die Gemeine Nicolai in Lemgo laufen (Provenienz)Der farbig markierte Text ist eine unverständliche Schlussfolgerung. Warum besteht hier eine Kausalität, was ist überhaupt gemeint?</t>
  </si>
  <si>
    <t xml:space="preserve">http://friedensbilder.gnm.de/sites/default/files/Med14501_01_0.tif
http://friedensbilder.gnm.de/sites/default/files/Med14501_02_0.tif</t>
  </si>
  <si>
    <t xml:space="preserve">Medaille auf die Segnungen des Friedens, Vorderseite, Med 14501
Medaille auf die Segnungen des Friedens, Rückseite, Med 14501</t>
  </si>
  <si>
    <t xml:space="preserve">Medaille auf die Segnungen des Friedens, Vorderseite
Medaille auf die Segnungen des Friedens, Rückseite</t>
  </si>
  <si>
    <t xml:space="preserve">http://friedensbilder.gnm.de/content/frieden_foto_order204fc6</t>
  </si>
  <si>
    <t xml:space="preserve">Steckmedaille auf die Befreiungskriege 1813</t>
  </si>
  <si>
    <t xml:space="preserve">Med 15349</t>
  </si>
  <si>
    <t xml:space="preserve">Kupferstich
geprägt
Kolorierung (von Hand)</t>
  </si>
  <si>
    <t xml:space="preserve">Stempelschneider
Stecher</t>
  </si>
  <si>
    <t xml:space="preserve">Stettner, Johann Thomas
Fleischmann, Friedrich</t>
  </si>
  <si>
    <t xml:space="preserve">Schwartz 2004
Preßler 2000
Große 2008</t>
  </si>
  <si>
    <t xml:space="preserve">S. 151–155
S. 151–152, Nr. 426
S. 262</t>
  </si>
  <si>
    <t xml:space="preserve">35,88
50</t>
  </si>
  <si>
    <t xml:space="preserve">verkürzte Signatur
Monogramm</t>
  </si>
  <si>
    <t xml:space="preserve">Tho: Stettner
St.</t>
  </si>
  <si>
    <t xml:space="preserve">GERECHTIGKEIT WEISHEIT. U: EINIGKEIT BEGLÜCKEN. D: MENSCHHEIT.
EINTRACHT ÜBERWINDET ALLES.
HEIL EUCH VEREINTEN
1813.</t>
  </si>
  <si>
    <t xml:space="preserve">23
9</t>
  </si>
  <si>
    <t xml:space="preserve">Johann Thomas Stettner fertigte die Steckmedaille zu Beginn der napoleonischen Befreiungskriege.&amp;nbsp;Der junge&amp;nbsp;Graveur war seit 1806 der letzte Eisenschneider der Nürnberger Münze und vor allem für seine Steckmedaillen bekannt.&amp;nbsp;Der obere Deckel zeigt einen Tempel, an dessen sieben Säulen die Wappen der gegen Napoleon verbündeten Mächte angebracht sind. Wie die Überschrift betont, kann nur ein gemeinsames Bündnis den Sieg gegen Napoleon erwirken.Auf der Rückseite befinden sich&amp;nbsp;Iustitia mit Waage und Lorbeerkranz in den Händen,&amp;nbsp;Pallas Athene&amp;nbsp;als Göttin der Weisheit und&amp;nbsp;Concordia&amp;nbsp;mit einem Olivenzweig. Letztere tritt in einem luftigen Stoffgewand mit entblößter Brust auf und legt zum Zeichen der Eintracht ihren rechten Arm um Athene.Zu der Steckmedaille gehören insgesamt zwölf Papiermedaillons, die verschiedene Schlachten zeigen und entsprechende Beschreibungen tragen. Georg Adam&amp;nbsp;stach die Papiereinlagen, die von Friedrich Fleischmann koloriert wurden, wie die Signatur am Medaillon zur Schlacht bei Denewiz belegt.ALS</t>
  </si>
  <si>
    <t xml:space="preserve">http://friedensbilder.gnm.de/sites/default/files/alt_L395_Med15349_4 (11).tif
http://friedensbilder.gnm.de/sites/default/files/alt_L395_Med15349_4 (10).tif
http://friedensbilder.gnm.de/sites/default/files/alt_L395_Med15349_4 (9).tif</t>
  </si>
  <si>
    <t xml:space="preserve">Familie Löffelholz (Hans Paulsche Linie)</t>
  </si>
  <si>
    <t xml:space="preserve">Steckmedaille auf die Befreiungskriege 1813, Vorderseite, Med 15349
Steckmedaille auf die Befreiungskriege 1813, Rückseite, Med 15349</t>
  </si>
  <si>
    <t xml:space="preserve">Steckmedaille auf die Befreiungskriege 1813, Vorderseite
Steckmedaille auf die Befreiungskriege 1813, Rückseite</t>
  </si>
  <si>
    <t xml:space="preserve">http://friedensbilder.gnm.de/content/frieden_foto_order205057</t>
  </si>
  <si>
    <t xml:space="preserve">Medaille mit Friedenslob auf das Jahr 1650</t>
  </si>
  <si>
    <t xml:space="preserve">Med 14493</t>
  </si>
  <si>
    <t xml:space="preserve">Maué 2008
Van Loon
Wiêcek 1962
Schnell 1983
Ausst. Kat. Münster 1988a
Pax in Nummis 1913
Aukt. Kat. Münzen und Medaillen A.G. Nr. 81
Henkel / Schöne 1967</t>
  </si>
  <si>
    <t xml:space="preserve">S. 120–121, Kat.-Nr. 73
Bd. II, S. 326, Nr. X
S. 123, Kat.-Nr. 130
S. 335, Kat.-Nr. 527
S. 137, Kat.-Nr. 120
S. 40, Nr. 149
S. 172, Kat.-Nr. 1554
Sp. 859–860</t>
  </si>
  <si>
    <t xml:space="preserve">34,4
50</t>
  </si>
  <si>
    <t xml:space="preserve">GOTT LOB DER UNS SO GÜTIG LIEBT, DEM KRIEGE WEHRT UND FRIEDn GIBT.
1650
WO GUT UND TREU SICH KUSSEN LIGSTU O NEID ZUN FUSSEN</t>
  </si>
  <si>
    <t xml:space="preserve">13
15</t>
  </si>
  <si>
    <t xml:space="preserve">Unter dem hebräischen Gottesnamen steht&amp;nbsp;Pax&amp;nbsp;mit Palmzweig und Segensgestus auf zerbrochenen Waffen, zu ihren Füßen windet sich ein unbewaffneter nackter Krieger. Die Strahlen verweisen auf den göttlichen Beistand, durch den der Friede wieder möglich wird: "GOTT LOB DER UNS SO GÜTIG LIEBT; DEM KRIEGE WEHRT UND FRIEDEn GIBT". Auf der Rückseite der Medaille küssen sich Güte und Treue. Die zwei Turteltauben stehen bei Joachim Camerarius'&amp;nbsp;Symbolorum &amp;amp; Emblematum...Ex Volatilibus Et Insectis...&amp;nbsp;für eine treue Verbindung. Am Boden liegt der besiegte Neid mit Schlangenhaar, der sein eigenes Herz verspeist.&amp;nbsp;Durch die auf der Medaille angegeben Jahreszahl 1650 kommen verschiedene Entstehungskontexte in Frage. Für das Dank- und Friedensfest in Sachsen am 22. Juli 1650 ist eine Medaille überliefert, deren Rückseite mit dem Vorderseitenstempel des vorliegenden Exemplars geprägt wurde. Gerd Dethlefs schlug vor, sie nach Hamburg zu verorten, wo Dadler sich seit dem Friedensjahr aufhielt. Möglich wäre auch der Friedensexekutionstag in Nürnberg, der 1650 endete. In dem von kaiserlicher Seite veranstalteten Feuerwerk spielte Ps 85,11 eine wichtige Rolle. In einem dabei aufgeführten Schaustück führte die Personifikation des Friedens einen Kampf gegen das 'Castel des Unfriedens', dessen Bewacherin die ihr eigenes Herz verzehrende&amp;nbsp;Discordia&amp;nbsp;war. Für das Feuerwerk siehe&amp;nbsp;HB 907, Kapsel 1220.ALS</t>
  </si>
  <si>
    <t xml:space="preserve">http://friedensbilder.gnm.de/sites/default/files/Med14493_01.tif
http://friedensbilder.gnm.de/sites/default/files/Med14493_02.tif</t>
  </si>
  <si>
    <t xml:space="preserve">Medaille mit Friedenslob auf das Jahr 1650, Vorderseite, Med 14493
Medaille mit Friedenslob auf das Jahr 1650, Rückseite, Med 14493</t>
  </si>
  <si>
    <t xml:space="preserve">Medaille mit Friedenslob auf das Jahr 1650, Vorderseite
Medaille mit Friedenslob auf das Jahr 1650, Rückseite</t>
  </si>
  <si>
    <t xml:space="preserve">http://friedensbilder.gnm.de/content/frieden_foto_order204fe4</t>
  </si>
  <si>
    <t xml:space="preserve">Medaille auf den Frieden zu Münster mit Christina von Schweden</t>
  </si>
  <si>
    <t xml:space="preserve">Med Merkel 1.4.5</t>
  </si>
  <si>
    <t xml:space="preserve">Maué 2008
Wiêcek 1962
Ausst. Kat. Münster 1988a
Ausst. Kat. Münster / Osnabrück 1998
Bildt 1908
Ausst. Kat. Osnabrück 1997
Dethlefs 1989a
Pax in Nummis 1913
Roscher Lexikon Mythologie</t>
  </si>
  <si>
    <t xml:space="preserve">S. 114–115, Kat.-Nr. 67
S. 122–123, Kat.-Nr. 128
S. 105, Kat.-Nr. 83
Bd. III, S. 230, Kat.-Nr. 693 (Gerd Dethlefs)
S. 26
Kat.-Nr. 53
S. 36, Nr. 130
Bd. I.1, Sp. 675–704</t>
  </si>
  <si>
    <t xml:space="preserve">64,47
55</t>
  </si>
  <si>
    <t xml:space="preserve">Recto
Verso
Rand</t>
  </si>
  <si>
    <t xml:space="preserve">Umschrift
Randschrift</t>
  </si>
  <si>
    <t xml:space="preserve">CHRISTINA
REPERTRIX
I H D </t>
  </si>
  <si>
    <t xml:space="preserve">Den Avers ziert eine Büste der schwedischen Königin&amp;nbsp;Christina, die einen auffällig verzierten Helm mit Lorbeerkranz auf dem Haupt trägt. Die weibliche Figur auf dem Revers ist mit der gleichen Kopfbedeckung geschmückt und bricht einen Zweig aus einem Olivenbaum. Die in der Umschrift verwendete Bezeichnung 'Repertrix' zählt zu den Beinamen Minervas, römische Göttin der Weisheit, des Handwerks, der Künste und Wissenschaften. Im Entstehungsmythos der attischen Hauptstadt gewann Athene den Wettstreit mit Poseidon, indem sie einen Olivenbaum pflanzte. Dieser konnte Früchte, Holz und Öl als Nahrungsgrundlage für die Bevölkerung liefern. Der Meeresgott hingegen hatte eine salzige Quelle sprudeln lassen.Christina von Schweden&amp;nbsp;interessierte sich zeit ihres Lebens für Wissenschaften und Künste. In der Repräsentation Minervas als Friedensstifterin folgt diese politische Ikonographie dem Herrscherideal der Frühen Neuzeit. Die Königin sorgte auch für die öffentliche Wahrnehmung dieses 'Images', indem sie das Porträt von&amp;nbsp;ihrem Hofkupferstecher&amp;nbsp;Jeremiasz Falck&amp;nbsp;reproduzieren ließ. Zudem übernahm sie ein Jahr nach dem Friedensschluss die Rolle eben jener römischen Göttin im Ballett “Naissance de la Paix”.ALS</t>
  </si>
  <si>
    <t xml:space="preserve">http://friedensbilder.gnm.de/sites/default/files/MedMerkel1.4.5_02.tif
http://friedensbilder.gnm.de/sites/default/files/MedMerkel1.4.5_03.tif</t>
  </si>
  <si>
    <t xml:space="preserve">Medaille auf den Frieden zu Münster mit Christina von Schweden, Vorderseite, Med Merkel 1.4.5
Medaille auf den Frieden zu Münster mit Christina von Schweden, Rückseite, Med Merkel 1.4.5</t>
  </si>
  <si>
    <t xml:space="preserve">Medaille auf den Frieden zu Münster mit Christina von Schweden, Vorderseite
Medaille auf den Frieden zu Münster mit Christina von Schweden, Rückseite</t>
  </si>
  <si>
    <t xml:space="preserve">http://friedensbilder.gnm.de/content/frieden_foto_order204fa8</t>
  </si>
  <si>
    <t xml:space="preserve">Medaille auf die enge Verbindung der Stadt Danzig mit dem polnischen König</t>
  </si>
  <si>
    <t xml:space="preserve">Med 14492</t>
  </si>
  <si>
    <t xml:space="preserve">Maué 2008
Bahrfeldt
Wiêcek 1962
Kat. Breslau 1999
Ausst. Kat. Breslau 1995
Corpus nummorum Gedanensis
Dutowski 2013
Kat. Posen 2008
Stahr 1990
Henkel / Schöne 1967</t>
  </si>
  <si>
    <t xml:space="preserve">S. 111, Kat.-Nr. 63
Bd. X, Nr. 8693
S. 120, Kat.-Nr. 120
S. 36
Nr. 23
S. 235, Nr. 574a
S. 124–128, Nr. 10
S. 62, Kat.-Nr. 49
S. 146–148; S. 235, Kat.-Nr. 55
Sp. 1572–1573</t>
  </si>
  <si>
    <t xml:space="preserve">49
28,46</t>
  </si>
  <si>
    <t xml:space="preserve">VLADISLAO IV POL: AC SVEC: REGI: ET LUDOVICAE MARIAE CONIUGIBUs.
NIHILISTA SECABIT
MARTE CUBANTE, FIDES ET PAX TUTA OSCULA REDDUNT.
MDCXLVI.</t>
  </si>
  <si>
    <t xml:space="preserve">1
2.26</t>
  </si>
  <si>
    <t xml:space="preserve">Dadlers Medaille&amp;nbsp;entstand anlässlich der Verlobung des polnisch-schwedischen Königs Wladislaw IV. mit Luigia Maria&amp;nbsp;Gonzaga. Am 22. Februar hielt die zukünftige Königin Einzug in die Stadt Danzig, dessen Programm durch eine Festbeschreibung bekannt ist.[fn]Martini 1646.&amp;nbsp;Zur ephemeren Architektur siehe ¯ukowski, Jacek: Architektura okazjonalna na uroczystoœci zaœlubin i koronacjê Ludwiki Marii Gonzagi w roku 1646, in: Biuletyn Historii Sztuki, 73/1–2 (2011), S. 45–91. Zu den in der Beschreibung enthaltenen Emblemen: Mosingiewicz, Anna: Emblematyka w s³u¿bie w³adzy. Adama Jacoba Martiniego corpus emblematicum, czyli projekt chor¹gwi gdañskich stra¿y obywatelskich z okazji intrady Ludwiki Marii Gonzagi do Gdañska w 1646 roku, in: Pilecka, El¿bieta; Kluczwajd, Katarzyna (Hrsg.): Sztuka w krêgu w³adzy. Materia³y LVII Ogólnopolskiej Sesji Naukowej Stowarzyszenia Historyków Sztuki, poœwiêconej Profesora Szczêsnego Dettloffa (1878 - 1961) w 130. rocznicê urodzin, Warschau 2009, S. 161–178.[/fn]&amp;nbsp;Bei diesem gab es nicht nur einen “Arcus Gratiae &amp;amp; Pacis”,[fn]Martini 1646, S. 18f.[/fn]&amp;nbsp;die gesamten Festlichkeiten standen im Zeichen des Friedens, der sich mit den Verhandlungen in Münster und Osnabrück bereits ankündigte.Unter der Umschrift 'nichts wird sie trennen' sind die beiden Wappen des Herrscherpaares durch ein göttliches Band verbunden. Links der polnische Adler mit dem Wappen der Wasa (Wladislaw war seit 1632 ebenfalls Titularkönig von Schweden) und rechts das Wappen Danzigs. Darunter sind die Festung Weichselmünde sowie der Hafen zu erkennen.Die Rückseite variiert die Darstellung von Psalm 85,11. Unter dem Namenszug Jahwes küssen sich nicht Gerechtigkeit und Friede, sondern Treue (Fides) und Pax – eine Abwandlung, die Dadler aufgrund der Ehethematik vorgenommen haben dürfte. Vor den beiden weiblichen Personifikationen ist der Kriegsgott Mars wehmütig über einem Waffenhaufen zu Boden gesunken und “schließt nunmehr die Augen zu”.ALS&amp;nbsp;</t>
  </si>
  <si>
    <t xml:space="preserve">http://friedensbilder.gnm.de/sites/default/files/Med14492_01.tif
http://friedensbilder.gnm.de/sites/default/files/Med14492_02.tif</t>
  </si>
  <si>
    <t xml:space="preserve">Medaille auf die enge Verbindung der Stadt Danzig mit dem polnischen König, Vorderseite, Med 14492
Medaille auf die enge Verbindung der Stadt Danzig mit dem polnischen König, Rückseite, Med 14492</t>
  </si>
  <si>
    <t xml:space="preserve">Medaille auf die enge Verbindung der Stadt Danzig mit dem polnischen König, Vorderseite
Medaille auf die enge Verbindung der Stadt Danzig mit dem polnischen König, Rückseite</t>
  </si>
  <si>
    <t xml:space="preserve">http://friedensbilder.gnm.de/content/frieden_foto_order204fd5</t>
  </si>
  <si>
    <t xml:space="preserve">Medaille auf den Westfälischen Frieden von Engelbert Ketteler</t>
  </si>
  <si>
    <t xml:space="preserve">Med 6610</t>
  </si>
  <si>
    <t xml:space="preserve">Ketteler, Engelbert</t>
  </si>
  <si>
    <t xml:space="preserve">Ausst. Kat. Münster / Osnabrück 1998
Groenveld 1998a
Ausst. Kat. Münster 1988a
Dethlefs 2005
Ohm 2012
Ausst. Kat. Stuttgart 2012</t>
  </si>
  <si>
    <t xml:space="preserve">Bd. III, S. 227, Kat.-Nr. 664
S. 42
S. 45, Kat.-Nr. 27
S. 247–249
S. 114, Kat.-Nr. 55 (Hans-Martin Kaulbach)</t>
  </si>
  <si>
    <t xml:space="preserve">37,80
58</t>
  </si>
  <si>
    <t xml:space="preserve">EK</t>
  </si>
  <si>
    <t xml:space="preserve">ET IVNCTI CVRRVM DOMINAE SVBIERE LEONES 
PAX HISPANO BATAVA
PACIS.FOELICITAS ORBI:CHRISTIANO:QVA RESTITVTA QVA.AD INCITAMENTVM.DEMONSTRATA TOT.REGNIS.ET.PROVINCIIS AD.VTRVMQVE SOLEM.VTRVMQue.OCEANVM TERRA.MARIQVE.PARTA.SECVRITAS TRANQVILLITATIS.PVBLICAE SPE ET.VOTO MONASTERY.WESTPHA ANNO.MDCXLVIII</t>
  </si>
  <si>
    <t xml:space="preserve">Engelbert Ketteler&amp;nbsp;war zwischen 1636 und 1661 Münzmeister der Stadt Münster und fertigte diese Medaille anlässlich des spanisch-niederländischen Friedens im Januar 1648. Auf einem Triumphwagen fährt&amp;nbsp;Pax&amp;nbsp;mit Füllhorn und Merkurstab über am Boden liegende Rüstungen und Waffen. Mit ihrer Linken hält sie die Zügel empor, welche die Zugtiere, zwei Löwen, im Zaum halten.&amp;nbsp;Das Tier rechts im Gespann führt ein Zepter und trägt die spanische Königskrone, während das linke ein Pfeilbündel als Symbol für die sieben freien Provinzen präsentiert.&amp;nbsp;Der Friede vereint somit die einstigen Kriegsgegner: Die Umschrift “und miteinander vereint lassen sich die Löwen vor den Wagen der Herrin einspannen” stammt aus Vergils Aeneis&amp;nbsp;(Verg. Aen. III 113).Der gänzlich mit Schrift versehene Avers drückt die Hoffnung auf einen beständigen Frieden aus. Neben diesem Exemplar existieren zwei weitere Medaillen, die ein vergleichbares Motiv zeigen. Sie stammen vom Bremer Medailleur&amp;nbsp;Johann Blum und dem in Middelburg tätigen Jan Looffs. Welcher der drei genannten Medailleure als Erfinder dieses Bildmotivs in Frage kommt, lässt sich allerdings nicht mehr nachvollziehen.[fn]Eine Zusammenfassung der Debatte bei Ohm 2012, S. 516–517.[/fn]ALS</t>
  </si>
  <si>
    <t xml:space="preserve">http://friedensbilder.gnm.de/sites/default/files/Med6610_01.tif
http://friedensbilder.gnm.de/sites/default/files/Med6610_02.tif</t>
  </si>
  <si>
    <t xml:space="preserve">Medaille auf den Westfälischen Frieden von Engelbert Ketteler, Vorderseite, Med 6610
ET IVNCTI CVRVM DOMINAE SVBIERE LEONES, Med 6610</t>
  </si>
  <si>
    <t xml:space="preserve">Medaille auf den Westfälischen Frieden von Engelbert Ketteler, Vorderseite
ET IVNCTI CVRVM DOMINAE SVBIERE LEONES</t>
  </si>
  <si>
    <t xml:space="preserve">http://friedensbilder.gnm.de/content/frieden_foto_order204fad</t>
  </si>
  <si>
    <t xml:space="preserve">Konvent der sächsischen Theologen in Leipzig 1628</t>
  </si>
  <si>
    <t xml:space="preserve">Med Merkel 1.5.8</t>
  </si>
  <si>
    <t xml:space="preserve">Maué 2008
Kat. Leipzig 1998
Grund 2006
Ausst. Kat. Leipzig 2006
Schnell 1983
Wiêcek 1962
Smith 1987
Kat. Sachsen-Anhalt 2015
Aukt. Kat. Münzen und Medaillen A.G. Nr. 81</t>
  </si>
  <si>
    <t xml:space="preserve">S. 36–37 und 60–61, Kat.-Nr. 15
Kat.-Nr. 418
S. 10
S. 314
S. 149, Kat.-Nr. 84
S. 103, Kat.-Nr. 46
S. 205–206
Bd. I.1, S. 500–501, Kat.-Nr. 714
S. 166, Kat.-Nr. 1524</t>
  </si>
  <si>
    <t xml:space="preserve">65
56</t>
  </si>
  <si>
    <t xml:space="preserve">HOFNUNG GEDULD BESTENDIGKEIDT ERLANGT DIE KRON DER SEELIGKEIDT.
CONSTANTIA TRIVMPHANS.
ACH HERR DEIN VOLCK VND WORT BEHUT REIN/ WIE EIN AUG/ BEY WAHREM FRIED/ CVSTODI ME VT PVPILLAM OCVLI! PS: 17.
PER VIGILIVM DEI</t>
  </si>
  <si>
    <t xml:space="preserve">Das Avers zeigt&amp;nbsp;Constantia&amp;nbsp;auf einem in&amp;nbsp;Form eines Drachens gestalteten&amp;nbsp;Triumphwagen sitzend. Ihre Hand umschließt eine Säule, Symbol für die Beständigkeit, während die Personifikationen der Hoffnung und Geduld den Wagen ziehen. Über der Szene reicht eine Hand die in der Umschrift erwähnte "Kron der Seeligkeit" aus den Wolken.[fn]Die Geduld galt vor allem in der Alten Kirche als die christliche Tugend schlechthin und jene der Märtyrer, die dadurch ihre Standhaftigkeit im Glauben bewiesen, siehe TRE Bd. XII, [Art.] Geduld, S. 139–144 (H.-H. Schrey). Im zehnten Kapitel von&amp;nbsp;Cyprian von Karthagos&amp;nbsp;"De bono patientiae" wird den Märtyrern ihre Geduld mit der himmlischen Krone gedankt.[/fn]
Das Revers zeigt die vor einer Friedenssäule (STATVA PACIS)&amp;nbsp;kniende&amp;nbsp;Religio.&amp;nbsp;Das Auge auf ihrem Kapitell bezieht Hermann Maué auf den Konvent sächsischer Theologen in Leipzig im Jahre 1628. Dort ging es vorwiegend um die Bewahrung der&amp;nbsp;Confessio Augustana, denn durch die Androhung eines Edikts durch&amp;nbsp;Ferdinand II.&amp;nbsp;sollten alle protestantischen Besitztümer wieder an die katholische Kirche restitutiert werden.&amp;nbsp;Matthias Hoë von Hoënegg&amp;nbsp;nutzte bereits in seiner Eröffnungsrede zu dem von Sachsen initiierten Kongress den Vergleich des Augsburger Bekenntnisses mit dem Augapfel Gottes. Und auch in einer Besprechung dieser Medaille aus dem frühen 18. Jahrhundert legte&amp;nbsp;Wilhelm Ernst Tentzel&amp;nbsp;diesen Vergleich an.
Sebastian Dadler&amp;nbsp;nutzte eine Komposition von&amp;nbsp;Sebald Beham&amp;nbsp;als Vorlage für seine Medaille.[fn]Heute im Nelson-Atkins Museum of Art in Kansas City, Inv.-Nr. 60-1 und 60-2.[/fn] Sie unterscheiden sich nur in wenigen Details, etwa durch die Ansicht Dresdens neben der Friedenssäule. Aus dem Jahre 1632 hat sich zudem ein Flugblatt erhalten,[fn]Paas Bd. VI, S. 294, Nr. P-1812. Das Blatt liegt auch in der Graphischen Sammlung des Germanischen Nationalmuseum vor, siehe Inv.-Nr. HB 13950, Kapsel-Nr. 1337.[/fn] welches auf der linken Seite Christus auf einem Wagen zeigt, der von&amp;nbsp;Constantia&amp;nbsp;und&amp;nbsp;Fides&amp;nbsp;gezogen wird.&amp;nbsp;Ähnlich einer Medaille von&amp;nbsp;Engelbert Ketteler&amp;nbsp;(siehe&amp;nbsp;Med 6610) kopierten&amp;nbsp;Johann Höhn&amp;nbsp;und&amp;nbsp;Johann Blum&amp;nbsp;das vorliegende Exemplar.[fn]Siehe Maué 2008, S. 37.[/fn]
ALS
</t>
  </si>
  <si>
    <t xml:space="preserve">http://friedensbilder.gnm.de/sites/default/files/MedMerkel1.5.8_01.tif
http://friedensbilder.gnm.de/sites/default/files/MedMerkel1.5.8_02.tif</t>
  </si>
  <si>
    <t xml:space="preserve">Das Avers zeigt&amp;nbsp;Constantia&amp;nbsp;auf einem in&amp;nbsp;Form eines Drachens gestalteten&amp;nbsp;Triumphwagen sitzend. Ihre Hand umschließt eine Säule, Symbol für die Beständigkeit, während die Personifikationen der Hoffnung und Geduld den Wagen ziehen. Über der Szene reicht eine Hand die in der Umschrift erwähnte "Kron der Seeligkeit" aus den Wolken.
Das Revers zeigt die vor einer Friedenssäule (STATVA PACIS)&amp;nbsp;kniende&amp;nbsp;Religio.&amp;nbsp;Das Auge auf ihrem Kapitell bezieht Hermann Maué auf den Leipziger Theologenkongress im Jahre 1628. Dort ging es vorwiegend um die Bewahrung der&amp;nbsp;Confessio Augustana, denn durch die Androhung eines Edikts durch&amp;nbsp;Ferdinand II.&amp;nbsp;sollten alle protestantischen Besitztümer wieder an die katholische Kirche restitutiert werden.&amp;nbsp;Matthias Hoë von Hoënegg&amp;nbsp;nutzte bereits in seiner Eröffnungsrede zu dem von Sachsen initiierten Kongress den Vergleich des Augsburger Bekenntnisses mit dem Augapfel Gottes. Und auch in einer Besprechung dieser Medaille aus dem frühen 18. Jahrhundert legte&amp;nbsp;Wilhelm Ernst Tentzel&amp;nbsp;diesen Vergleich an.
ALS
</t>
  </si>
  <si>
    <t xml:space="preserve">Konvent der sächsischen Theologen in Leipzig 1628, Vorderseite, Med Merkel 1.5.8
Konvent der sächsischen Theologen in Leipzig 1628, Rückseite, Med Merkel 1.5.8</t>
  </si>
  <si>
    <t xml:space="preserve">https://friedensbilder-neu.gnm.de/sites/default/files/2019-06/MedMerkel1-5.png
https://friedensbilder-neu.gnm.de/sites/default/files/2019-06/MedMerkel1-5-2.png
https://friedensbilder-neu.gnm.de/sites/default/files/2019-06/MedMerkel1-doppel.png</t>
  </si>
  <si>
    <t xml:space="preserve">Konvent der sächsischen Theologen in Leipzig 1628, Vorderseite
Konvent der sächsischen Theologen in Leipzig 1628, Rückseite</t>
  </si>
  <si>
    <t xml:space="preserve">http://friedensbilder.gnm.de/content/frieden_foto_order1f91f1</t>
  </si>
  <si>
    <t xml:space="preserve">Regenten Spiegel</t>
  </si>
  <si>
    <t xml:space="preserve">Res Hom. 831</t>
  </si>
  <si>
    <t xml:space="preserve">Leyser, Polycarp
Sybille Elisabeth, geb. Herzogin zu Württemberg
Hedwig, geb. aus königlichem Stamme Dänemark</t>
  </si>
  <si>
    <t xml:space="preserve">Lamberg</t>
  </si>
  <si>
    <t xml:space="preserve">23:298054P</t>
  </si>
  <si>
    <t xml:space="preserve">http://www.mdz-nbn-resolving.de/urn/resolver.pl?urn=urn:nbn:de:bvb:12-bsb10206719-3</t>
  </si>
  <si>
    <t xml:space="preserve">Henning Jürgens</t>
  </si>
  <si>
    <t xml:space="preserve">Gepredigt aus dem CI. Psalm/ des Königlichen Propheten Davids/ </t>
  </si>
  <si>
    <t xml:space="preserve">auff gehaltenem Landtage zu Torgaw/ dieses 1605. Jahres/ im Iunio</t>
  </si>
  <si>
    <t xml:space="preserve">http://friedensbilder.gnm.de/sites/default/files/1505490805bsb10206719.jpg</t>
  </si>
  <si>
    <t xml:space="preserve">The arte of prophecying:</t>
  </si>
  <si>
    <t xml:space="preserve">Harvard University Library</t>
  </si>
  <si>
    <t xml:space="preserve">Cambridge, MA</t>
  </si>
  <si>
    <t xml:space="preserve">STC 19735.4</t>
  </si>
  <si>
    <t xml:space="preserve">Verfasser
Übersetzer</t>
  </si>
  <si>
    <t xml:space="preserve">Perkins, William
Tuke, Thomas</t>
  </si>
  <si>
    <t xml:space="preserve">By Felix Kyngston for E.E. and are to be sold in Pauls Church-yard at the signe of the Swan</t>
  </si>
  <si>
    <t xml:space="preserve">http://eebo.chadwyck.com/search/full_rec?SOURCE=pgimages.cfg&amp;ACTION=ByID&amp;ID=V27583</t>
  </si>
  <si>
    <t xml:space="preserve">Import</t>
  </si>
  <si>
    <t xml:space="preserve">or A treatise concerning the sacred and onely true manner and methode of preaching</t>
  </si>
  <si>
    <t xml:space="preserve">First written in Latine by Master William Perkins: And now faithfully translated into English (for that it containeth many worthy things fit for the knowledge of men of all degrees) by Thomas Tuke</t>
  </si>
  <si>
    <t xml:space="preserve">1.1.5 Predigthandbücher</t>
  </si>
  <si>
    <t xml:space="preserve">Irene Sacra.</t>
  </si>
  <si>
    <t xml:space="preserve">Theol.ev.asc.314.b,misc.4</t>
  </si>
  <si>
    <t xml:space="preserve">Ewald, Hermann
Hutwelcker, Rudolph</t>
  </si>
  <si>
    <t xml:space="preserve">Marburg</t>
  </si>
  <si>
    <t xml:space="preserve">14:679866L</t>
  </si>
  <si>
    <t xml:space="preserve">http://digital.slub-dresden.de/id33484620X</t>
  </si>
  <si>
    <t xml:space="preserve">[30] Bl., [1] gef. Bl.</t>
  </si>
  <si>
    <t xml:space="preserve">Das ist: Eine Christliche Predigt / von Fried und Einigkeit in der Kirchen unsers Friedfürsten Jesu Christi/ Auch worauff solche sol gegründet sein.</t>
  </si>
  <si>
    <t xml:space="preserve">Gethan Auff dem jungst zu Eschwege gehaltenem Synodo, den 17. Febr. im Jahr 1607. Und jtzo denen/ so die Warheit lieben / zum unterricht in Druck verfertiget.</t>
  </si>
  <si>
    <t xml:space="preserve">33484620X</t>
  </si>
  <si>
    <t xml:space="preserve">Gedruckt zu Marpurg / Durch Rudolff Hutwelcker</t>
  </si>
  <si>
    <t xml:space="preserve">http://friedensbilder.gnm.de/sites/default/files/00000063.jpg
http://friedensbilder.gnm.de/sites/default/files/Theol.ev_.asc_.314.b,misc.4_0.jpg</t>
  </si>
  <si>
    <t xml:space="preserve">Die Gattung der gedruckten Friedenspredigt hat ihre Anfänge im 17. Jahrhundert. Doch anfangs war der Bezeichnung „Friedenspredigt“ noch nicht festgelegt: Obwohl unter der Bezeichnung&amp;nbsp;„Eine Christliche Predigt von Fried und Einigkeit“&amp;nbsp;veröffentlicht, ist die vorliegende Schrift&amp;nbsp;nicht als Friedenspredigt zu verstehen.&amp;nbsp;Vielmehr belegt sie die konfessionelle Unnachgiebigkeit, die noch zu Friedenszeiten zur Eskalation der Konflikte vor dem Dreißigjährigen Krieg beigetragen hat.&amp;nbsp;Sie bietet eine klassische Konfessionspolemik, in der aus calvinistischer Sicht die lutherische Abendmalslehre kritisiert wird.&amp;nbsp;Der Autor, Ewald Hermann (1578–1626), Pastor in Eschwege, diskutiert&amp;nbsp;christologische Aussagen zu Himmelfahrt und Idiomenkommunikation unter dem Rubrum der&amp;nbsp;„Einheit in der Wahrheit“&amp;nbsp;und wendet sich dabei gegen die Positionen von Johann Marbach, Georg Coelestin, Andreas Musculus, Johannes Brenz, Matthias Flacius Illyricus und Aegidius Hunnius, die jeweils namentlich in den Marginalien genannt werden. Der sprachlichen Form nach ist der Text ebenfalls keine Predigt, sondern trägt in weiten Passagen die Gestalt einer Abhandlung, und in der namentlichen Nennung und Verwerfung der Gegner leistet sie auch keinen Beitrag zum Konfessionsfrieden. Die komplexe Gliederung mit mehreren Unterabteilungen ist im Anhang noch als Schema wiedergegeben, was ebenfalls darauf hindeutet, dass der Text in dieser Form nicht vor einer Gemeinde vorgetragen wurde.&amp;nbsp;
HPJ
</t>
  </si>
  <si>
    <t xml:space="preserve">Irene Sacra, Theol.ev.asc.314.b,misc.4</t>
  </si>
  <si>
    <t xml:space="preserve">https://friedensbilder-neu.gnm.de/sites/default/files/2019-06/Theol.ev_.asc_.314.b,misc.4_0.png</t>
  </si>
  <si>
    <t xml:space="preserve">Irene Sacra</t>
  </si>
  <si>
    <t xml:space="preserve">http://friedensbilder.gnm.de/content/frieden_foto_order1aeade</t>
  </si>
  <si>
    <t xml:space="preserve">Da Pacem Domine.</t>
  </si>
  <si>
    <t xml:space="preserve">3 an Solg. 4. 368</t>
  </si>
  <si>
    <t xml:space="preserve">Braun, Hartmann
Chemlinus, Kaspar</t>
  </si>
  <si>
    <t xml:space="preserve">Chemlein</t>
  </si>
  <si>
    <t xml:space="preserve">Gießen</t>
  </si>
  <si>
    <t xml:space="preserve">75:672365V</t>
  </si>
  <si>
    <t xml:space="preserve">20 Bl.</t>
  </si>
  <si>
    <t xml:space="preserve">Das ist/ Der Christliche Kirch und Betgesang/ Verleyhe uns Frieden gnädiglich/ etc.</t>
  </si>
  <si>
    <t xml:space="preserve">Gepredigt zu Grunberg in Hessen/ und jetzo allen an dem Abend und Ende der Welt gebrachten/ betrübten Christen zur Lehr/ Trost und Unterricht in Truck gegeben</t>
  </si>
  <si>
    <t xml:space="preserve">Gedruckt zu Giessen / durch Caspar Chemlein.</t>
  </si>
  <si>
    <t xml:space="preserve">http://friedensbilder.gnm.de/sites/default/files/75_672365V_001,800,600.jpg</t>
  </si>
  <si>
    <t xml:space="preserve">Zur inhatlichen Auswertung fehlt das vollständige Digitalisat.</t>
  </si>
  <si>
    <t xml:space="preserve">Da Pacem Domine., 3 an Solg. 4. 368</t>
  </si>
  <si>
    <t xml:space="preserve">http://friedensbilder.gnm.de/content/frieden_foto_order1c1f3f</t>
  </si>
  <si>
    <t xml:space="preserve">Zwo Glückwünschungs= Danck= vnd FrewdenPredigten Uber dem seligen lauff des gnadenreichen heilwertigen Evangelii</t>
  </si>
  <si>
    <t xml:space="preserve">Herzogin Anna Amalia Bibliothek</t>
  </si>
  <si>
    <t xml:space="preserve">Weimar</t>
  </si>
  <si>
    <t xml:space="preserve">Aut ben Aut Hoe, M. (1)</t>
  </si>
  <si>
    <t xml:space="preserve">Hoë von Hoënegg, Matthias
Hoffkirchen, Wolff von
Rudolf, Matthias</t>
  </si>
  <si>
    <t xml:space="preserve">Lamberg, Abraham</t>
  </si>
  <si>
    <t xml:space="preserve">32:704687C</t>
  </si>
  <si>
    <t xml:space="preserve">8. Bl., 79 S.</t>
  </si>
  <si>
    <t xml:space="preserve">Welchen der Allmächtige Gott aus sonderbarer Gnad vnd Barmhertzigkeit hewriges Jahrs 1609. durch der Röm. Keys. Mayest. Herrn Herrn Rudolphi des Andern [et]c. Unnd der zu Hungarn Königlichen Mayest. Herrn Herrn Matthiasen des Andern etc. allergnädigste vnd gnädigste Concession, im Königreich Böheimb Hungarn Ertzhertzogthumb Osterreich Hertzogthumb Schlesien vnd Marggraffthumb Mährern [et]c. vergönnet vnd bescheret hat.</t>
  </si>
  <si>
    <t xml:space="preserve">Zu Hernals bey Wien vnd zu Plawen in Volckreicher versammlung gehalten</t>
  </si>
  <si>
    <t xml:space="preserve">http://friedensbilder.gnm.de/sites/default/files/99ade2eb-20e8-4fd1-893c-ad101cffb2a1.jpg</t>
  </si>
  <si>
    <t xml:space="preserve">Zwo Glückwünschungs= Danck= vnd FrewdenPredigten / Uber dem seligen lauff des gnadenreichen heilwertigen Evangelii</t>
  </si>
  <si>
    <t xml:space="preserve">J 264.4° Helmst. (2)</t>
  </si>
  <si>
    <t xml:space="preserve">Hoë von Hoënegg, Matthias</t>
  </si>
  <si>
    <t xml:space="preserve">23:270718Q</t>
  </si>
  <si>
    <t xml:space="preserve">Staatliche Bibliothek</t>
  </si>
  <si>
    <t xml:space="preserve">4Theol.syst.586(3</t>
  </si>
  <si>
    <t xml:space="preserve">http://nbn-resolving.org/urn:nbn:de:bvb:12-bsb11071255-6</t>
  </si>
  <si>
    <t xml:space="preserve">8 Bl., 79 S.</t>
  </si>
  <si>
    <t xml:space="preserve">Welchen der Allmächtige Gott / aus sonderbarer Gnad vnd Barmhertzigkeit / hewriges Jahrs 1609. durch der Röm. Keys. Mayest. Herrn / Herrn Rudolphi des Andern / [et]c. Unnd der zu Hungarn Königlichen Mayest. Herrn / Herrn Matthiasen des Andern [et]c. allergnädigste vnd gnädigste Concession, im Königreich Böheimb / Hungarn / Ertzhertzogthumb Osterreich / Hertzogthumb Schlesien / vnd Marggraffthumb Mährern / [et]c. vergönnet vnd bescheret hat. </t>
  </si>
  <si>
    <t xml:space="preserve">Zu Hernals bey Wien / vnd zu Plawen / in Volckreicher versamlung gehalten /</t>
  </si>
  <si>
    <t xml:space="preserve">http://friedensbilder.gnm.de/sites/default/files/1504080217bsb11071255.jpg</t>
  </si>
  <si>
    <t xml:space="preserve">Zwo Glückwünschungs= Danck= vnd FrewdenPredigten / Uber dem seligen lauff des gnadenreichen heilwertigen Evangelii, J 264.4° Helmst. (2)</t>
  </si>
  <si>
    <t xml:space="preserve">Lob und Danck-Predigt / Auff gnedigste Anordnung und Befehlich / des Churfrüsten zu Sachsen / und Burggraffen zu Magdeburgk / etc. vor die zur Glücksburgk getroffene Friedens-Pacification,</t>
  </si>
  <si>
    <t xml:space="preserve">Pon Vc 3232, QK</t>
  </si>
  <si>
    <t xml:space="preserve">Haenichen, Daniel
Rehefeld, Elias
Börner, Johann
Valentin</t>
  </si>
  <si>
    <t xml:space="preserve">14:010158K</t>
  </si>
  <si>
    <t xml:space="preserve">4 Hom. 801 d</t>
  </si>
  <si>
    <t xml:space="preserve">http://nbn-resolving.de/urn:nbn:de:gbv:3:1-34661</t>
  </si>
  <si>
    <t xml:space="preserve">Bey der grossen stattlichen unnd ansehlichen Versamlung der Chur und Fürstlichen Personen in der Schloßkirchen zu Torgaw / aus dem 133. Psalm gethan</t>
  </si>
  <si>
    <t xml:space="preserve">
Leipzig/ Gedruckt durch Valentin Am Ende.</t>
  </si>
  <si>
    <t xml:space="preserve">http://friedensbilder.gnm.de/sites/default/files/421756.jpg</t>
  </si>
  <si>
    <t xml:space="preserve">Die vorliegende Predigt des sächsischen Hofpredigers Daniel Hänichen ist eine der frühesten überlieferten gedruckten Friedenspredigten.&amp;nbsp;Er hielt sie auf Veranlassung Kurfürst Christians II. 1611 in der sächsischen Residenz Torgau nach Abschluss der sog.&amp;nbsp; "Pazifikation von Glücksburg" zwischen Sachsen und Brandenburg im Jülich-Klevischen Erbfolgestreit, in dem Brandenburg und Sachsen konkurrierende Erbansprüche vertraten. In Glücksburg, einem heute nicht mehr erhaltenen Jagdschloss, war es zu einer Begegnung und Übereinkunft zwischen den Kurfürsten gekommen. So bot es sich für den Prediger an, über Psalm 133 zu sprechen, wo es heißt: "Siehe, wie fein und lieblich ist's, wenn Brüder einträchtig beieinander wohnen!" Hänichen erläutert, was mit&amp;nbsp;dem Wohnen der Brüder gemeint ist und entfaltet eine Friedensordnung, für die er die nötigen Voraussetzungen darlegt.&amp;nbsp;
Doch der im Widmungsgedicht (G 2r) erwähnte Vertrag von Jüterbog vom 19. oder 21.3.1611 trat nie in Kraft. Der Konflikt wurde durch den Frieden von Xanten 1614 nur vorläufig beigelegt und ging im 30jährigen Krieg auf. Kurfürst Christian II., starb nur wenige Wochen nach der Predigt am 23.6.1611.
HPJ
&amp;nbsp;
&amp;nbsp;
</t>
  </si>
  <si>
    <t xml:space="preserve">Lob und Danck-Predigt / Auff gnedigste Anordnung und Befehlich / des Churfrüsten zu Sachsen / und Burggraffen zu Magdeburgk / etc. vor die zur Glücksburgk getroffene Friedens-Pacification,, Pon Vc 3232, QK</t>
  </si>
  <si>
    <t xml:space="preserve">https://friedensbilder-neu.gnm.de/sites/default/files/2019-06/Pon-Vc-3232,-QK.png</t>
  </si>
  <si>
    <t xml:space="preserve">http://friedensbilder.gnm.de/content/frieden_foto_order1b01a3</t>
  </si>
  <si>
    <t xml:space="preserve">Fried Bott</t>
  </si>
  <si>
    <t xml:space="preserve">418.5 Theol. (5)</t>
  </si>
  <si>
    <t xml:space="preserve">Hafenreffer, Matthias</t>
  </si>
  <si>
    <t xml:space="preserve">Werlin</t>
  </si>
  <si>
    <t xml:space="preserve">Tübingen</t>
  </si>
  <si>
    <t xml:space="preserve">23:631624L</t>
  </si>
  <si>
    <t xml:space="preserve">http://diglib.hab.de/drucke/418-5-theol-5s/start.htm</t>
  </si>
  <si>
    <t xml:space="preserve">[1] Bl., 37 S.</t>
  </si>
  <si>
    <t xml:space="preserve">das ist Ernstliche Erinnerung auß Gottes Wort daß wir Christen und Kinder Gottes friedlich und einig miteinander leben und keiner den andern mit Worten oder Waffen freventlichen verletzen solle</t>
  </si>
  <si>
    <t xml:space="preserve">Publicirt und gepredigt/ auff den Newen Jars Tag Anno 1613. in der Stifftskirchen zu Tübingen.</t>
  </si>
  <si>
    <t xml:space="preserve">http://friedensbilder.gnm.de/sites/default/files/Hafenreffer.jpg</t>
  </si>
  <si>
    <t xml:space="preserve">Naumburgische Fried und Frewdenport</t>
  </si>
  <si>
    <t xml:space="preserve">Universitäts- und Forschungsbibliothek Erfurt/Gotha</t>
  </si>
  <si>
    <t xml:space="preserve">Gotha
Erfurt</t>
  </si>
  <si>
    <t xml:space="preserve">Hoë von Hoënegg, Matthias
</t>
  </si>
  <si>
    <t xml:space="preserve">12:112867G</t>
  </si>
  <si>
    <t xml:space="preserve">http://archive.thulb.uni-jena.de/ufb/receive/ufb_cbu_00000166</t>
  </si>
  <si>
    <t xml:space="preserve">[1] Bl., 52 S., [1] Bl.</t>
  </si>
  <si>
    <t xml:space="preserve">Das ist Zwo Christliche Predigten </t>
  </si>
  <si>
    <t xml:space="preserve">derer eine zum Eingang die andere zum glücklichen Ausgang der hochlöblichen Chur- und Fürstlichen zusam[m]enkunfft zu Naumburg in vieler Chur- und Fürstlichen Personen gegenwart auch anderer ansehlicher Volckreicher versamlung gehalten und auff gnedigste verordnung in Druck verfertiget</t>
  </si>
  <si>
    <t xml:space="preserve">http://friedensbilder.gnm.de/sites/default/files/Hoe, Naumburgische.jpg</t>
  </si>
  <si>
    <t xml:space="preserve">40.1 Pol. (6)</t>
  </si>
  <si>
    <t xml:space="preserve">Hafenreffer, Matthias
Henri, IV. Frankreich, König</t>
  </si>
  <si>
    <t xml:space="preserve">Landtrachtinger</t>
  </si>
  <si>
    <t xml:space="preserve">Stettin</t>
  </si>
  <si>
    <t xml:space="preserve">23:289599F</t>
  </si>
  <si>
    <t xml:space="preserve">http://diglib.hab.de/drucke/40-1-pol-6s/start.htm</t>
  </si>
  <si>
    <t xml:space="preserve">57 S. </t>
  </si>
  <si>
    <t xml:space="preserve">Das ist: ERnstliche Erinnerung auß Gottes Wort daß wir Christen und Kinder Gottes friedlich und einig miteinander leben und keiner den andern mit Worten oder Waffen freventlich verletzen solle.</t>
  </si>
  <si>
    <t xml:space="preserve">Publicirt und gepredigt auff den Newen Jars Tag Anno 1613. in der Stiftskirche zu Tübingen. Neben beygefügten Edict Königlicher Maj. in Franckreich und Navarren etc. Den Hochschädlichen Unchristlichen Mißbrauch des Kämpffen und Balgens Mann gegen Mann betreffend So bey dem Parlament zu Pariß den 27. Junii Anno 1609 eröffnet und publicirt worden. Auf sonderbaren fürstlichen Befehl nachgedruckt zu Stettin.</t>
  </si>
  <si>
    <t xml:space="preserve">http://friedensbilder.gnm.de/sites/default/files/Hafenreffer2.jpg</t>
  </si>
  <si>
    <t xml:space="preserve">Fried Predigt/ Gethan zu Wolfenbüttel am Sontag Esto mihi,</t>
  </si>
  <si>
    <t xml:space="preserve">253.5 Theol. (17)</t>
  </si>
  <si>
    <t xml:space="preserve">Sattler, Basilius
Lucius, Jacob</t>
  </si>
  <si>
    <t xml:space="preserve">Helmstedt</t>
  </si>
  <si>
    <t xml:space="preserve">14:016264S</t>
  </si>
  <si>
    <t xml:space="preserve">http://diglib.hab.de/drucke/253-5-theol-17s/start.htm</t>
  </si>
  <si>
    <t xml:space="preserve">14 Bl.</t>
  </si>
  <si>
    <t xml:space="preserve">war der 11. Februarii, als den nechsten Dinstag zuvor der Durchleuchtig / Hochgeboren Fürst und Herr / Herr Friederich Ulrich / Herzog zu Braunschweig unnd Lüneburg / in S. F. B. Stadt Brausnchweig die Erbhüldigung genommen hatte</t>
  </si>
  <si>
    <t xml:space="preserve">Gedruckt durch Jacobum Lucium</t>
  </si>
  <si>
    <t xml:space="preserve">Literatur:http://d-nb.info/1030802114&amp;nbsp;http://swb.bsz-bw.de/DB=2.1/PPNSET?PPN=374734437&amp;amp;INDEXSET=1http://swb.bsz-bw.de/DB=2.1/PPNSET?PPN=050040340&amp;amp;INDEXSET=1http://swb.bsz-bw.de/DB=2.1/PPNSET?PPN=446678112&amp;amp;INDEXSET=1</t>
  </si>
  <si>
    <t xml:space="preserve">http://friedensbilder.gnm.de/sites/default/files/Sattler.jpg</t>
  </si>
  <si>
    <t xml:space="preserve">Fried Predigt/ Gethan zu Wolfenbüttel am Sontag Esto mihi,, 253.5 Theol. (17)</t>
  </si>
  <si>
    <t xml:space="preserve">http://friedensbilder.gnm.de/content/frieden_foto_order1c3d80</t>
  </si>
  <si>
    <t xml:space="preserve">Guthertzige und wolmeinende Danck- und Denckpredigt. Von dem Hoch-edlen unnd Gold-güldenen Kleinoth des lieben Friedes</t>
  </si>
  <si>
    <t xml:space="preserve">3.A.5779,angeb.23</t>
  </si>
  <si>
    <t xml:space="preserve">Haugsdorf, Paul
Bick, Zacharias
Fleischer, David</t>
  </si>
  <si>
    <t xml:space="preserve">Rehefeld
Lanckisch
Grosse</t>
  </si>
  <si>
    <t xml:space="preserve">14:666785U</t>
  </si>
  <si>
    <t xml:space="preserve">http://digital.slub-dresden.de/ppn324132913</t>
  </si>
  <si>
    <t xml:space="preserve">17 Bl.</t>
  </si>
  <si>
    <t xml:space="preserve">Am heiligen Fest- und Aposteltage Bartholomaei aus hierzu verordneter Evangelischer Historien beym Evangelisten Luca am 22. Capitel genommen in der Königlichen Stadt Zittaw öffentlich gehalten und auff begehren in Druck gelassen</t>
  </si>
  <si>
    <t xml:space="preserve">http://friedensbilder.gnm.de/sites/default/files/00000003.tif(5).jpg</t>
  </si>
  <si>
    <t xml:space="preserve">Guthertzige und wolmeinende Danck- und Denckpredigt. Von dem Hoch-edlen unnd Gold-güldenen Kleinoth des lieben Friedes, 3.A.5779,angeb.23</t>
  </si>
  <si>
    <t xml:space="preserve">Das Christliche Lob- und Danckopffer/ welches Gott dem Herren/ wegen des Undergangs seiner Feinden: </t>
  </si>
  <si>
    <t xml:space="preserve">Xb 5860</t>
  </si>
  <si>
    <t xml:space="preserve">Meyer, Wolfgang
Hübner, Johan-Jacob
Hübner, Johann-Werner
Hübner, Johan-Rudolph</t>
  </si>
  <si>
    <t xml:space="preserve">S.l.</t>
  </si>
  <si>
    <t xml:space="preserve">23:675631Z</t>
  </si>
  <si>
    <t xml:space="preserve">39 S.</t>
  </si>
  <si>
    <t xml:space="preserve">Wie sich derselbige auch newlich/ Den 14. April. zu Paris in Franckreich an dem Italiänischen Sifera, und Florentinischen Haman, Markis D'Ancre, mit grosser Frewd des gantzen Lands/ erzeigt hat: </t>
  </si>
  <si>
    <t xml:space="preserve">In der Sontäglichen Abendtpredigt deß Münsters den 4. Maij von Wolfgang Mayern H. Schrifft Doct. und Pfarrherrn zu S. Alban ist auffgeoffert worden</t>
  </si>
  <si>
    <t xml:space="preserve">Predigt anlässlich der Ermordung des Günstlings Marias de Medici, Concino Concini.Vgl. https://de.wikipedia.org/wiki/Concino_Concini</t>
  </si>
  <si>
    <t xml:space="preserve">Concio Irenica</t>
  </si>
  <si>
    <t xml:space="preserve">393.13 Theol. (19)</t>
  </si>
  <si>
    <t xml:space="preserve">Stein, Paul</t>
  </si>
  <si>
    <t xml:space="preserve">Officina Typographica Mauritiana</t>
  </si>
  <si>
    <t xml:space="preserve">Kassel</t>
  </si>
  <si>
    <t xml:space="preserve">Müller 2004</t>
  </si>
  <si>
    <t xml:space="preserve">S. 45f</t>
  </si>
  <si>
    <t xml:space="preserve">23:631165S</t>
  </si>
  <si>
    <t xml:space="preserve">http://diglib.hab.de/drucke/393-13-theol-19s/start.htm</t>
  </si>
  <si>
    <t xml:space="preserve">50 S. </t>
  </si>
  <si>
    <t xml:space="preserve">oder FriedensPredigt/ Aus dem Geistreichen Lehrer Syrach Cap. 25. v. 1. 2. Darinnen under andern dargethan und bewiesen wird/ das beyderseits Evangelische von der Person des Herrn Christi/ dem heiligen Hochwürdigen Abendmahl/ und der Gnadenwahl der Kinder Gottes im Fundament und Grund der Seeligkeit durchaus Einig: Und das die wenige zwischen ihnen noch schwebende streittige Puncten bey weytem  der importantz und erheblichkeit nicht seyen/ daß von deren wegen das Band der Christlichen Brüderlichen Liebe zwischen ihnen/ beyderseits Evangelischen/ getrennet und zerissen werden solle:</t>
  </si>
  <si>
    <t xml:space="preserve">Gehalten in Fürstlicher HoffKirchen zu Cassel am 22. Iunii, Anno 1618. In hochansehnlicher Versamblung underschiedener Fürstlichen/ Gräfflichen/ und vieler Adelichen und anderer vornehmer Persohnen bey der Adelichen Hochzeit Des WolEdlen/ Stengen und Vesten/ Dietherich von dem Werder Fürstl. Hessischen geheimbden Rahts und Hof-Marschalcks zu Cassell Und der auch WolEdlen und Ehrenthugendreichen Jungfrawen/ Dorotheen Catharinen von Waldaw/ aus dem Hauß Schwanowitz</t>
  </si>
  <si>
    <t xml:space="preserve">Gedruckt zu Cassel/ durch Wilhelm Wessel/ Im Jahr Christi/ M.DC.XIIX.</t>
  </si>
  <si>
    <t xml:space="preserve">https://friedensbilder-neu.gnm.de/sites/default/files/2019-06/393.13 Theol. (19).jpg</t>
  </si>
  <si>
    <t xml:space="preserve">Der vorliegende Druck ist einer der frühesten Belege&amp;nbsp;im deutschen Sprachraum&amp;nbsp;für eine gedruckte Predigt, die sich&amp;nbsp;– auf Deutsch und Latein – selbst als Friedenspredigt tituliert. Doch obwohl der Prediger, Paul Steinius (1585–1634), die Perikope Sir 25,1–2 wählt, die auch vielen anderen Friedenspredigten zugrunde gelegt wurde, ist seine Predigt keine wirkliche Friedenspredigt, oder hat zumindest nicht so gewirkt. Gehalten in der Hofkirche in Kassel am 22.6.1618 am Vorabend des Dreißigjährigen Krieg bei der Hochzeit eines hessischen fürstlichen Rats in Anwesenheit verschiedener Reichsfürsten, thematisiert die Predigt des reformierten Hofpredigers nicht nur das eheliche friedliche Beisammenleben, sondern auch die Einigkeit von Glaubensbrüdern. Dabei erhebt er die Forderung nach Einigkeit der Evangelischen&amp;nbsp;nicht allein&amp;nbsp;gegen die „Papisten“, sondern auch untereinander. Die trennenden dogmatischen Punkte, so entfaltet er, seien „von nicht so großer Importanz“. Das sahen die adressierten lutherischen Glaubensbrüder hingegen anders als er: Auf den Druck der Predigt hin, den Steinius dem Herzog Friedrich Ulrich von Braunschweig-Wolfenbüttel widmete, traten der Wolfenbütteler Hofprediger Petrus Tuckermann und der Gießener Professor Balthasar Mentzer den Aussagen über eine mögliche Einigung unter den Evangelischen entgegen, woraufhin Steinius Verteidigungsschriften verfasste. Was mit einer Festtagspredigt als Versuch, konfessionelle Unterschiede abzuschwächen begonnen hatte, endete als gelehrte Polemik mit Streitschriften von mehreren hundert Seiten.&amp;nbsp;HPJ</t>
  </si>
  <si>
    <t xml:space="preserve">Concio Irenica,, 393.13 Theol. (19)</t>
  </si>
  <si>
    <t xml:space="preserve">https://friedensbilder-neu.gnm.de/sites/default/files/2019-06/393-13-Theol.png</t>
  </si>
  <si>
    <t xml:space="preserve">Concio Irenica,</t>
  </si>
  <si>
    <t xml:space="preserve">http://friedensbilder.gnm.de/content/frieden_foto_order1a6955</t>
  </si>
  <si>
    <t xml:space="preserve">Eine Christliche Jubelpredigt Uber den 126. Psalm</t>
  </si>
  <si>
    <t xml:space="preserve">3 an Theol. 4. 847</t>
  </si>
  <si>
    <t xml:space="preserve">Hannemann, Ambrosius
Gormann, Johannes Andreas</t>
  </si>
  <si>
    <t xml:space="preserve">Gorman</t>
  </si>
  <si>
    <t xml:space="preserve">1:037385D</t>
  </si>
  <si>
    <t xml:space="preserve">http://nbn-resolving.de/urn:nbn:de:gbv:3:1-63979</t>
  </si>
  <si>
    <t xml:space="preserve">Auff das Erste hohe hundertjärige Danckfest der Reformirten Lutherischen Kirchen gehalten zu Juterbock in S. Nicolai Kirchen Darinne vor hundert Jahren Johan Tetzel den Antichristischen Römischen Ablaß in der Marterwochen öffentlich geprediget und feil gebotten Sampt einem kurtzen Bericht von der Wendischen Morgengöttin und ihrem delubro in der Vorstadt aufm Newmarck ..</t>
  </si>
  <si>
    <t xml:space="preserve">http://friedensbilder.gnm.de/sites/default/files/708996.jpg</t>
  </si>
  <si>
    <t xml:space="preserve">Eine Christliche Jubelpredigt/ Uber den 126. Psalm , 3 an Theol. 4. 847</t>
  </si>
  <si>
    <t xml:space="preserve">Eine Christliche Jubelpredigt/ Uber den 126. Psalm </t>
  </si>
  <si>
    <t xml:space="preserve">Danckpredigt vnd Lobpsalm/ So auff den folgenden Sontag den 15. oder 25. Novemb. in der grossen Statt- vnd Pfarrkirchen zu S. Bartholomaei, gehalten worden</t>
  </si>
  <si>
    <t xml:space="preserve">AB 153005 (4)</t>
  </si>
  <si>
    <t xml:space="preserve">Heilmann, Johann Jacob
Kilian, Wolf
Campanus Vodnianus, Jah.
Futuro, Desiderius de
Budessinus, Marcus</t>
  </si>
  <si>
    <t xml:space="preserve">Schönfeld, Johann</t>
  </si>
  <si>
    <t xml:space="preserve">Amberg</t>
  </si>
  <si>
    <t xml:space="preserve">12:117218W</t>
  </si>
  <si>
    <t xml:space="preserve">http://nbn-resolving.org/urn:nbn:de:gbv:3:1-24666</t>
  </si>
  <si>
    <t xml:space="preserve">Gründliche Relation Wie es bey Eroberung der Statt Pilsen in Böhmen (so von dem Hoch und Wolgebornen Herrn Graff Ernesten von Mansfeld ... den 11. oder 21. Novemb. 1618. mit stürmender hand eingenom[m]en worden) umbständlich zugangen.Jtem / was für Artickel den Belägerten vorgeschlagen / vnd wessen sich die Statt gegen den Herren Ständen verpflichtet. </t>
  </si>
  <si>
    <t xml:space="preserve">S. 27-46</t>
  </si>
  <si>
    <t xml:space="preserve">47 S., [1] gef. Bl.</t>
  </si>
  <si>
    <t xml:space="preserve">http://friedensbilder.gnm.de/sites/default/files/Heylmann, Gründliche Relation.jpg</t>
  </si>
  <si>
    <t xml:space="preserve">http://friedensbilder.gnm.de/content/frieden_object6044e</t>
  </si>
  <si>
    <t xml:space="preserve">Wolgemeinte Erinnerung von Der Concione Irenica, Oder Friedens-Predigt Auß dem Geystreichen Lehrer Syrach Cap. 25. v. 12</t>
  </si>
  <si>
    <t xml:space="preserve">Theol.ev.pol.331.f,misc.3</t>
  </si>
  <si>
    <t xml:space="preserve">Mentzer, Balthasar</t>
  </si>
  <si>
    <t xml:space="preserve">Hampelius</t>
  </si>
  <si>
    <t xml:space="preserve">23:258553V</t>
  </si>
  <si>
    <t xml:space="preserve">http://digital.slub-dresden.de/id371738008</t>
  </si>
  <si>
    <t xml:space="preserve">48 S.</t>
  </si>
  <si>
    <t xml:space="preserve">Darinnen unter andern dargethan unnd bewiesen wird daß beyderseits Evangelische von der Person des Herrn Christi dem H. Hochwürdigen Abendmal und der Gnadenwahl der Kinder Gottes im Fundament unnd Grundt der Seligkeit durchauß einig ... ; Gehalten in Fürstlicher Hoffkirchen zu Cassel am 22. Junii Anno 1618. Durch Paulum Steinium, Hoffprediger ..</t>
  </si>
  <si>
    <t xml:space="preserve">Mit dieser Predigt trat der Gießener lutherische Theologieprofessor Balthasar Mentzer der "Concio irenica oder FriedensPredigt" der reformierten Kasseler Hofpredigers Paul Steinius entgegen.</t>
  </si>
  <si>
    <t xml:space="preserve">http://friedensbilder.gnm.de/sites/default/files/Mentzer.jpg</t>
  </si>
  <si>
    <t xml:space="preserve">Religionsstreit und -frieden</t>
  </si>
  <si>
    <t xml:space="preserve">Rettung Der zu Cassel am 22. Junii Anno 1618. gehaltener FriedensPredigt</t>
  </si>
  <si>
    <t xml:space="preserve">Theol.ev.pol.512.m</t>
  </si>
  <si>
    <t xml:space="preserve">Wessel</t>
  </si>
  <si>
    <t xml:space="preserve">23:237538K</t>
  </si>
  <si>
    <t xml:space="preserve">http://digital.slub-dresden.de/ppn32394583X</t>
  </si>
  <si>
    <t xml:space="preserve">[7] Bl., 203 S.</t>
  </si>
  <si>
    <t xml:space="preserve">Garinnen unter andern dargethan unnd bewiesen wird daß beyderseits Evangelische von der Person des Herrn Christi dem H. Hochwürdigen Abendmahl und der Gnadenwahl der Kinder Gottes im Fundament und Grund der Seeligkeit durchaus einig und daß die wenige zwischen ihnen noch schwebende streittige Puncten beiweitem der importantz und unnd Erhebligkeit nicht seyen daß von deren wegen das Band der Christlichen Brüderlichen Liebe zwischen ihnen beiderseits Evangelischen getrennet und zerrissen werden solle</t>
  </si>
  <si>
    <t xml:space="preserve">Gestellet wider Ehrn D. Balthasaris Mentzeri Wolgemeinte Erinnerung Und Ehrn M. Petri Tuckermans ... Antwort auff gemelte FriedensPredigt</t>
  </si>
  <si>
    <t xml:space="preserve">http://friedensbilder.gnm.de/sites/default/files/00000005.tif(2).jpg</t>
  </si>
  <si>
    <t xml:space="preserve">Examen oder Prob Der Rettung Ehrn Pauli Steinii, Fürstlichen Hoffpredigers unnd Professoris SS. Theologiae, im F. Ritter-Collegio zu Cassel</t>
  </si>
  <si>
    <t xml:space="preserve">Theol.ev.pol.360.x,misc.1</t>
  </si>
  <si>
    <t xml:space="preserve">Verfasser
Beiträger</t>
  </si>
  <si>
    <t xml:space="preserve">Mentzer, Balthasar
Stein, Paul</t>
  </si>
  <si>
    <t xml:space="preserve">Hampel</t>
  </si>
  <si>
    <t xml:space="preserve">39:132585V</t>
  </si>
  <si>
    <t xml:space="preserve">http://digital.slub-dresden.de/id36813685X</t>
  </si>
  <si>
    <t xml:space="preserve">Darin er seine zu Cassel am 22. Iunii Anno 1618. gehaltene Friedenspredigt zuverthetigen und ferner zu beweisen sich bemühet daß beyderseits Evangelische wie er sie nennet nemlich Lutheraner und Calvinisten von der Person Christi dem H. Hochwürdigen Abendmahl und der Gnadenwahl der Kinder Gottes im Fundament unnd Grund der Seligkeit durchaus einig etc. unnd deßwegen gute Brüderschafft halten sollen</t>
  </si>
  <si>
    <t xml:space="preserve">keine Friedenspredigt, sondern eine Streitschrift gegen die Concio Irenica des Hessen-Kasselischen Hofpredigers Paul Stein, der seine Predigt ebenfalls dem Herzog Friedrich Ulrich von BS-Wf gewidmet hatte.</t>
  </si>
  <si>
    <t xml:space="preserve">http://friedensbilder.gnm.de/sites/default/files/00000003.tif(6).jpg</t>
  </si>
  <si>
    <t xml:space="preserve">Examen oder Prob Der Rettung Ehrn Pauli Steinii, Theol.ev.pol.360.x,misc.1</t>
  </si>
  <si>
    <t xml:space="preserve">Examen oder Prob Der Rettung Ehrn Pauli Steinii</t>
  </si>
  <si>
    <t xml:space="preserve">Der Hertzliche FriedensWuntsch deß Volckes Gottes Psalm 85</t>
  </si>
  <si>
    <t xml:space="preserve">317.15 Theol. (1)</t>
  </si>
  <si>
    <t xml:space="preserve">Fleischer, Joachim
Baumann, Georg</t>
  </si>
  <si>
    <t xml:space="preserve">Johann Eyrings Erben</t>
  </si>
  <si>
    <t xml:space="preserve">14:016879U</t>
  </si>
  <si>
    <t xml:space="preserve">http://nbn-resolving.de/urn:nbn:de:gbv:3:1-35005</t>
  </si>
  <si>
    <t xml:space="preserve">Pon Vc 3377, QK</t>
  </si>
  <si>
    <t xml:space="preserve">24 Bl.</t>
  </si>
  <si>
    <t xml:space="preserve">In Angeordneter HuldigungsPredigt </t>
  </si>
  <si>
    <t xml:space="preserve">Als im Namen der Röm. Kays. auch in Ungern unnd Böhmen königlichen Mayestät Der ... Herr Johann Georg Hertzog und Churfürst zu Sachsen [et]c. Von den Hochlöblichen Herren Fürsten un[d] Ständen in Ober- und NiederSchlesien die Erneurung der Huldigungspflicht in der Hauptstadt Breßlaw den 3. Novembris, Anno 1621. annehmen wollen. Der Christlichen Versammlung der Kirchen zu S. Bernhardin einfältig erkläret</t>
  </si>
  <si>
    <t xml:space="preserve">http://friedensbilder.gnm.de/sites/default/files/423282.jpg</t>
  </si>
  <si>
    <t xml:space="preserve">Fleischer (1587–1645) Propst und Pfarrer in Breslau</t>
  </si>
  <si>
    <t xml:space="preserve">Der Hertzliche FriedensWuntsch deß Volckes Gottes, 317.15 Theol. (1)</t>
  </si>
  <si>
    <t xml:space="preserve">Der Hertzliche FriedensWuntsch deß Volckes Gottes</t>
  </si>
  <si>
    <t xml:space="preserve">http://friedensbilder.gnm.de/content/frieden_foto_order1c3d04</t>
  </si>
  <si>
    <t xml:space="preserve">Frieden und FrewdenPredigt Am Sontag Oculi</t>
  </si>
  <si>
    <t xml:space="preserve">Pon Vc 3846, QK</t>
  </si>
  <si>
    <t xml:space="preserve">Pollio, Joachim</t>
  </si>
  <si>
    <t xml:space="preserve">Eyring
Baumann
Perffert</t>
  </si>
  <si>
    <t xml:space="preserve">14:007632E</t>
  </si>
  <si>
    <t xml:space="preserve">http://nbn-resolving.de/urn:nbn:de:gbv:3:1-27227</t>
  </si>
  <si>
    <t xml:space="preserve">[20] Bl.</t>
  </si>
  <si>
    <t xml:space="preserve">Als gleich dazumal die zwischen ... Johan Georgen/ Hertzogen zu Sachsen ... deß Heiligen Römischen Reichs ErtzMarschallen und Churfürsten ... Im Namen und an statt der Röm: Kay: ... May: [et]c. und der Hochlöblichen Herren Fürsten und Stände in Ober und Nieder Schlesien/ naher Dreßden verordneten/ und nunmehr glücklich zu rück gelangten vornehmen Herrn Abgesandten/ getroffene Accommodation offentlich publiciret, und von allen Cantzeln zu Breßlaw abgelesen worden</t>
  </si>
  <si>
    <t xml:space="preserve">http://friedensbilder.gnm.de/sites/default/files/455633.jpg</t>
  </si>
  <si>
    <t xml:space="preserve">Frieden und FrewdenPredigt Am Sontag Oculi, Pon Vc 3846, QK</t>
  </si>
  <si>
    <t xml:space="preserve">Eirenopolis: the citie of peace</t>
  </si>
  <si>
    <t xml:space="preserve">Bodleian Library</t>
  </si>
  <si>
    <t xml:space="preserve">Oxford</t>
  </si>
  <si>
    <t xml:space="preserve">8° R 78(2) Th.</t>
  </si>
  <si>
    <t xml:space="preserve">Adams, Thomas</t>
  </si>
  <si>
    <t xml:space="preserve">Printed by Aug. Matthewes for Iohn Grismand, and are to bee sold at his shop in Pauls Alley at the signe of the Gunne</t>
  </si>
  <si>
    <t xml:space="preserve">http://gateway.proquest.com/openurl?ctx_ver=Z39.88-2003&amp;res_id=xri:   eebo&amp;rft_val_fmt=&amp;rft_id=xri:eebo:image:15688</t>
  </si>
  <si>
    <t xml:space="preserve">Surueyed and commended to all Christians</t>
  </si>
  <si>
    <t xml:space="preserve">1.1 Quellen</t>
  </si>
  <si>
    <t xml:space="preserve">Evangelischer Kirchen Brüderschafft</t>
  </si>
  <si>
    <t xml:space="preserve">13 - Ts. 8° 00803cl</t>
  </si>
  <si>
    <t xml:space="preserve">Stein, Paul
Mentzer, Balthasar</t>
  </si>
  <si>
    <t xml:space="preserve">547:693675D</t>
  </si>
  <si>
    <t xml:space="preserve">http://gso.gbv.de/DB=1.28/CMD?ACT=SRCHA&amp;IKT=8002&amp;TRM=%27547:693675D%27</t>
  </si>
  <si>
    <t xml:space="preserve">A: 391.5 Theol.</t>
  </si>
  <si>
    <t xml:space="preserve">Nur Band 1: Darinnen von der Person und Ambt des Herrn Christi gehandelt wird</t>
  </si>
  <si>
    <t xml:space="preserve">http://diglib.hab.de/drucke/391-5-theol/start.htm?image=00003</t>
  </si>
  <si>
    <t xml:space="preserve">Das ist Außführlicher Sonnenklarer Beweiß das beyderseits Evangelische im Grund der Seeligkeit einig und ohnerachtet deren zwischen ihnen noch schwebenden Streitigkeiten und Irrungen einander gar wol mit gutem Gewissen für Brüder in Christo erkennen können auch billich darfür erkennen und halten sollen</t>
  </si>
  <si>
    <t xml:space="preserve">Gestellet und entgegen gesetzt Ehrn D. Balthasaris Mentzeri Examini der Rettung der Casselischen Friedenspredigt Und Ehrn M. Petri Tuckermans Fürstlichen Braunschweigischen Hoffpredigers zu Wolffenbüttel Antwort auff gemelte Rettung ... Theil ..</t>
  </si>
  <si>
    <t xml:space="preserve">http://friedensbilder.gnm.de/sites/default/files/Brüderschaft.jpg</t>
  </si>
  <si>
    <t xml:space="preserve">Außmusterung Des Calvinischen Syncretismi.</t>
  </si>
  <si>
    <t xml:space="preserve">886.7 Theol. (2)</t>
  </si>
  <si>
    <t xml:space="preserve">Heidenreich, Jacob</t>
  </si>
  <si>
    <t xml:space="preserve">Bischoff, Johann</t>
  </si>
  <si>
    <t xml:space="preserve">Erfurt</t>
  </si>
  <si>
    <t xml:space="preserve">23:644361P</t>
  </si>
  <si>
    <t xml:space="preserve">http://gso.gbv.de/DB=1.28/PPNSET?PPN=005166764</t>
  </si>
  <si>
    <t xml:space="preserve">1105.4 Theol. (3)</t>
  </si>
  <si>
    <t xml:space="preserve">[127] Bl. ; 8° </t>
  </si>
  <si>
    <t xml:space="preserve">Das ist/ Christliche und in Gottes Wort wolgegründete Predigt/ uber dz ordentliche Fest Evangelium am Tage deß Apostel S. Bartholomaei in welcher auß Anleitung des Zancks/ so sich zwischen den Jüngern Christi/ wegen des Primats erhoben/ diese Fragen: Ob ein jeder Friede/ gut/ nützlich und anzunehmen sey/ schlecht und einfältig tractiret/ darneben auch/ wie wir recht Evangelischen und Lutherischen/ mit den ubelgenanten Evangelischen und Calvinisten/ weil dieselben das Fundament des wahren Christlichen/ seligmachenden Glaubens directe &amp; indirecte impingiren, keinen Syncretismum oder Kirchenfrieden auffrichten können/ angezeiget wird.</t>
  </si>
  <si>
    <t xml:space="preserve">Gehalten zur Lignitz in der Fürstlichen Stifftkirchen zu S. Johannis Durch M. Jacobum Heidenrich/ der unverenderten A. 30 Käyser Carolo V. ubergebenen Augspurgis. Confess. zugethanen Christlichen Gemeine zu Grzimatowa in der Kron Polen Pastorem.</t>
  </si>
  <si>
    <t xml:space="preserve">Erffurt/ In Vorlegung Johan Bischoffs.</t>
  </si>
  <si>
    <t xml:space="preserve">http://friedensbilder.gnm.de/sites/default/files/titelblatt_2.tif</t>
  </si>
  <si>
    <t xml:space="preserve">http://friedensbilder.gnm.de/content/frieden_foto_order1c3ab4</t>
  </si>
  <si>
    <t xml:space="preserve">Iustitiae Et Misericordiae Dei Temperamentum</t>
  </si>
  <si>
    <t xml:space="preserve">270.1 Theol. (3)</t>
  </si>
  <si>
    <t xml:space="preserve">Siricius, Michael</t>
  </si>
  <si>
    <t xml:space="preserve">Schmalhertz
Embs</t>
  </si>
  <si>
    <t xml:space="preserve">3:607855Q</t>
  </si>
  <si>
    <t xml:space="preserve">AB 122262</t>
  </si>
  <si>
    <t xml:space="preserve">[2] Bl., 60 S.</t>
  </si>
  <si>
    <t xml:space="preserve">Zwo Christliche Predigten Vom Krieg und Frieden</t>
  </si>
  <si>
    <t xml:space="preserve">Für den Hochansehnlichen Königlichen Herrn Abgesandten/ nach beschlossenen und publicirten Friede/ auff dero Begehren zu Löbeck gehalten/ und jetzt in den Druck gegeben</t>
  </si>
  <si>
    <t xml:space="preserve">Predigt wird in dem Druck des Friedensvertrags im Theatrum Europaeum erwähnt, Datierung danach:http://www.ieg-friedensvertraege.de/---_site.popup..html_dir._treaty.181_anth.115_notrans.1_likecms.html</t>
  </si>
  <si>
    <t xml:space="preserve">http://friedensbilder.gnm.de/sites/default/files/titelblatt_0.tif</t>
  </si>
  <si>
    <t xml:space="preserve">Iustitiae Et Misericordiae Dei Temperamentum, 270.1 Theol. (3)</t>
  </si>
  <si>
    <t xml:space="preserve">http://friedensbilder.gnm.de/content/frieden_foto_order1c3e7d</t>
  </si>
  <si>
    <t xml:space="preserve">Eucharisticarum Trias Secunda</t>
  </si>
  <si>
    <t xml:space="preserve">241.9 Theol. (1.2)</t>
  </si>
  <si>
    <t xml:space="preserve">Alard, Wilhelm</t>
  </si>
  <si>
    <t xml:space="preserve">Grosse, Henning
Ritzsch, Gregorius</t>
  </si>
  <si>
    <t xml:space="preserve">23:330890A</t>
  </si>
  <si>
    <t xml:space="preserve">http://diglib.hab.de/drucke/241-9-theol-1s-2/start.htm</t>
  </si>
  <si>
    <t xml:space="preserve">[4] Bl., 76 S.</t>
  </si>
  <si>
    <t xml:space="preserve">Das ist: Die andern drey Dancksagungs-Predigten/ aus unterschiedlichen Texten dreyer heiliger Geistreicher Propheten/ Esaiae, Jeremiae, und Ezechielis: darinn dem Herrn Zebaoth/ dem Herrn der Heerscharen/ dem Gott des Friedens/ für die uberschwengliche Wolthat/ daß er von dem verderblichen Kriegßwesen/ uns so väterlich erlöset/ und den edlen hocherwündschten Frieden unserm lieben Vaterlande in Gnaden wieder bescheret hat/ von Hertzen gedancket wird. Darinn jedermenniglich zu schuldiger Dancksagung/ für gemelte Wolthat/ und zum Lobe und Preise Gottes/ auch zu einem Gottseligen bestendigen bußfertigen Leben vermahnet wird. </t>
  </si>
  <si>
    <t xml:space="preserve">In Christlicher Gemeine zur Crempen gehalten. Mit angehengten hertzlichen Dancksagungen/ deren ein Theil auff bekante Melodeyen gerichtet/ gesungen werden können</t>
  </si>
  <si>
    <t xml:space="preserve">Eucharisticarum Fasciculus, Das ist: Achtzehn Christliche Danchsagungs Predigten</t>
  </si>
  <si>
    <t xml:space="preserve">http://friedensbilder.gnm.de/sites/default/files/Alard.jpg</t>
  </si>
  <si>
    <t xml:space="preserve">Eucharisticarum Trias Secunda, 241.9 Theol. (1.2)</t>
  </si>
  <si>
    <t xml:space="preserve">241.9 Theol.</t>
  </si>
  <si>
    <t xml:space="preserve">Grosse
Ritzsch</t>
  </si>
  <si>
    <t xml:space="preserve">23:330887X</t>
  </si>
  <si>
    <t xml:space="preserve">http://opac.lbs-braunschweig.gbv.de/DB=2/SET=5/TTL=1/SHW?FRST=1</t>
  </si>
  <si>
    <t xml:space="preserve">Danck-Fest/ Oder Grosse Jubelfrewd / Daß jetzo vor hundert Jahren unser Christlich Glaubens-Bekentnis/ die Augspurgische Confession für der gantzen Reichß-Versamlung zu Augspurg öffentlich verlesen/ gelobet/ und so thewer von Kayser Carolo dem Fünfften ist angenommen worden:</t>
  </si>
  <si>
    <t xml:space="preserve">Th 8° 03012 (06a)</t>
  </si>
  <si>
    <t xml:space="preserve">Ritzsch, Gregorius</t>
  </si>
  <si>
    <t xml:space="preserve">547:653233C</t>
  </si>
  <si>
    <t xml:space="preserve">https://www.gbv.de/vd/vd17/547:653233C</t>
  </si>
  <si>
    <t xml:space="preserve">Gott zu schuldiger Dancksagung ehalten den 25. Junii / Anno 1630.</t>
  </si>
  <si>
    <t xml:space="preserve">Gott zu Ehren gedicht / und gedruckt durch Gerog. Ritzsch</t>
  </si>
  <si>
    <t xml:space="preserve">http://friedensbilder.gnm.de/sites/default/files/fe5fa338-1065-4108-9e0f-4c81d4347aad.gif</t>
  </si>
  <si>
    <t xml:space="preserve">2.4 Reformationsjubiläen</t>
  </si>
  <si>
    <t xml:space="preserve">Danck-Fest/ Oder Grosse Jubelfrewd / Daß jetzo vor hundert Jahren unser Christlich Glaubens-Bekentnis/ die Augspurgische Confession für der gantzen Reichß-Versamlung zu Augspurg öffentlich verlesen/ gelobet/ und so thewer von Kayser Carolo dem Fünfften ist angenommen worden:, Th 8° 03012 (06a)</t>
  </si>
  <si>
    <t xml:space="preserve">Glückwünschung An deß Heiligen Römischen Reichs hochberühmte Stadt Nurnberg/ Als in derselben die Friedenshandlungen glücklich fortgesetzet worden/ Einem Edlen und Hochweisen Raht daselbst Unterthänigst übergeben Von Johanne Ceropoeo</t>
  </si>
  <si>
    <t xml:space="preserve">Ebl. 20.020</t>
  </si>
  <si>
    <t xml:space="preserve">Mayer-Gürr 2007</t>
  </si>
  <si>
    <t xml:space="preserve">S. 145</t>
  </si>
  <si>
    <t xml:space="preserve">75:710529K</t>
  </si>
  <si>
    <t xml:space="preserve">http://www.gbv.de/vd/vd17/75:710529K</t>
  </si>
  <si>
    <t xml:space="preserve">Der Text wurde unter dem Namen Johannes Ceropaeus veröffentlicht.&amp;nbsp;
Für eine inhaltliche Beschreibung des Bildes siehe&amp;nbsp;SP 10579, Kapsel 1068&amp;nbsp;oder&amp;nbsp;&amp;nbsp;HB 24659, Kapsel 1220.
Am 16. Juni 1650 wurden im Nürnberger ”Schlos“ die Dokumente des Hauptrezesses kollationiert, die den Nürnberger Friedensexekutionskongress beendeten. Das vorliegende Blatt zeigt die Kutschabfahrt der Abgeordneten vom dem Nürnberger Rathaus in Richtung Burg. Dem Spektakel wohnt eine Vielzahl an Stadtbewohner bei, die sich im Bildvordergrund versammelt haben. Im Theatrum Europaeum&amp;nbsp;sind der Ablauf und die Beteiligten genauestens beschrieben. Musikanten begleiteten den Auszug, und die Friedensnachricht wurde durch Boten in der Stadt verbreitet. In der gesamten Stadt und vor allem auf der Burg wurden Kanonen- und Gewehrschüsse abgefeuert sowie abendliche Dankesgottesdienste abgehalten. Die Pulverwolken der Türme sind in der Nürnberger Stadtsilhouette, die sich hinter dem Rathaus erstreckt, gut zu erkennen. Der Blick von Südosten wird&amp;nbsp; durch einen Regenbogen abgeschlossen, unter dem die Friedenstaube den Ölzweig bringt. Sie ist hier nicht nur als generelles Friedenssymbol zu verstehen, sondern bezieht sich auf den in der zweiten Spalte genannten Vers aus Gen 8. Damit stellen sowohl der Dichter Johann Klaj&amp;nbsp;als auch der Zeichner der Vorlage Leonhard Haeberlin&amp;nbsp;einen Bezug zur alttestamentlichen Bundestheologie her.
</t>
  </si>
  <si>
    <t xml:space="preserve">http://friedensbilder.gnm.de/sites/default/files/NüStB_Ebl. 20.020.png
http://friedensbilder.gnm.de/sites/default/files/Klaj_Glückwünschung.jpg</t>
  </si>
  <si>
    <t xml:space="preserve">Unter dem Namen Johannes Ceropaeus veröffentlichte Johann Klaj (1616–1656) 1649 einen kurzen Text auf die Stadt Nürnberg und die erfolgreichen Verhandlungen als Einblattdruck. Neben einer Version, die nur Klajs Text abdruckt, ist auch eine Version des Flugblattes erhalten, bei der der Text durch eine Abbildung veranschaulicht wird. Diese Abbildung findet sich ebenfalls auf dem Flugblatt Nürnbergisches Denckwürdiges Freüden Fest wieder.
Klaj huldigt der Stadt Nürnberg poetisch, indem er sie mit anderen historisch bedeutenden Städten vergleicht: „Es hat zwar Sannazar Venedig höher schätzet als Rom/ weil jenes ist so wunderbar gesetzet im Mitten von dem Meer […]. Dennoch muß dieses auch für deinem [Nürnbergs] Preis erbleichen/ dieweil es nicht vermocht ein solches zu erreichen als dir vertrawet ist/ du hochgelobte Stadt […].“ Der Verfasser geht weniger auf die Rezesse selbst ein, sondern konzentriert sich auf Nürnberg als Austragungsort der Verhandlungen. Dabei betont er auch, sicherlich verständlich aus seiner Position als Poet, das Erblühen der schönen Künste innerhalb der Stadt und rühmt die nahegelegene Universität Altdorf, „wo Kunst und Weißheit bulen.“
FB
</t>
  </si>
  <si>
    <t xml:space="preserve">Glückwünschung An deß Heiligen Römischen Reichs hochberühmte Stadt Nurnberg/ Als in derselben die Friedenshandlungen glücklich fortgesetzet worden/ Einem Edlen und Hochweisen Raht daselbst Unterthänigst übergeben Von Johanne Ceropoeo, Ebl. 20.020</t>
  </si>
  <si>
    <t xml:space="preserve">https://friedensbilder-neu.gnm.de/sites/default/files/2019-06/Ebl-20.png</t>
  </si>
  <si>
    <t xml:space="preserve">http://friedensbilder.gnm.de/content/frieden_foto_order1c4438</t>
  </si>
  <si>
    <t xml:space="preserve">Schwedisches Fried- und Freudenmahl/ zu Nürnberg den 25. des Herbstmonats/ im Heiljahr 1649. gehalten / in jetzo neu-üblichen Hochteutschen Reimarten besungen Von Johann Klaj/ der H. Schrifft Ergebenen/ und gekrönten Poeten</t>
  </si>
  <si>
    <t xml:space="preserve">Xb 1704</t>
  </si>
  <si>
    <t xml:space="preserve">12:636060V</t>
  </si>
  <si>
    <t xml:space="preserve">http://diglib.hab.de/drucke/xb-1704/start.htm</t>
  </si>
  <si>
    <t xml:space="preserve">Festbericht</t>
  </si>
  <si>
    <t xml:space="preserve">[20] Bl. </t>
  </si>
  <si>
    <t xml:space="preserve">http://friedensbilder.gnm.de/sites/default/files/Kaj_schwedisches.jpg</t>
  </si>
  <si>
    <t xml:space="preserve">Der Pfalzgraf Carl Gustav veranstaltete nach der Unterzeichnung des Interimsrezesses am 5. Oktober 1649 ein Freudenmahl im Rathaus der Verhandlungsstadt Nürnberg. Zu diesem Anlass verfasste der Pegnitzschäfer Johann Klaj (1616–1656) seine Beschreibung. Sie teilt sich inhaltlich in drei Abschnitte. Im ersten Abschnitt unterhalten sich die Personifikationen von Krieg und Frieden. Der zweite Teil schildert unter der Überschrift „Friedenseinzug“ das Festmahl in Nürnberg. Abschließend wird eine Rede der Friedensgöttin Irene wiedergegeben. Insgesamt zitiert der Text immer wieder die Psalmen und andere Bibelstellen. Klaj widmet den Bericht allen Anwesenden des Gastmahls, besonders jedoch dem Pfalzgrafen Carl Gustav, Piccolomini und anderen Gesandten, welche er als „göttergleiches Volk“ beschreibt. Carl Gustav wird als Vermittler zwischen Gott und der Gesellschaft bzw. den Verhandlungsteilnehmern dargestellt, der zur Wiederherstellung des Friedens dadurch einen herausragenden Beitrag leistet. Die innere Einigkeit im Reich soll, so Klaj, gegen den Feind von außen, namentlich die Osmanen, nutzbar gemacht werden. Auch in dieser Festbeschreibung wird auf die traditionellen Vorstellungen der zukünftigen Friedenszeit verwiesen: Armut verschwindet, die Landwirtschaft erblüht, der Friede fördert die Künste und die Wissenschaft, Wohlstand und Gerechtigkeit herrschen. Der Friede sei „auf ewig fest gebunden“.&amp;nbsp;
FB
</t>
  </si>
  <si>
    <t xml:space="preserve">Schwedisches Fried- und Freudenmahl/ zu Nürnberg den 25. des Herbstmonats/ im Heiljahr 1649. gehalten / in jetzo neu-üblichen Hochteutschen Reimarten besungen Von Johann Klaj/ der H. Schrifft Ergebenen/ und gekrönten Poeten, Xb 1704</t>
  </si>
  <si>
    <t xml:space="preserve">https://friedensbilder-neu.gnm.de/sites/default/files/2019-06/Xb-1704_0.png</t>
  </si>
  <si>
    <t xml:space="preserve">http://friedensbilder.gnm.de/content/frieden_foto_order11fbae</t>
  </si>
  <si>
    <t xml:space="preserve">Medaille mit Friedenswunsch 1628</t>
  </si>
  <si>
    <t xml:space="preserve">Med 4218</t>
  </si>
  <si>
    <t xml:space="preserve">Maué 2008
Wiêcek 1962
Nivaille 1989
Henkel / Schöne 1967</t>
  </si>
  <si>
    <t xml:space="preserve">S. 122, Nr. 75
S. 125, Kat.-Nr. 136
Sp. 851–852</t>
  </si>
  <si>
    <t xml:space="preserve">46
24,5</t>
  </si>
  <si>
    <t xml:space="preserve">UNSER FEIGEN BAVM UND REBEN WIRD NUN SICHERN SCHATEN GEBEN
GOTT GIB FRIED IN DEINEM LAND ERHALT LEHR WEHR UND NEHRSTAND</t>
  </si>
  <si>
    <t xml:space="preserve">Auf dem Avers der Medaille flankieren&amp;nbsp;Iustitia&amp;nbsp;und&amp;nbsp;Concordia&amp;nbsp;die auf einem Altar aufgeschlagene Bibel. Sie trägt die&amp;nbsp;Luthersentenz&amp;nbsp;Verbum Domini Manet in Aeternum&amp;nbsp;und wird aus dem Himmel beschienen. Die Heilige Schrift, die Figuren und der Spaten an dem Baumstumpf visualisieren die in der Umschrift genannten Lehr-, Wehr- und Nährstände.&amp;nbsp;Dadler&amp;nbsp;nutzte eine sehr ähnliche Umschrift in einer Medaille des gleichen Jahres, siehe&amp;nbsp;Med 14477.&amp;nbsp;
Auch die Rückseite thematisiert die 'gute Regierung'. Die Henne, die sich zum Schutz ihrer Jungen aufplustert, symbolisiert in der Emblematik den Schutz des Herrschers. Im Epigramm des Sinnbildes&amp;nbsp;Alit et protegit&amp;nbsp;(Sie nährt und schützt) lautet die letzte Zeile: "Ein Christlichr. Fürst vnd Obrigkeit / sein Vnterthanen schützt allzeit." Zugleich verwies Dadler auf das Motiv aus Micha 4,4, in dem das göttliche Friedensreich mit dem Weinstock und dem Feigenbaum in Verbindung steht.
ALS
</t>
  </si>
  <si>
    <t xml:space="preserve">http://friedensbilder.gnm.de/sites/default/files/Med4218_vs.tif
http://friedensbilder.gnm.de/sites/default/files/Med4218_rs.tif</t>
  </si>
  <si>
    <t xml:space="preserve">Im Zentrum des Avers steht ein Altar mit aufgeschlagener Bibel, welche die Luthersentenz&amp;nbsp;Verbum Domini Manet in Aeternumpräsentiert. Vom Betrachter aus links des Altares lehnt&amp;nbsp;Iustitia&amp;nbsp;mit Waage, Schwert und Palmzweig an der Bibel, zu ihren Füßen sprießt ein Olivenzweig. Auf der anderen Seite des Gnadentisches blickt&amp;nbsp;Concordia&amp;nbsp;empor zu den göttlichen Strahlen, welche die Heilige Schrift bescheinen. In ihrer Linken trägt sie einen Bienenkorb, der in der Emblematik mit der Milde des Herrschers (lat.&amp;nbsp;principis clementia) in Verbindung steht. Gleichzeitig steigt&amp;nbsp;Concordia&amp;nbsp;auf das Blatt eines Spatens, der zu ihrer Linken an einem abgestorbenen Spross lehnt. Die drei in der Umschrift genannten Stände werden durch die beiden Figuren sowie das aufgeschlagene Buch verbildlicht.Die Rückseite allegorisiert die gute Regierung. Die Henne, die sich zum Schutz ihrer Jungen aufplustert, symbolisiert in der Emblematik die Beschirmung durch den Herrscher. Im Epigramm des Sinnbildes&amp;nbsp;Alit et protegit&amp;nbsp;(Sie nährt und schützt) lautet die letzte Zeile: ”Ein Christlichr. Fürst vnd Obrigkeit / sein Vnterthanen schützt allzeit.“ Zugleich verwies Dadler auf das Motiv aus Mi 4,4, in dem das göttliche Friedensreich mit dem Weinstock und dem Feigenbaum in Verbindung steht, ein Motiv, das durch den weit ausladenden Weinstock über der Henne wachgerufen wird, der sich um einen Feigenbaum windet.ALS/MATW</t>
  </si>
  <si>
    <t xml:space="preserve">Medaille mit Friedenswunsch 1628, Vorderseite, Med 4218
Medaille mit Friedenswunsch 1628, Rückseite, Med 4218</t>
  </si>
  <si>
    <t xml:space="preserve">https://friedensbilder-neu.gnm.de/sites/default/files/2019-06/Med4218_01.png
https://friedensbilder-neu.gnm.de/sites/default/files/2019-06/Med4218_02.png
https://friedensbilder-neu.gnm.de/sites/default/files/2019-06/Med4218_01_doppel.png</t>
  </si>
  <si>
    <t xml:space="preserve">Medaille mit Friedenswunsch 1628, Vorderseite
Medaille mit Friedenswunsch 1628, Rückseite</t>
  </si>
  <si>
    <t xml:space="preserve">http://friedensbilder.gnm.de/content/frieden_foto_order1f92d9</t>
  </si>
  <si>
    <t xml:space="preserve">Nürnberger Medaille auf Jubiläum des Westfälischen Friedens 1748</t>
  </si>
  <si>
    <t xml:space="preserve">Med Kress 140</t>
  </si>
  <si>
    <t xml:space="preserve">Werner, Peter Paul</t>
  </si>
  <si>
    <t xml:space="preserve">Maué / Fischer 2014
Ausst. Kat. Münster 1988a
Riedner 1776
Imhoff
Aukt. Kat. Slg. Erlanger 1989
Bahrfeldt
Henkel / Schöne 1967</t>
  </si>
  <si>
    <t xml:space="preserve">S. 227, Kat.-Nr. 274
S. 246–247, Kat.-Nr. 257
Nr. 417
Bd. II, S. 186, Nr. 56
Nr. 1135 und Nr. 1136
Nr. 5276
Sp. 760.</t>
  </si>
  <si>
    <t xml:space="preserve">29,30
46</t>
  </si>
  <si>
    <t xml:space="preserve">SAECVLVM GERMANIAE PACATAE
LEGIBVS SACRISQVE LIBERTAS RESTITVTA
</t>
  </si>
  <si>
    <t xml:space="preserve">4 (Stadt Nbg.: Slg. Kress/Mulzer/Hertel)
16</t>
  </si>
  <si>
    <t xml:space="preserve">Die Medaille entstand zum einhundertjährigen Jubiläum des Westfälischen Friedens. Auf der Vorderseite werden die Segnungen des Friedens thematisiert: Ackerfrüchte wie Mohn und Roggen sowie der Merkurstab symbolisieren die blühende Landwirtschaft und den Handel. Die Miniaturbüsten von Sol und Luna in der Umschrift betten die Darstellung in eine kosmologisches System ein. Hermann Maué identifizierte das gefiederte Tier am oberen Rand als ein Emblem aus dem dritten Band von&amp;nbsp;Camerarius' "Symbolorum &amp;amp; Emblematum" (1672). Das Motto "Dominus providebit", welches auf die fürstliche Fürsorge verweist,[fn]Die Übersetzung des Epigramms nach Henkel / Schöne 1967, Sp. 760 lautet: "Vorsorge zu treffen gleichermaßen für Zeiten eines heiteren und eines traurigen Geschicks, ist vor allem die Tugend, die einen Herrscher ziert."[/fn]&amp;nbsp;zeigt einen Adler auf einer Weltkugel.&amp;nbsp;Von den drei allegorischen Figuren auf der Rückseite ist keine eindeutig zu identifizieren. Die beiden stehenden weiblichen Figuren tragen Füllhörner als Zeichen der Blüte des Landes. Lediglich der Freiheitshut am Boden verweist auf&amp;nbsp;Libertas, die auch in der Umschrift genannt wird: 'Durch Gesetze und heilige Handlungen ist die Freiheit wieder hergestellt'.[fn]Übersetzung nach Maué / Fischer 2014, S. 227, Kat.-Nr. 247.[/fn]&amp;nbsp;Ob es sich bei der Figur in Rüstung um Mars oder Bellona handelt, lässt sich nicht eindeutig festlegen. Gegen eine Interpretation als&amp;nbsp;Germania&amp;nbsp;spricht sowohl die fehlende Symbolik auf dem Schild als auch das Ausbleiben ihrer Namensnennung in der Umschrift.&amp;nbsp;ALS&amp;nbsp;</t>
  </si>
  <si>
    <t xml:space="preserve">http://friedensbilder.gnm.de/sites/default/files/MedKress140_01.tif
http://friedensbilder.gnm.de/sites/default/files/MedKress140_03.tif</t>
  </si>
  <si>
    <t xml:space="preserve">Kress von Kressenstein – Freiherrlich von Kressische Vorschickung</t>
  </si>
  <si>
    <t xml:space="preserve">Nürnberger Medaille auf Jubiläum des Westfälischen Friedens 1748, Vorderseite, Med Kress 140
Nürnberger Medaille auf Jubiläum des Westfälischen Friedens 1748, Rückseite, Med Kress 140</t>
  </si>
  <si>
    <t xml:space="preserve">Nürnberger Medaille auf Jubiläum des Westfälischen Friedens 1748, Vorderseite
Nürnberger Medaille auf Jubiläum des Westfälischen Friedens 1748, Rückseite</t>
  </si>
  <si>
    <t xml:space="preserve">http://friedensbilder.gnm.de/content/frieden_foto_order205011</t>
  </si>
  <si>
    <t xml:space="preserve">Auf den Frieden von Füssen 1745 zwischen Österreich und Bayern</t>
  </si>
  <si>
    <t xml:space="preserve">Med Merkel 4.7.14</t>
  </si>
  <si>
    <t xml:space="preserve">Werner, Adam Rudolph
Werner, Peter Paul</t>
  </si>
  <si>
    <t xml:space="preserve">Riedner 1776
Beierlein</t>
  </si>
  <si>
    <t xml:space="preserve">S. 95–96, Nr. 402
S. 317, Nr. 2125A</t>
  </si>
  <si>
    <t xml:space="preserve">44
29,18 </t>
  </si>
  <si>
    <t xml:space="preserve">A. R. Werner f. 
P.W.</t>
  </si>
  <si>
    <t xml:space="preserve">MARIA THERESIA. HVNGAR. BOHEM. REX ARCHID. AVST.
VER PACIS SACRVM
PAX AVGVSTA AB AVGVSTIS AVGVSTAE RITE CONFECTA AD D. XXIV MAII. MDCCXLV</t>
  </si>
  <si>
    <t xml:space="preserve">13
8</t>
  </si>
  <si>
    <t xml:space="preserve">Die Rückseite der Medaille zeigt in Form eines blühenden Gartens mit einem Ölbaum in der Mitte, die Segnungen des Friedens. Sie stehen unter dem Tierkreiszeichen des Frühlings, auf das sich auch die Umschrift bezieht [des Friedens geweihter Frühling]. Die Inschrift&amp;nbsp;Pax Augusta bezieht sich hingegen auf die antike Friedensherrschaft des Kaiser&amp;nbsp;Augustus&amp;nbsp;und identifiziert die österreichische Herrscherin&amp;nbsp;&amp;nbsp;Maria Theresia&amp;nbsp;damit.
Riedner 1776, S. 95–96, Nr. 402.
ALS
</t>
  </si>
  <si>
    <t xml:space="preserve">http://friedensbilder.gnm.de/sites/default/files/MedMerkel4.7.14_01.tif
http://friedensbilder.gnm.de/sites/default/files/MedMerkel4.7.14_03.tif</t>
  </si>
  <si>
    <t xml:space="preserve">Die Rückseite der Friedensmedaille zeigt eine gepflegte Gartenanlage mit konzentrisch angelegten Blumenbeeten, in deren Mitte sich ein filigraner Ölbaum befindet. Zu dessen Füßen streut ein nackter Jüngling Blumen aus einem Gabenkorb. Rechts und links des Baumes schweben zwei große Füllhörner, bereit sich über der Szene zu ergießen. In der Mitte darüber erstrahlt die Sonne, Zeichen für die Segnungen des Friedens, vor der sich ein Band der Tierkreiszeichen entfaltet. Im Zentrum des Bandes ist das Sternzeichen des Widders zu finden, ein Vertreter des Frühlings, der laut des antiken, siderischen Zeichensystems auch den Beginn der Tierkreiszeichenfolge markiert. Insofern versinnbildlicht der Widder die Friedenspräliminarien von Füssen idealerweise, da diese mit dem 22. April&amp;nbsp;am Ende des Widderzeitraumes liegt und ebenfalls den Neubeginn (einer friedlichen Zeit) einläuten sollte. Auch die darüber befindliche Umschrift verbindet die Jahreszeit mit dem Frieden, denn sie&amp;nbsp;verkündet ”Des Friedens geweihten Frühling“.Die im Abschnitt befindliche Inschrift ”Pax Augusta…“ zieht hingegen&amp;nbsp;eine Parallele zu der antiken Friedensherrschaft unter Kaiser&amp;nbsp;Augustus,&amp;nbsp;mit der sich die auf dem Avers dargestellte österreichische Herrscherin&amp;nbsp;Maria Theresia&amp;nbsp;in einer Herrschaftstradition verstanden wissen will.MATW</t>
  </si>
  <si>
    <t xml:space="preserve">Auf den Frieden von Füssen 1745 zwischen Österreich und Bayern, Vorderseite, Med Merkel 4.7.14
Auf den Frieden von Füssen 1745 zwischen Österreich und Bayern, Rückseite, Med Merkel 4.7.14
Auf den Frieden von Füssen 1745 zwischen Österreich und Bayern, Rückseite, Med Merkel 4.7.14</t>
  </si>
  <si>
    <t xml:space="preserve">https://friedensbilder-neu.gnm.de/sites/default/files/2019-06/MedMerkel4.7_1_0.png
https://friedensbilder-neu.gnm.de/sites/default/files/2019-06/MedMerkel4.7_2_0.png
https://friedensbilder-neu.gnm.de/sites/default/files/2019-06/MedMerkel4.7_doppel_0.png</t>
  </si>
  <si>
    <t xml:space="preserve">Auf den Frieden von Füssen 1745 zwischen Österreich und Bayern, Vorderseite
Auf den Frieden von Füssen 1745 zwischen Österreich und Bayern, Rückseite
Auf den Frieden von Füssen 1745 zwischen Österreich und Bayern, Rückseite</t>
  </si>
  <si>
    <t xml:space="preserve">http://friedensbilder.gnm.de/content/frieden_foto_order1f914f</t>
  </si>
  <si>
    <t xml:space="preserve">Medaille auf den Frieden von Dresden 1745</t>
  </si>
  <si>
    <t xml:space="preserve">Med Merkel 2.3.17</t>
  </si>
  <si>
    <t xml:space="preserve">Olding 2003
Pax in Nummis 1913
Bernheimer 1984
Aukt. Kat. Leipzig 12.05.1783
Voigt 1787</t>
  </si>
  <si>
    <t xml:space="preserve">S. 87, Nr. 574
S. 135, Nr. 541
S. 212, Kat.-Nr. 350
S. 84, Nr. 501
S. 207, Nr. 42 III</t>
  </si>
  <si>
    <t xml:space="preserve">V. </t>
  </si>
  <si>
    <t xml:space="preserve">Umschrift 
Inschrift
Umschrift</t>
  </si>
  <si>
    <t xml:space="preserve">PACIFICATORVM GERMANIAE TRIAS 
NON SINE NVMINE
AVG. III R. POL. ELECT. SAX.
MARIA THERES. R. H. B. AVGVSTA.
FRID. R. PR. ELECT. BRAND.
SPERATA TEMPORVM FELICITAS
PACIS FOEDERE INITO DRESDAE. XXV DEC. MDCCXXXXV.</t>
  </si>
  <si>
    <t xml:space="preserve">Auf der Vorderseite der Medaille sind die Büsten der drei 'Friedensstifter' vereint:&amp;nbsp;August III.&amp;nbsp;von Polen,&amp;nbsp;Maria Theresia&amp;nbsp;von Österreich&amp;nbsp;und&amp;nbsp;Friedrich II. von Preußen.Auf der Rückseite reichen sich&amp;nbsp;Pax,&amp;nbsp;Abundantia&amp;nbsp;mit Füllhorn und&amp;nbsp;Iustitia&amp;nbsp;zum Zeichen des Friedens die Hände. Die Vorzeichnungen des Nürnberger&amp;nbsp;Medailleurs&amp;nbsp;Andreas Vestner&amp;nbsp;befinden sich in der Kunstbibliothek Berlin.[fn]Siehe Thon 1982, besonders S. 76, Nr. 101 und 102.[/fn]ALS</t>
  </si>
  <si>
    <t xml:space="preserve">http://friedensbilder.gnm.de/sites/default/files/MedMerkel2.3.17_rs.tif
http://friedensbilder.gnm.de/sites/default/files/MedMerkel2.3.17_vs_0.tif</t>
  </si>
  <si>
    <t xml:space="preserve">Medaille auf den Frieden von Dresden 1745, Vorderseite, Med Merkel 2.3.17
Medaille auf den Frieden von Dresden 1745, Rückseite, Med Merkel 2.3.17</t>
  </si>
  <si>
    <t xml:space="preserve">Medaille auf den Frieden von Dresden 1745, Vorderseite
Medaille auf den Frieden von Dresden 1745, Rückseite</t>
  </si>
  <si>
    <t xml:space="preserve">http://friedensbilder.gnm.de/content/frieden_foto_order204f80</t>
  </si>
  <si>
    <t xml:space="preserve">Medaille auf den Frieden von Teschen 1779</t>
  </si>
  <si>
    <t xml:space="preserve">Med 15350</t>
  </si>
  <si>
    <t xml:space="preserve">Reich, Johann Christian</t>
  </si>
  <si>
    <t xml:space="preserve">Olding 2003
Henckel'sche Sammlung
Bahrfeldt
Pax in Nummis 1913
Patzelt 1982</t>
  </si>
  <si>
    <t xml:space="preserve">S. 166–167, Nr. 710
Nr. 1787
Nr. 4783
S. 157, Nr. 630
79–83</t>
  </si>
  <si>
    <t xml:space="preserve">Durchmesser
Gewicht </t>
  </si>
  <si>
    <t xml:space="preserve">45
31,18 </t>
  </si>
  <si>
    <t xml:space="preserve">R</t>
  </si>
  <si>
    <t xml:space="preserve">IOSEPHVS II FRIDERICVS II
GERMANIA GAUDET
DIE XIII MAY MDCCLXXIX GER MANIAE PAX EST RESTAVRATA
TESCHEN</t>
  </si>
  <si>
    <t xml:space="preserve">Schublade 
Schrank</t>
  </si>
  <si>
    <t xml:space="preserve">Der Avers zeigt die beiden Monarchen&amp;nbsp;Joseph II.&amp;nbsp;und&amp;nbsp;Friedrich II. vereint unter einem Lorbeerkranz, worunter sich im Abschnitt die Inschrift ‘Deutschland freut sich’ befindet. Auf dem Revers symbolisieren zwei Säulen die beiden Herrscher, links mit Ölzweig und Kaiserkrone, rechts mit Palmzweig und Königskrone versehen.&amp;nbsp;An den Basen lehnen die Wappen Frankreichs und Russlands, die den Frieden zwischen beiden Vertragspartnern vermittelten. Über allem strahlt das allsehende Auge Gottes, das hier auf ein Dreieck reduziert und, zur Verdeutlichung der göttlichen Dreifaltigkeit, mit drei Tropfen versehen wurde.
Zu&amp;nbsp;Reichs&amp;nbsp;Medaille hat sich eine gedruckte Beschreibung erhalten, in der die Medaille eingewickelt verkauft wurde.[fn]Germanisches Nationalmuseum Nürnberg, Bibliothek,&amp;nbsp;8°&amp;nbsp;K. 839, S. 23.[/fn]&amp;nbsp;Neben der Erläuterung des Dargestellten bezieht sich der Text explizit auf die ungewöhnlichen Umstände des Friedensvertrages. Eingeleitet mit&amp;nbsp;“Niemals ist ein Friedensschluß merkwürdiger gewesen, als eben der zu Teschen...”, widmet sich der erste Abschnitt den Umständen des Friedensschlusses: “...es ist und bleibt ein Wunder für unsern Augen, daß beyde Majestäten...wider alle Erwartung statt Kanonen Palmen gepflanzet und...das schon gezückte Schwerd, noch nicht durch Schlachten ermüdet, kehret nun ohne mit Blut gefärbet, in seine Scheide zurük.” Der durch den Friedensschluss von Teschen beendete Bayerische Erbfolgekrieg war nicht nur von kurzer Dauer, es blieben auch größere Militärkampagnen aus. Zudem hatte&amp;nbsp;Maria Theresia&amp;nbsp;– vorerst ohne Wissen ihres Mannes – Verhandlungen mit der Gegenseite aufgenommen, um eine Eskalation des Krieges zu vermeiden.
ALS
</t>
  </si>
  <si>
    <t xml:space="preserve">http://friedensbilder.gnm.de/sites/default/files/alt_L396_Med15350_6 (1).tif
http://friedensbilder.gnm.de/sites/default/files/alt_L396_Med15350_6 (4).tif</t>
  </si>
  <si>
    <t xml:space="preserve">Der Avers zeigt die beiden Monarchen&amp;nbsp;Joseph II.&amp;nbsp;und&amp;nbsp;Friedrich II.&amp;nbsp;vereint unter einem Lorbeerkranz, worunter sich im Abschnitt die Inschrift ‘Deutschland freut sich’ befindet. Auf dem Revers symbolisieren zwei Säulen die beiden Herrscher, links mit Ölzweig und Kaiserkrone, rechts mit Palmzweig und Königskrone versehen.&amp;nbsp;An den Basen lehnen die Wappen Frankreichs und Russlands, die den Frieden zwischen beiden Vertragspartnern vermittelten. Über allem strahlt das allsehende Auge Gottes, das hier auf ein Dreieck reduziert und, zur Verdeutlichung der göttlichen Dreifaltigkeit, mit drei Tropfen versehen wurde.
Zu&amp;nbsp;Reichs&amp;nbsp;Medaille hat sich eine gedruckte Beschreibung erhalten, in der die Medaille eingewickelt verkauft wurde.1&amp;nbsp;Neben der Erläuterung des Dargestellten bezieht sich der Text explizit auf die ungewöhnlichen Umstände des Friedensvertrages. Eingeleitet mit&amp;nbsp;“Niemals ist ein Friedensschluß merkwürdiger gewesen, als eben der zu Teschen...”, widmet sich der erste Abschnitt den Umständen des Friedensschlusses: “...es ist und bleibt ein Wunder für unsern Augen, daß beyde Majestäten...wider alle Erwartung statt Kanonen Palmen gepflanzet und...das schon gezückte Schwerd, noch nicht durch Schlachten ermüdet, kehret nun ohne mit Blut gefärbet, in seine Scheide zurük.” Der durch den Friedensschluss von Teschen beendete Bayerische Erbfolgekrieg war nicht nur von kurzer Dauer, es blieben auch größere Militärkampagnen aus. Zudem hatte&amp;nbsp;Maria Theresia&amp;nbsp;– vorerst ohne Wissen ihres Mannes – Verhandlungen mit der Gegenseite aufgenommen, um eine Eskalation des Krieges zu vermeiden.
ALS
</t>
  </si>
  <si>
    <t xml:space="preserve">Medaille auf den Frieden von Teschen 1779, Vorderseite, Med 15350
Medaille auf den Frieden von Teschen 1779, Rückseite, Med 15350</t>
  </si>
  <si>
    <t xml:space="preserve">https://friedensbilder-neu.gnm.de/sites/default/files/2019-06/Med_15350_vs_0.png
https://friedensbilder-neu.gnm.de/sites/default/files/2019-06/Med_15350_rs_0.png
https://friedensbilder-neu.gnm.de/sites/default/files/2019-06/Med_15350_doppel_0.png</t>
  </si>
  <si>
    <t xml:space="preserve">Medaille auf den Frieden von Teschen 1779, Vorderseite
Medaille auf den Frieden von Teschen 1779, Rückseite</t>
  </si>
  <si>
    <t xml:space="preserve">http://friedensbilder.gnm.de/content/frieden_foto_order1f9272</t>
  </si>
  <si>
    <t xml:space="preserve">Münze</t>
  </si>
  <si>
    <t xml:space="preserve">Konventionstaler auf den Frieden von Teschen 1779</t>
  </si>
  <si>
    <t xml:space="preserve">Med Merkel 2.4.1</t>
  </si>
  <si>
    <t xml:space="preserve">Münzherr</t>
  </si>
  <si>
    <t xml:space="preserve">Karl Alexander, Brandenburg-Ansbach, Markgraf</t>
  </si>
  <si>
    <t xml:space="preserve">Markgrafschaft</t>
  </si>
  <si>
    <t xml:space="preserve">Davenport 1965
Appel 1805
Kenis 1991
Pax in Nummis 1913</t>
  </si>
  <si>
    <t xml:space="preserve">Nr. 2022
S. 16, Nr. 103
S. 175, Nr. 17
S. 159, Nr. 641</t>
  </si>
  <si>
    <t xml:space="preserve">42
28,04</t>
  </si>
  <si>
    <t xml:space="preserve">G</t>
  </si>
  <si>
    <t xml:space="preserve">VIRTVTE ET AEQVITATE PACATA GERMANIA 
TESCHINAE
D.O.M. PRO INSTAVRATA GERMANIAE PACE. CHRIST. FRIED. CAROL ALEXANDER. MARCHIO BRANENBVRG. GRATIARVM MONVMENTVM FIERI FECIT MDCCLXXVIIII.</t>
  </si>
  <si>
    <t xml:space="preserve">13
2</t>
  </si>
  <si>
    <t xml:space="preserve">Die Inschrift nennt den Initiator des Talers, Markgraf Karl Alexander von Brandenburg-Ansbach, und widmet ihn als Dank für die Wiederherstellung des Friedens ”dem besten und höchsten Gott“ [Deo&amp;nbsp;Optimo&amp;nbsp;Maximo].Unterhalb der Umschrift auf der Medaillenrückseite, die vom ”durch Tugend und Gleichheit befriedeten Deutschland“ spricht, steht die Personifikation Österreichs.[fn]Bei Pax in Nummis 1913, S. 159, Nr. 641 ist das Wappen neben der Figur fälschlich als das des Markgrafen angegeben.&amp;nbsp;Dessen&amp;nbsp;Adler trägt aber weder Zepter, Schwert noch Reichsapfel, sondern einen gevierten Schild.[/fn] Während sie mit ihrer linken Hand einen Olivenzweig als Attribut des Friedens in die Höhe hält, setzt sie mit einer Fackel eine Rüstung und ein Schwert in Brand. Der Vertrag von Teschen, der am Gebrutstag Maria Theresias&amp;nbsp;unterzeichnet wurde, beendete 1779 den Bayerischen Erbfolgekrieg.&amp;nbsp;Mit seinem Abschluss fiel die Markgrafschaft Brandenburg-Ansbach an Preußen.ALS</t>
  </si>
  <si>
    <t xml:space="preserve">http://friedensbilder.gnm.de/sites/default/files/MedMerkel2.4.1_01_0.tif
http://friedensbilder.gnm.de/sites/default/files/MedMerkel2.4.1_02_0.tif</t>
  </si>
  <si>
    <t xml:space="preserve">Konventionstaler auf den Frieden von Teschen 1779, Med Merkel 2.4.1</t>
  </si>
  <si>
    <t xml:space="preserve">http://friedensbilder.gnm.de/content/frieden_foto_order204f58</t>
  </si>
  <si>
    <t xml:space="preserve">Schaumünze auf den Westfälischen Frieden von Engelbert Ketteler</t>
  </si>
  <si>
    <t xml:space="preserve">Med Merkel 1.8.12 </t>
  </si>
  <si>
    <t xml:space="preserve">Ausst. Kat. Münster 1988a
Pax in Nummis 1913
Van Loon 1726
Ausst. Kat. Stuttgart 2012
Ausst. Kat. Münster / Osnabrück 1998</t>
  </si>
  <si>
    <t xml:space="preserve">S. 154, Kat.-Nr. 130
S. 24, Nr. 125
Bd. II, S. 352, Nr. 8
S. 125, Kat.-Nr. 75–77
Bd. III, S. 228–229</t>
  </si>
  <si>
    <t xml:space="preserve">41
21,74</t>
  </si>
  <si>
    <t xml:space="preserve">MONASTERIVM WESTPHALIAE
GEDACHTNVS DES.ALLGEMEINEN FRIEDEN.SCHLVSS IN.MVNSTER 1648 24 8bris</t>
  </si>
  <si>
    <t xml:space="preserve">Engelbert Ketteler&amp;nbsp;fertigte als städtischer Münzmeister mehrere Schaumünzen anlässlich des Westfälischen Friedens.[fn]Zu Kettelers Medaillen siehe Ausst. Kat. Stuttgart 2012, S. 125, Kat.-Nr. 75–77. – Ausst. Kat. Münster / Osnabrück 1998, Bd. III, S. 228–229.[/fn]&amp;nbsp;Sie gehen sowohl auf eigene Entwürfe, als auch auf jene verschiedener Stadtratsmitglieder zurück, sind sich aber dennoch sehr ähnlich. So wie der vorliegende Avers mit der Vedute Münsters, weisen beinahe alle Exemplare eine Stadtansicht auf, über welcher Palm- und/oder Olivenzweige als Friedenssymbol erscheinen. Diese werden in der Regel von Engeln oder einer Hand aus den Wolken dargebracht.Auch auf dem vorliegenden Exemplar erwachsen aus einem Schleifenband ein Oliven- und ein Palmzweig, die je in einer Wolke enden. Der aus diesen erfolgende Handschlag unter dem Namen Jahwes ist ein Symbol für den von Gott gegebenen Frieden, dessen weltliche Verkündigung sich in der Münzinschrift wiederfindet.ALS</t>
  </si>
  <si>
    <t xml:space="preserve">http://friedensbilder.gnm.de/sites/default/files/MedMerkel1.8.12_vs.tif
http://friedensbilder.gnm.de/sites/default/files/MedMerkel1.8.12_rs.tif</t>
  </si>
  <si>
    <t xml:space="preserve">Schaumünze auf den Westfälischen Frieden von Engelbert Ketteler, Rückseite, Med Merkel 1.8.12 
Schaumünze auf den Westfälischen Frieden von Engelbert Ketteler, Vorderseite, Med Merkel 1.8.12 </t>
  </si>
  <si>
    <t xml:space="preserve">Schaumünze auf den Westfälischen Frieden von Engelbert Ketteler, Rückseite
Schaumünze auf den Westfälischen Frieden von Engelbert Ketteler, Vorderseite</t>
  </si>
  <si>
    <t xml:space="preserve">http://friedensbilder.gnm.de/content/frieden_foto_order20502a</t>
  </si>
  <si>
    <t xml:space="preserve">Astraeae Der Gerechtigkeits-Göttin</t>
  </si>
  <si>
    <t xml:space="preserve">F8° 3934:6 (1)</t>
  </si>
  <si>
    <t xml:space="preserve">Scherffer, Wenzel
Tschorn, Christoph</t>
  </si>
  <si>
    <t xml:space="preserve">Brieg</t>
  </si>
  <si>
    <t xml:space="preserve"> 23:296260S</t>
  </si>
  <si>
    <t xml:space="preserve">http://digital.staatsbibliothek-berlin.de/werkansicht/?PPN=PPN599227117</t>
  </si>
  <si>
    <t xml:space="preserve">Geist- und weltliche Gedichte, Erster Teil</t>
  </si>
  <si>
    <t xml:space="preserve">S. 505-507</t>
  </si>
  <si>
    <t xml:space="preserve">Das Gedicht wurde 1637 verfasst, veröffentlicht wurde es jedoch erstmals in dem Sammelband von 1652. Das Gedicht schrieb Scherffer anlässlich der Hochzeit von Matthäus Apelles von Löwenstein (fürstlicher Rat von Bernstadt) und Barbara von Tarnau und Kuhschmaltz am 14. Januar 1637. Scherffer verband mit Löwenstein eine tiefe Freundschaft. Es ist außerdem enthalten in einer Gedichtreihe mit dem Titel: Der Götter und Göttinnen Prosopopeische Lieder. Der Text verweist an einer Stelle auf Ovid.Astrea ist eine Gestalt der griechischen und römischen Mythologie. Sie wird auch als Sternenjungfrau bezeichnet. Sie ist die Tochter des Zeus und der Themis oder des Astraios und der Eos. Astrea steht im Zusammenhang mit dem Mythos von den Weltaltern (Hesiod "Werke und Tage"). Sie lebte im Goldenen Zeitalter als Göttin Dike unter den Menschen auf der Erde, als jedoch das Eiserne Zeitalter anbrach, in dem keine Achtung mehr vor Gerechtigkeit und Gesetz herrschte, ging sie als Jungfrau unter die Sterne.[fn]Ausführliches Lexikon der griechischen und römischen Mythologie[/fn]</t>
  </si>
  <si>
    <t xml:space="preserve">http://friedensbilder.gnm.de/sites/default/files/20160701075938.pdf
http://friedensbilder.gnm.de/sites/default/files/Scherffer_1.pdf
http://friedensbilder.gnm.de/sites/default/files/Gedicht_Beginn.jpg
http://friedensbilder.gnm.de/sites/default/files/505.tif
http://friedensbilder.gnm.de/sites/default/files/506.tif
http://friedensbilder.gnm.de/sites/default/files/507.tif</t>
  </si>
  <si>
    <t xml:space="preserve">Astrea Der Gerechtigkeits-Göttin, F8° 3934:6 (1)</t>
  </si>
  <si>
    <t xml:space="preserve">Astrea Der Gerechtigkeits-Göttin</t>
  </si>
  <si>
    <t xml:space="preserve">F8° 3934:6</t>
  </si>
  <si>
    <t xml:space="preserve">Kiesant 2003
Pietrzak 1997</t>
  </si>
  <si>
    <t xml:space="preserve">Zum Briege gedrukkt von Christoff Tschorn. </t>
  </si>
  <si>
    <t xml:space="preserve">Die Texte im Sammelband sind vor allem dem Hofleben gewidmete Texte. Einige der Texte schienen bereits vorher als Einzeldrucke. Der Druck entstand zwischen 1651 und 1652, beinhaltet jedoch Kasuallyrik ab 1630. Mit dem Sammelband und seiner Vielfalt wollte Scherffer vor allem die deutsche Sprache als Literatursprache herausstellen.Pietrzak 1997</t>
  </si>
  <si>
    <t xml:space="preserve">Widmungsempfänger des Sammelwerks:Georg, Herzog zu Schlesien, zur Lignitz und BriegLudwig, Herzog zu Schlesien, zur Lignitz und BriegChristian, Herzog zu Schlesien, zur Lignitz und Brieg</t>
  </si>
  <si>
    <t xml:space="preserve">http://friedensbilder.gnm.de/sites/default/files/20160701080038.pdf
http://friedensbilder.gnm.de/sites/default/files/titelblatt.tif</t>
  </si>
  <si>
    <t xml:space="preserve">http://friedensbilder.gnm.de/content/frieden_object6defb
http://friedensbilder.gnm.de/content/frieden_object6df84
http://friedensbilder.gnm.de/content/frieden_object6e233</t>
  </si>
  <si>
    <t xml:space="preserve">Der Einigkeits-Göttin Concordia </t>
  </si>
  <si>
    <t xml:space="preserve">F8° 3934:6 (2)</t>
  </si>
  <si>
    <t xml:space="preserve">http://digital.staatsbibliothek-berlin.de/werkansicht/?PPN=PPN599227117&amp;LOGID=LOG_0001</t>
  </si>
  <si>
    <t xml:space="preserve">447-452</t>
  </si>
  <si>
    <t xml:space="preserve">Das Gedicht ist von 1637, die erste Veröffentlichung erst 1652 in dem vorliegenden Sammelband. Das Gedicht verfasste Scherffer für die Hochzeit von Matthäus Apelles von Löwenstein und Barbara von Tarnau und Kuhschmaltz. Scherffer verband mit Löwenstein eine tiefe Freundschaft. Im Text findet sich ein Verweis auf Opitz. Concordia tritt hier als Personifikation der Eintracht auf.</t>
  </si>
  <si>
    <t xml:space="preserve">http://friedensbilder.gnm.de/sites/default/files/20160701075840.pdf
http://friedensbilder.gnm.de/sites/default/files/447.tif
http://friedensbilder.gnm.de/sites/default/files/448.tif
http://friedensbilder.gnm.de/sites/default/files/449.tif
http://friedensbilder.gnm.de/sites/default/files/450.tif
http://friedensbilder.gnm.de/sites/default/files/451.tif
http://friedensbilder.gnm.de/sites/default/files/452.tif</t>
  </si>
  <si>
    <t xml:space="preserve">Der Einigkeits-Göttin Concordia, F8° 3934:6 (2)</t>
  </si>
  <si>
    <t xml:space="preserve">Der Einigkeits-Göttin Concordia</t>
  </si>
  <si>
    <t xml:space="preserve">Liebet Friede</t>
  </si>
  <si>
    <t xml:space="preserve">Xb 1835 (1)</t>
  </si>
  <si>
    <t xml:space="preserve">Tscherning, Andreas
Richel, Johann, der Jüngere</t>
  </si>
  <si>
    <t xml:space="preserve">Rostock</t>
  </si>
  <si>
    <t xml:space="preserve">Bogner 2009</t>
  </si>
  <si>
    <t xml:space="preserve"> 3:612815V</t>
  </si>
  <si>
    <t xml:space="preserve">http://digital.staatsbibliothek-berlin.de/werkansicht/?PPN=PPN796571090</t>
  </si>
  <si>
    <t xml:space="preserve">Deutsche Getichte Früling. </t>
  </si>
  <si>
    <t xml:space="preserve">S. 16</t>
  </si>
  <si>
    <t xml:space="preserve">Breßlaw, In Verlegung Georg Baumans Buchdruckers 1642. </t>
  </si>
  <si>
    <t xml:space="preserve">Das Gedicht ist gekennzeichnet durch klare Handlungsanweisungen, was bereits im Titel deutlich wird. Der Text wendet sich ingesamt gegen die Folgen des Krieges und den Krieg selbst. Zurückzuführen ist das vor allem auf die Erfahrungen des Verfassers, konkrete Bezüge zu persönlichen Erlebnissen fehlen jedoch; ebenso wie Verweise auf die zeitgenössisch aktuelle politische Situation im Reich. Die erste Veröffentlichung erfolgte 1642 in dem hier vorliegenden Gedichtband Deutscher Getichte Früling. Das Gedicht soll einen Beweis dafür liefern, dass auch sprachlich anspruchsvolle Lyrik in deutscher Sprache möglich ist. So hält sich Tscherning an alle Regeln und Normen, die Martin Opitz im Buch von der Deutschen Poeterey&amp;nbsp;festsetzt. Der Text lässt darüber hinaus keine eindeutig konfessionelle Position erkennen.Bogner 2009&amp;nbsp;</t>
  </si>
  <si>
    <t xml:space="preserve">Liebet Friede, Xb 1835 (1)</t>
  </si>
  <si>
    <t xml:space="preserve">Richel, Johann</t>
  </si>
  <si>
    <t xml:space="preserve">3:013506W</t>
  </si>
  <si>
    <t xml:space="preserve">http://digital.staatsbibliothek-berlin.de/werkansicht?PPN=PPN742461602&amp;PHYSID=PHYS_0001&amp;DMDID=DMDLOG_0001&amp;view=overview-toc</t>
  </si>
  <si>
    <t xml:space="preserve">535 S.</t>
  </si>
  <si>
    <t xml:space="preserve">Auffs neue übersehen und verbessert. Nachgedruckt</t>
  </si>
  <si>
    <t xml:space="preserve">Nachgedruckt In Rostock durch Johann Richeln/ In Verlegung Joachim Wilden. </t>
  </si>
  <si>
    <t xml:space="preserve">http://friedensbilder.gnm.de/content/frieden_object6e207</t>
  </si>
  <si>
    <t xml:space="preserve">Trochaische Hochzeit-Ode</t>
  </si>
  <si>
    <t xml:space="preserve">F8° 3934:6 (3)</t>
  </si>
  <si>
    <t xml:space="preserve">Pietrzak 1997</t>
  </si>
  <si>
    <t xml:space="preserve">S. 632-635</t>
  </si>
  <si>
    <t xml:space="preserve">Scherffer stammt aus Oberschlesien. Seine Familie wurde 1561 dem Adelsstand enthoben. Die Trochaische Hochzeit-Ode ist von 1646, die erste Veröffentlichung stammt jedoch erst in dem vorliegenden Sammelband von 1652. Die Dichtung verfasste Scherffer zur Hochzeit von Caspar Hermans und Elisabeth Müller. Eine Besonderheit des Textes stellt die direkte Ansprache der Zuhörer dar. Zum Ende erklärt der Verfasser, dass das künftige Ehepaar seinen erstgeborenen Sohn "Friedrich" nennen sollte. Auf welchen Friedrich dabei jedoch genau Bezug genommen wird, bleibt unklar. Pietrzak 1997</t>
  </si>
  <si>
    <t xml:space="preserve">Friedrich = Friedrich von der Pfalz ?</t>
  </si>
  <si>
    <t xml:space="preserve">http://friedensbilder.gnm.de/sites/default/files/20160701080010.pdf
http://friedensbilder.gnm.de/sites/default/files/632.tif
http://friedensbilder.gnm.de/sites/default/files/633.tif
http://friedensbilder.gnm.de/sites/default/files/634.tif
http://friedensbilder.gnm.de/sites/default/files/635.tif</t>
  </si>
  <si>
    <t xml:space="preserve">Trochaische Hochzeit-Ode, F8° 3934:6 (3)</t>
  </si>
  <si>
    <t xml:space="preserve">Medaille auf den am 7. Mai 1649 in Nürnberg zusammengetragenen Exekutionstag</t>
  </si>
  <si>
    <t xml:space="preserve">Med Merkel 1.5.9</t>
  </si>
  <si>
    <t xml:space="preserve">Maué 2008
Will 1764
Imhoff
Wiêcek 1962
Ausst. Kat. Nürnberg 1962
Ausst. Kat. Münster 1988a
Pax in Nummis 1913
Ausst. Kat. Stockholm 1948
Ausst. Kat. Osnabrück 1988a
Dethlefs 1989
Ausst. Kat. Nürnberg 1998
Ausst. Kat. Münster / Osnabrück 1998
Aukt. Kat. Fritz Rudolf Künker Münzhandlung Nr. 51
Aukt. Kat. Münzen und Medaillen A.G. Nr. 81</t>
  </si>
  <si>
    <t xml:space="preserve">S. 118, Kat.-Nr. 71
S. 358–359
Bd. II, S. 98, Nr. 64
S. 123, Kat.-Nr. 129
S. 127, Kat.-Nr. D16
S. 165, Kat.-Nr. 139
S. 38–39, Nr. 142
Nr. 320
Nr. 52
S. 3–6
S. 19, Kat.-Nr. 5 (Hermann Maué)
Bd. III, S. 229, Kat.-Nr. 687
S. 182, Kat.-Nr. 1642
S. 172, Kat.-Nr. 1553</t>
  </si>
  <si>
    <t xml:space="preserve">138,89
77</t>
  </si>
  <si>
    <t xml:space="preserve">Seba: Datt:</t>
  </si>
  <si>
    <t xml:space="preserve">DURCH DIESER GÖTTER FRIED UND EINIKEIT IST ALLE CHRISTE WELT SEHR HOCH ERFREUT.
FRIED GEMACHT M.D.CIL. S D 
DER GROSE FERDINAND EUROPAENS ZIER, ZIEHT SEINER VÖLCKER RUH DEM KRIGE FÜR.</t>
  </si>
  <si>
    <t xml:space="preserve">Schrank 
Schublade </t>
  </si>
  <si>
    <t xml:space="preserve">Die Vorderseite der Medaille zeigt Kaiser&amp;nbsp;Ferdinand III.&amp;nbsp;auf dem Rücken eines sich aufbäumenden Pferdes. Mit der Linken führt er routiniert die Zügel, in der Rechten hält er den Feldherrenstab. Gekleidet in eine antikisierende Rüstung und einen Feldherrenmantel sowie mit Lorbeerkranz auf dem Haupt, präsentiert er sich im Habitus eines antiken Herrschers. Hinter dem Kaiser eröffnet sich der Blick auf die Residenzstadt Wien, im Mittelgrund vor den Stadtmauern pflügt ein Bauer sein Feld.Unmittelbar über dem Abschnitt, den Dadler als perspektivisches Podium für das lebendige Reiterstandbild inszenierte, befinden sich Kavallerie und Infanterie sowie die kaiserliche Reiterkarosse links im Bild. Das Reiterbildnis dürfte&amp;nbsp;Dadler von einem Stich Lukas Schnitzers übernommen[fn]Hollstein German Bd. XLVI, S. 141, Nr. 136. In späteren Kopien trägt der Kaiser volleres kinnlanges Haar, wie es auch auf der Medaille zu sehen ist.[/fn] und um die antikisierende Rüstung ergänzt haben.Auf dem Revers schwebt der kaiserliche Adler mit Zepter und Schwert über der Stadtansicht Nürnbergs. Drei Putten mit Friedenssymbolen begleiten das Wappentier, während zwei weibliche Engel es flankieren und eine Kette mit verschiedenen Wappen präsentieren: im oberen Teil die Hauptverhandlungspartner Frankreich und Schweden, darunter die Kurfürstentümer, deren Anzahl durch die Bestimmungen des Westfälischen Friedens nun auf acht angewachsen war. Bayern hatte die pfälzische Kur übernommen, weshalb für die Rheinpfalz eine neue Kurwürde geschaffen werden musste.[fn]Zur 'pfälzischen Frage' siehe Dickmann 1959, S. 377–379.[/fn]&amp;nbsp;Gerd Dethlefs schlug vor, die Umschrift “DURCH DIESE GÖTTER FRIED UND EINIGKEIT IST ALLE CHRISTen WELT SEHR HOCH ERFREÜT” im Umfeld der Nürnberger Dichterschule, insbesondere&amp;nbsp;Sigmund von&amp;nbsp;Birkens zu suchen. Als weiteres Vorbild kommt auch eine Textpassage aus einem Werk von&amp;nbsp;Justus Georg&amp;nbsp;Schottelius&amp;nbsp;in Frage:&amp;nbsp;In dessen erstmals 1642 publiziertem&amp;nbsp;Neu erfundenes Freudenspiel genandt Friedens Sieg[fn]S. 118. [/fn]&amp;nbsp;heißt es über die Tapferkeit: “und rühren meine Kräfte von den Göttern her: Fried und Einigkeit / Wolstand und Gerechtigkeit wird durch mich in sicherem Stande / und blühendem Wachstuhme / ritterlich erhalten und befestiget.”&amp;nbsp;ALS</t>
  </si>
  <si>
    <t xml:space="preserve">http://friedensbilder.gnm.de/sites/default/files/MedMerkel1.5.9_01.tif
http://friedensbilder.gnm.de/sites/default/files/MedMerkel1.5.9_02.tif</t>
  </si>
  <si>
    <t xml:space="preserve">Medaille auf den am 7. Mai 1649 in Nürnberg zusammengetragenen Exekutionstag, Vorderseite, Med Merkel 1.5.9
Medaille auf den am 7. Mai 1649 in Nürnberg zusammengetragenen Exekutionstag, Rückseite, Med Merkel 1.5.9</t>
  </si>
  <si>
    <t xml:space="preserve">Medaille auf den am 7. Mai 1649 in Nürnberg zusammengetragenen Exekutionstag, Vorderseite
Medaille auf den am 7. Mai 1649 in Nürnberg zusammengetragenen Exekutionstag, Rückseite</t>
  </si>
  <si>
    <t xml:space="preserve">http://friedensbilder.gnm.de/content/frieden_foto_order204fb7</t>
  </si>
  <si>
    <t xml:space="preserve">Schaumünze des Ratsherren Rottendorff auf den Westfälischen Frieden</t>
  </si>
  <si>
    <t xml:space="preserve">Med Merkel 1.1.23</t>
  </si>
  <si>
    <t xml:space="preserve">Ausst. Kat. Osnabrück 1986
Van Loon
Ausst. Kat. Münster 1988a
Ausst. Kat. Stuttgart 2012
Pax in Nummis 1913
Ausst. Kat. Münster / Osnabrück 1998</t>
  </si>
  <si>
    <t xml:space="preserve">S. 51
Bd. II, S. 322, Nr. 3
S. 148, Kat.-Nr. 125
S. 129, Kat-Nr. 75
S. 31, Nr. 113
Bd. III, S. 227 und 228, Kat.-Nr. 672</t>
  </si>
  <si>
    <t xml:space="preserve">52
33,73</t>
  </si>
  <si>
    <t xml:space="preserve">E K </t>
  </si>
  <si>
    <t xml:space="preserve">HINC.TOTI.PAX.INSONAT.ORBI
MONASTERIVM WESTPHA 1648
PAX
CAESARIS ET.REGVM.IVNXIT.PAX.AVREA.DEXTRAS.24.8bris</t>
  </si>
  <si>
    <t xml:space="preserve">Die Schaumünze auf den Westfälischen Frieden zeigt auf dem Avers eine Stadtansicht Münsters mit den markanten Kirchtürmen der Stadt und ihren Befestigungsanlagen. Unter der Umschrift ”Von hier aus schallt der Friede in alle Welt“[fn]Übersetzung nach&amp;nbsp;Ausst. Kat. Münster 1988a.[/fn]&amp;nbsp;fliegen zwei Putti, einer mit Ölzweig und Lorbeerkranz, der andere mit Palmwedel und Posaune; aus Letzterer ertönt das Wort&amp;nbsp;Pax.&amp;nbsp;Den Entwurf lieferte in diesem Fall nicht&amp;nbsp;Engelbert Ketteler, sondern der städtische Ratsherr&amp;nbsp;Bernhard Rottendorff.Auf dem Revers reichen sich, ähnlich&amp;nbsp;Med Merkel 1.8.12, aus den Wolken links und rechts zwei Hände. Genau auf der Mittelachse hinter dem Handschlag befindet sich ein stabiler Ölzweig der auf beiden Seiten von je einem Füllhorn flankiert wird. Im Scheitel darüber strahlt die himmlische Sonne, während darunter die zerbrochenen Kriegswaffen&amp;nbsp;am Boden&amp;nbsp;liegen. Die gesamte Szene wird von einer chronogrammatischen Umschrift (1648) gerahmt: ’der goldene Friede hat die rechten Hände des Kaisers und der Könige vereint‘.MATW/ALS</t>
  </si>
  <si>
    <t xml:space="preserve">http://friedensbilder.gnm.de/sites/default/files/MedMerkel1.1.23_01.tif
http://friedensbilder.gnm.de/sites/default/files/MedMerkel1.1.23_02.tif</t>
  </si>
  <si>
    <t xml:space="preserve">Schaumünze des Ratsherren Rottendorff auf den Westfälischen Frieden, Vorderseite, Med Merkel 1.1.23
Schaumünze des Ratsherren Rottendorff auf den Westfälischen Frieden, Rückseite, Med Merkel 1.1.23</t>
  </si>
  <si>
    <t xml:space="preserve">Schaumünze des Ratsherren Rottendorff auf den Westfälischen Frieden, Vorderseite
Schaumünze des Ratsherren Rottendorff auf den Westfälischen Frieden, Rückseite</t>
  </si>
  <si>
    <t xml:space="preserve">http://friedensbilder.gnm.de/content/frieden_foto_order20502f</t>
  </si>
  <si>
    <t xml:space="preserve">Medaille auf den Westfälischen Frieden von Sebastian Dadler</t>
  </si>
  <si>
    <t xml:space="preserve">Med Merkel 1.2.6</t>
  </si>
  <si>
    <t xml:space="preserve">Maué 2008
Ausst. Kat. Osnabrück 1988a
Pax in Nummis 1913
Wiêcek 1962
Aukt. Kat. Fritz Rudolf Künker Münzhandlung Nr. 51
Aukt. Kat. Münzen und Medaillen A.G. Nr. 81</t>
  </si>
  <si>
    <t xml:space="preserve">S. 160, Kat.-Nr. 131
Kat.-Nr. 15
Seconde Partie, S. 7–8, Nr. 1150
S. 111, Nr. 87
S. 181, Kat.-Nr. 1640
S. 165, Kat.-Nr. 1522</t>
  </si>
  <si>
    <t xml:space="preserve">56
47,37</t>
  </si>
  <si>
    <t xml:space="preserve">SD </t>
  </si>
  <si>
    <t xml:space="preserve">MENSCH DEINE SUNDE MEHREN SICH DRUMB SCHLAGT GOTT MIT DEM (Kreuz) AVF DICH. / DOCH WAN DICH SCHLAGT DIE EINE HANDT SO KOMPT DIE ANDR VND BRINGT DAS BANDT.
SEY GETREW BIS AN DEN TODT SO WILL ICH DIR DIE KRON DES LEBENS GEBEn.</t>
  </si>
  <si>
    <t xml:space="preserve">13
14</t>
  </si>
  <si>
    <t xml:space="preserve">Das Avers zeigt einen betenden Mann, bekleidet nur mit einem Tuch um die Hüfte. Sein Haupt ist gen Himmel gerichtet, an dem zwei aus einer Wolke ragende Hände ein Schwert und ein Band präsentieren. Die Figur teilt die Komposition in zwei Bereiche:&amp;nbsp;links die Kriegsschrecken und rechts die 'Segnungen des Friedens'.Für die Rückseite nutzte&amp;nbsp;Dadler&amp;nbsp;eine Vorlage aus der Emblemliteratur. Das von Spaten und Sense durchschossene Herz unter der Krone stammt aus&amp;nbsp;Daniel&amp;nbsp;Cramers&amp;nbsp;"Emblemata Sacra", wo es im Epigramm heißt "ich bin getrew. Biß in...das Grab".&amp;nbsp;Über diesen Sinnspruch zog Dadler Parallelen zwischen den Attributen des Todes und zur Standhaftigkeit im Glauben (Apk 2,10).ALS</t>
  </si>
  <si>
    <t xml:space="preserve">http://friedensbilder.gnm.de/sites/default/files/MedMerkel1.2.6_01.tif
http://friedensbilder.gnm.de/sites/default/files/MedMerkel1.2.6_02.tif</t>
  </si>
  <si>
    <t xml:space="preserve">Medaille auf den Westfälischen Frieden von Sebastian Dadler, Vorderseite, Med Merkel 1.2.6
Medaille auf den Westfälischen Frieden von Sebastian Dadler, Rückseite, Med Merkel 1.2.6</t>
  </si>
  <si>
    <t xml:space="preserve">Medaille auf den Westfälischen Frieden von Sebastian Dadler, Vorderseite
Medaille auf den Westfälischen Frieden von Sebastian Dadler, Rückseite</t>
  </si>
  <si>
    <t xml:space="preserve">http://friedensbilder.gnm.de/content/frieden_foto_order204fb2</t>
  </si>
  <si>
    <t xml:space="preserve">Schraubmedaille auf den Frieden von Hubertusburg </t>
  </si>
  <si>
    <t xml:space="preserve">Med 8059</t>
  </si>
  <si>
    <t xml:space="preserve">Kupferstich
Radierung
geprägt
Kolorierung (von Hand)</t>
  </si>
  <si>
    <t xml:space="preserve">Medailleur
Verleger
Zeichner
Stecher</t>
  </si>
  <si>
    <t xml:space="preserve">
Langenbucher, Jacob
Eichler, C.
</t>
  </si>
  <si>
    <t xml:space="preserve">Preßler 2000
Grund 2012
Aukt. Kat. Adolph Hess Nachf. Nr. 230
Pax in Nummis 1913
Julius 1913</t>
  </si>
  <si>
    <t xml:space="preserve">S. 84, Nr. 214
S. 58
S. 36, Nr. 1155
S. 151–152, Nr. 610
S. 6, Nr. 11</t>
  </si>
  <si>
    <t xml:space="preserve">50
21,89 </t>
  </si>
  <si>
    <t xml:space="preserve">I. THIEBAUD. FECIT
IT</t>
  </si>
  <si>
    <t xml:space="preserve">FRANC I R I MAR THER I FRID AUG III R P E S FRID IV R B E B.
SIT FIRMA PER AEVUM.
GER MA NIA 
VBERTO BURGUM D XV FEBRU MDCC LXIII.</t>
  </si>
  <si>
    <t xml:space="preserve">Der Augsburger Medailleur Jonas Thiébaud[fn]Zu Thiébaud siehe Rougemont 1989, S. 31–32.[/fn] fertigte diese Schraubmedaille anlässlich des Friedens von Hubertusburg. Der obere Deckel zeigt die Porträts der Frieden schließenden Herrscher, von links nach rechts das kaiserliche Paar Franz I. und Maria Theresia, daneben August III. und Friedrich II.&amp;nbsp;Auf der Rückseite reichen sich&amp;nbsp;Germania&amp;nbsp;und&amp;nbsp;Pax zum Zeichen des Friedens die Hände. Hinter ihnen befindet sich eine Säule mit einer Kartusche, die Vertragsort und Datum nennt. Die Szene umrahmt die Umschrift ’Er [der Friede] sei auf alle Ewigkeit geschlossen‘.Zwischen beiden Deckeln liegen 9 Papiermedaillons, zwei weitere sind an den Innenseiten befestigt. Die kleinen Radierungen in Medaillenform wurden auf ihrer Rückseite jeweils um deutsche und französische Erläuterungen erweitert. Laut der ersten Einlage handelt es sich um ”Historische Vorstellungen der von A°. 1755. bißs 1763. im Krieg verwickelten hohen Mächten und die darauf erfolgte Frieden.“Die erste Einlage (DURET PER SECULA MUNDI) greift das auf der Deckelrückseite beschriebene ewige Friedensband auf, versinnbildlicht durch einen Olivenkranz, den die vier Monarchen gemeinsam halten.[fn]Zur Reihenfolge der Einlagen und zu weiteren Exemplaren siehe Preßler 2000, S. 84–85, Kat.-Nr. 214.[/fn] Unter Nummer 3 (AUGUSTIS AUGUSTA PLACEBAT) befindet sich eine Ansicht Augsburgs mit der Stadtpersonifikation, die als Attribut den Anker der Hoffnung mit sich führt. Ihr gegenüber weist ein Friedensgenius auf die Ansicht der Stadt. Bereits 1761 hatte man sich auf Augsburg als Ort des Friedenskongresses geeinigt. Aufgrund von Differenzen und dem gescheiterten Separatfrieden zwischen England und Frankreich sollte es noch zwei weitere Jahre bis zum Vertrag dauern.[fn]Siehe Schmid, Alois: Der geplante Friedenskongreß zu Augsburg 1761, in: Kraus, Andreas (Hrsg.): Land und Reich, Stamm und Nation. Festgabe für Max Spindler. München 1984, S. 235–258.[/fn] Nummer fünf (VIRTUTIS UTRINQUE PARATA) behandelt den Frieden von St. Petersburg am 5. Mai 1762 zwischen Preußen und Russland. Die folgende Papiereinlage (FONS VERNANS PACIS OLIVA) zeigt eine Ansicht des Schlosses Fontainebleau mit den Wappen Frankreichs, Englands, Spaniens und Portugals. Der Text erwähnt jedoch nicht nur den Präliminarfrieden von Fontainebleau am 3. November 1762 zwischen Frankreich, England und Spanien (Portugal trat am 22. dem Vertrag bei), sondern auch den Frieden von Paris zwischen den drei Erstgenannten am 10. Februar 1763. Auf den letzten beiden Medaillons (PAX ET ARCE PER ORBEM) sind Schloss Hubertusburg (siehe auch&amp;nbsp;Med 2616) und ein Friedensmonument (POSTERITATI) dargestellt, das dem Hubertusburger Vertrag und damit dem Ende des Siebenjährigen Krieges gewidmet ist. Die in die Deckel geklebten Einlagen zeigen hingegen keine historischen Ereignisse, sondern allgemein die Segnungen des Friedens zu Wasser und Lande. Neptuns Dreizack ist von einem Olivenzweig umwickelt, zu seinen Füßen liegen die Waffen am Boden neben Fässern und Handelsgut als Zeichen des wieder aufblühenden Handels.&amp;nbsp;Die Gottheit auf der Rückseite&amp;nbsp;präsentiert die blühende Natur und angelehnt an den Sinnspruch&amp;nbsp;Pax fovet artes die neue Blütezeit der Künste.ALS</t>
  </si>
  <si>
    <t xml:space="preserve">http://friedensbilder.gnm.de/sites/default/files/Med8059_vs.tif
http://friedensbilder.gnm.de/sites/default/files/Med8059_rs.tif
http://friedensbilder.gnm.de/sites/default/files/Med8059_Papiereinlagen.tif</t>
  </si>
  <si>
    <t xml:space="preserve">Schraubmedaille auf den Frieden von Hubertusburg, Vorderseite , Med 8059
Schraubmedaille auf den Frieden von Hubertusburg, Rückseite, Med 8059
Schraubmedaille auf den Frieden von Hubertusburg, Papiereinlagen , Med 8059</t>
  </si>
  <si>
    <t xml:space="preserve">Schraubmedaille auf den Frieden von Hubertusburg, Vorderseite 
Schraubmedaille auf den Frieden von Hubertusburg, Rückseite
Schraubmedaille auf den Frieden von Hubertusburg, Papiereinlagen </t>
  </si>
  <si>
    <t xml:space="preserve">http://friedensbilder.gnm.de/content/frieden_foto_order205034</t>
  </si>
  <si>
    <t xml:space="preserve">Die schönsten 7. Friedens-Schätze/ Damit der Allerhöchste nach so lang- und sehnlich-gehoffter ... Friedens-Hoffnung :</t>
  </si>
  <si>
    <t xml:space="preserve">Pon Za 575 b/2, QK</t>
  </si>
  <si>
    <t xml:space="preserve">Rinckart, Martin
Simon, Johannes</t>
  </si>
  <si>
    <t xml:space="preserve">Torgau</t>
  </si>
  <si>
    <t xml:space="preserve">3:637870Z</t>
  </si>
  <si>
    <t xml:space="preserve">http://dfg-viewer.de/show/?set%5bmets%5d=http%3A//digitale.bibliothek.uni-halle.de%2Foai%2F%3Fverb%3DGetRecord%26metadataPrefix%3Dmets%26identifier%3D692171</t>
  </si>
  <si>
    <t xml:space="preserve">Zu Hoch-zeitlicher Ehren-Frewde/ Den ... Herrn M. Gottfried Andreae, Trew-fleissigen Mit-Arbeiter am Hause des Herren zu Borna; Breutigam: Und ... Die ... Jungfer Marien/ Des ... Herrn Johan Dietzens ... Stadt-Richters ... Tochter: Braut: Gleich mit ihrem ... Ehestande ... gesegnet ... unnd beschehret hat / In Jubel-frewdigem Ehren-Gedächtnis gesetzet ... Von ... M. Mart. Rinckharten ... 1649. </t>
  </si>
  <si>
    <t xml:space="preserve">536880530 </t>
  </si>
  <si>
    <t xml:space="preserve">Das Gedicht wurde für die Hochzeit von Gottfried und Maria Andreae geschrieben. Gottfried Andreae (1618–1675) war Theologe in Eilenburg.
</t>
  </si>
  <si>
    <t xml:space="preserve">Kirchenfrieden: Begriff mit mehreren Bedeutungen 1) Einigkeit Geistlicher in gottesdienstlichen Angelegenheiten, 2) öffentliche Sicherheit kirchlicher Orte, Personen und Sachen, 3) Regel des Papstes über Kriege im Namen Gottes
Burgfrieden: im Mittelalter Hohheitsbereich um eine Burg, in dem Fehden unter Androhung von Strafen verboten waren
Hausfrieden: autoritäre (in der FNZ meist patriarchalische) Gewalt über Haus und Hof
Gottesfrieden: Zusammenarbeit von weltlicher und geistlicher Macht im MA, im HRR Gottesfrieden = Vorbild für Landfrieden
Reichsfrieden:
Landfrieden: im MA vertragsmäßiger Verzicht bestimmte Landschaften durch Gewalt zu enteignen oder Rechtsansprüche durchzusetzen
Bettfrieden:
</t>
  </si>
  <si>
    <t xml:space="preserve">http://friedensbilder.gnm.de/sites/default/files/Rinckart.jpg</t>
  </si>
  <si>
    <t xml:space="preserve">Ein Jahr nach dem Westfälischen Frieden fand die Hochzeit des Eilenburger Theologen Gottfried Andreae (1618–1675) und seiner Frau Maria statt. Zu diesem Anlass verfasste der Pfarrer Martin Rinckart (1586–1649) ein Gedicht, in dem er Bezug auf den kürzlich geschlossenen Frieden nahm. Dafür unterscheidet er in seinem Text zwischen sieben Friedenstypen, die er hierarchisch vorstellt. An erster Stelle wird der Gottesfrieden (Pax Dei) als der ursprüngliche Frieden definiert. Er beschreibt die Verbindung zwischen den Menschen und Gott, die als höchster Friedensschatz angesehen werden kann. Davon ausgehend wird der Kirchenfrieden eingeführt. Hier spricht Rinckart vor allem von der öffentlichen Sicherheit in kirchlichen Orten. Er stellt den Kirchenraum als stets friedlichen Ort vor. Anschließend nennt er Reichs-, Burg- und Landfrieden als Arten des Friedens, die den gesellschaftlichen Alltag und das Zusammenleben der Menschen direkt betreffen. Rinckart schreibt es allerdings Gott zu, gegensätzliche Positionen wieder zu einen und nicht den politischen Akteuren. Durch den Frieden im Reich können Gewerbe und Landwirtschaft gewinnbringend betrieben werden. Abschließend geht der Autor auf den Haus- und Bettfrieden ein. So sind auch ein harmonisches Eheleben und ein geordneter Haushalt Garanten für einen allgemeinen Frieden. Denn dieser kann erst erreicht werden, wenn in den sieben beschriebenen Ebenen Friede herrscht. Rinckart betont jedoch auch, dass dies ohne Gottes Hilfe nicht möglich sei.&amp;nbsp;
FB
</t>
  </si>
  <si>
    <t xml:space="preserve">Die schönsten 7. Friedens-Schätze/ Damit der Allerhöchste nach so lang- und sehnlich-gehoffter ... Friedens-Hoffnung , Pon Za 575 b/2, QK</t>
  </si>
  <si>
    <t xml:space="preserve">https://friedensbilder-neu.gnm.de/sites/default/files/2019-06/Pon-Za-575-b_2,-QK.png</t>
  </si>
  <si>
    <t xml:space="preserve">Die schönsten 7. Friedens-Schätze/ Damit der Allerhöchste nach so lang- und sehnlich-gehoffter ... Friedens-Hoffnung </t>
  </si>
  <si>
    <t xml:space="preserve">http://friedensbilder.gnm.de/content/frieden_foto_order1c4383</t>
  </si>
  <si>
    <t xml:space="preserve">Einfältige, doch Hertzbewegliche Gedancken, uber den Langgewünschten, Hochwerthen, und nunmehr Gott Lob, publicirten ReichsFrieden, in Teutsche Reimen Comedischer Weiß gestellet</t>
  </si>
  <si>
    <t xml:space="preserve">Einbl. V,8 a-107</t>
  </si>
  <si>
    <t xml:space="preserve">Ulm</t>
  </si>
  <si>
    <t xml:space="preserve">http://bildsuche.digitale-sammlungen.de/index.html?c=viewer&amp;bandnummer=bsb00099472&amp;pimage=00001&amp;v=150&amp;nav=&amp;l=de</t>
  </si>
  <si>
    <t xml:space="preserve">40,5 x 32</t>
  </si>
  <si>
    <t xml:space="preserve">Allen Christlichen und friedliebenden Hertzen dedicirt und uberschrieben/ durch Matthaeum Rembolden/ Kupfferstechern und Kunsthändlern in Ulm/ 1648.</t>
  </si>
  <si>
    <t xml:space="preserve">Im Zentrum des vielfigurigen, allegorischen Blattes befindet sich eine Komposition von drei Regenten, wie sie auch auf dem Flugblatt "Abbildung deß hocherwünschten Teutschen Friedens" zu finden ist. Wie dort, ist auch hier der Westfälische Friede der erfreuliche Anlass für die Produktion dieses Kupferstiches. Erneut steht Kaiser&amp;nbsp;Ferdinand III. im Zentrum, während der jugendliche&amp;nbsp;Ludwig XIV&amp;nbsp;von Frankreich und die Schwedische Königin&amp;nbsp;Christina I.&amp;nbsp;bedeutungsperspektivisch kleiner neben ihm erscheinen, was die Stellung des Kaisers hervorhebt. Die drei Potentaten sind auf einen Sockel erhoben, wo sie sich auf einem überdimensionalen Kleeblatt einander die rechte Hand reichen. Flankiert werden sie von knienden Vertretern unterschiedlicher Stände und Berufsgruppen.
Das heilige Licht der Dreifaltigkeit strahlt aus der himmlischen Sphäre auf die Regenten hernieder. Drei Strahlen gehen unmittelbar von der Heiliggeisttaube aus, die gleichzeitig den Gedanken an die Friedenstaube hervorbringt. In den Wolken darüber befinden sich Gottvater mit einem dreieckigen Strahlenkranz und Jesus Christus mit dem Segensgestus. Die zwischen beiden erstrahlende Sonne verkündet: "GLORIA IN EXELSES DEO".
Das Bild ist außerdem in zwei Bildhälften geteilt: Links befinden sich Symbole und Personifikationen des Friedens, die rechte Seite ist von den Folgen des Krieges geprägt. Hier befinden sich zerbrochenes Kriegsgerät, zerstörte Gebäude und Bettelvolk. Sind die einzelnen Personen nicht sofort zu identifizieren, hilft dem Betrachter eine Buchstabenlegende, die in einem dialogischen Bildgedicht im unteren Teil des Blattes aufgeschlüsselt wird. Erst hier offenbaren sich dem Rezipienten die wahren Protagonisten des Bildgeschehen: Der thronende Friede in der linken Bildhälfte (A) wird von einem Engel mit dem Lorbeer bekrönt, unterweist die Personifikationen der Gottesfurcht (F) sowie der Buße (G) und verbannt den auf der gegenüber liegenden Seite befindlichen Krieg (K).
MATW
</t>
  </si>
  <si>
    <t xml:space="preserve">Einfältige/ doch Hertzbewegliche Gedancken/ vber den Langgewünschten/ Hochwerthen/ vnd nunmehr Gott
Lob/ publicirten ReichsFrieden/ in Teutsche Reimen Comedischer Weiß gestellet.
			&amp;nbsp;
			Der Fried spricht.
			A
			&amp;nbsp;
			LOb Ehr vnd Preiß sey allermeist/
			Gott Vatter/ Sohn/ Heiligem Geist/
			Der heiligen Drey Einigkeit/
			B
			Alß Einige wahre GOttheit.
			Weil Er die Drey vereinigt hat/
			C
			&amp;nbsp;
			&amp;nbsp;
			&amp;nbsp;
			&amp;nbsp;
			&amp;nbsp;
			Als Keyserliche Mayestat/
			Unsern Allergnädigsten Herrn/
			In höchsten Keyserlichen Ehrn/
			Mit beyden Cronen gantz Lobreich/
			Franckreich vnd auch Schweden zugleich/
			Daß Sie gnädigst gewilligt ein/
			In deß ReichsFriedenSchluß gantz rein.
			Wegen dieser Handlung ein trächig/
			Haben Gott zu dancken andächtig/
			Drey Ständ in hochwerthem Teütschland/
			D
			&amp;nbsp;
			&amp;nbsp;
			&amp;nbsp;
			&amp;nbsp;
			&amp;nbsp;
			&amp;nbsp;
			Der Geistlich/ Weltlich vnd Hauß Stand/
			Doch nicht nur schlechtweg mit dem Mund/
			Sondern von gantzem Hertzen grund.
			O FriedenFürst Herz Jesu Christ/
			Der du ein GOtt deß Friedens bist/
			Thue dem Krieg/ meim Feind widerstand/
			Darmit forthin im dem Teütschland/
			Erhalten werd gut Policey/
			Und widerumb werde gantz New/
			Die Alt Christlich Verträwlichkeit/
			Auch der Alten Teütschen Freyheit.
			Sihe an die Liebe Unschuld/
			E
			&amp;nbsp;
			&amp;nbsp;
			&amp;nbsp;
			&amp;nbsp;
			&amp;nbsp;
			&amp;nbsp;
			&amp;nbsp;
			&amp;nbsp;
			&amp;nbsp;
			&amp;nbsp;
			&amp;nbsp;
			&amp;nbsp;
			Durch dein Göttliche Gnad vnd Huld/
			Deren sehr viel in Hungers Noth/
			Musten gehn nach dem lieben Brodt.
			Gib Genad daß die Menschen sich/
			Zu dir bekehren Hertziglich/
			Vnd diese meine Schwestern beyd/
			Auffnemmen mit hertzlicher Frewd/
			Daß sie ihre Herzen regieren/
			Sünd/ Schand vnd Laster zu quittieren/
			Darumb ihr liebe Schwestern mein/
			Lasst euch die Sach anglegen seyn/
			Seht daß die Menschen sich bekehrn
			Nach dem Willen GOttes deß HErrn.
			Du Gotteßforcht mit deinem Buch/
			Die Menschen früe vnd spat besuch/
			Halt ihnen für daß sie nunmehr/
			GOtt sollen leisten Forcht vnd Ehr.
			Du Buß/ treib du mit deiner Ruth/
			Die Menschen an/ zu der Demuth/
			Daß sie dich auffnemmen allzeit/
			In der wahren Bußfertigkeit/
			So wird die Sach sich gut befinden/
			GOttesforcht/
			F&amp;nbsp;
			&amp;nbsp;
			GOtt helff daß ich mög vberwinden/
			In der Menschen Hertzen hinfür/
			Buß.
			G
			&amp;nbsp;
			&amp;nbsp;
			&amp;nbsp;
			&amp;nbsp;
			&amp;nbsp;
			&amp;nbsp;
			GOtt der HERR woll auch helfen mir/
			Da ich die Menschen bring zu Buß/
			Vnd mir folgen ohne verdruß/
			Darmit das Gut/ hab den Fortgang/
			Fried.
			Nun HErz hilff du/ zu dem Anfang/
			Vnd bring die Sach zum guten End/
			Daß der Krieg/ vnd sein Hoffgesind/
			Ewig nicht mehr in Teutschland komm.
			Engel.
			H
			&amp;nbsp;
			&amp;nbsp;
			&amp;nbsp;
			&amp;nbsp;
			&amp;nbsp;
			&amp;nbsp;
			&amp;nbsp;
			&amp;nbsp;
			&amp;nbsp;
			&amp;nbsp;
			Fried/ du viel Edle Tugend fromm/
			Du Freundin aller Freundlichkeit/
			Du Gutthärerin allezeit/
			Du Edle Cron der frommen Schaar/
			Du hellgläntzender Spiegel klar/
			GOtt hat dich vnd deine getrewen/
			Nach viel Trübsal wöllen erfrewen/
			Weil ihr in Andacht deß Gebetts/
			Bey ihm thätet anhalten stets.
			So habt ihr mit Triumph gesigt/
			Daß der Krieg bein Feind vnten ligt/
			Darumb nimb von mir den SiegsKranz.
			Fried.
			O GOtt du höchster GnadenGlanz/
			Du Aller Völcker Höchster Herz/
			Dir sey Ewig Lob/ Preiß vnd Ehr.
			Krieg.
			I
			&amp;nbsp;
			&amp;nbsp;
			&amp;nbsp;
			Wie mag doch nur der Handel stehn/
			Daß es thut also schlecht hergehn/
			Ich hör nicht mehr in dem Teutschland/
			Von Würgen/ Morden/ Fewr vnd Brand/
			Es ist an allen Orthen still.
			Engel.
			K
			&amp;nbsp;
			&amp;nbsp;
			&amp;nbsp;
			&amp;nbsp;
			&amp;nbsp;
			&amp;nbsp;
			Du Krieg/ es ist deß Höchsten Will/
			Daß du jetzt ohne Hindernus/
			Auß Teutschland setzest deinen Fuß/
			Vnd lassest fort das Würgen seyn.
			Krieg.
			Ach ihr liebe Getrewen mein/
			Soll ich dann also schnell marchiren/
			Vnd das Römische Reich quittiren/
			Das bringt mir Leyd vnd Kümmernus
			Vnd hab darab grossen Verdruß.
			L
			&amp;nbsp;
			&amp;nbsp;
			Ade ihr&amp;nbsp; Generals/ die ihr
			So viel Jahr habt gedienet mir/
			Mit vnverzagter Dappfferkeit/
			In bezwingung Städt/ land vnd Leuth.
			M
			&amp;nbsp;
			&amp;nbsp;
			&amp;nbsp;
			&amp;nbsp;
			&amp;nbsp;
			&amp;nbsp;
			&amp;nbsp;
			&amp;nbsp;
			&amp;nbsp;
			&amp;nbsp;Ade/ Ade ihr Cavaliers/
			Hoch vnd Niedere Officiers/
			Ade ihr ehrliche Soldaten/
			Was ist euch jetzunder zu rathen/
			Nach dem ihr mir gedient viel Jahr/
			In so mancher LebensGefahr?
			Ihr habt darvon groß Lob vnd Ehr/
			Ach wo bleibt jetzunder nunmehr/
			Mein grosse Macht vnd Herzligkeit/
			Mein grosse Forcht bey Land vnd Leuth/
			Wo bleibt jetzt mein Carthaunen Knall/
			Vnd der Mannlich TrommetenSchall/
			Wo bleibt mein schiessen/stechen/ hawen/
			In Wälden vnd auff grünen Awen/
			Wo bleibt mein Erd mit Blut besprengt/
			Wo bleibt mein Graß mit Blut vermengt?
			Ade ihr Soldaten Lobreich/
			Ade/ Ade/ ichscheid von euch!
Allen Christlichen vnd Friedliebenden Herzen Dedicirt vnd vberschrieben/ durch Matthaeum Rembolden/
Kupfferstechern vnd Kunsthändlern in Vlm.
&amp;nbsp;MATW
</t>
  </si>
  <si>
    <t xml:space="preserve">http://daten.digitale-sammlungen.de/~db/0009/bsb00099472/images//150/bsb00099472_00001.jpg</t>
  </si>
  <si>
    <t xml:space="preserve">Die Lesung von GLORIA IN EXELSES DEO bitte noch mal überprüfen und korrigieren oder ggf. mit einem Sic! versehen.&amp;nbsp;
HPJ
</t>
  </si>
  <si>
    <t xml:space="preserve">In „Comedischer Weiß“ thematisiert der illustrierte Einblattdruck den erfolgreichen Abschluss der Verhandlungen in Münster und Osnabrück. Im Zusammenspiel von Bild und Text transportiert der Kupferstich die Nachricht über den geschlossenen Frieden. Das Zentrum der Abbildung bildet eine Komposition der drei Vertragspartner, die sich jeweils die rechte Hand als Zeichen eines erfolgreichen Vertragsabschlusses und Symbol des Friedens reichen. Kaiser Ferdinand III. (1608–1657) steht dabei in der Mitte, Ludwig XIV. (1638–1715) und Christina von Schweden (1626–1689) stehen jeweils links und rechts neben ihm und sind perspektivisch kleiner dargestellt, was den Vorrang des Kaisers verdeutlicht. Das Licht der Dreifaltigkeit strahlt auf die Dreierkomposition und stellt sie dadurch zusätzlich heraus. Im Hintergrund sind Vertreter unterschiedlicher Stände zu sehen. Außerdem werden im Hintergrund jeweils Krieg und Frieden symbolhaft abgebildet.
Text und Bild sind durch eine Buchstabenlegende miteinander verbunden, so dass die Identifizierung der einzelnen Bildelemente durch die entsprechenden Textstellen möglich ist. Der Text gliedert sich in Monologe der Personifikationen von Frieden, Krieg, Gottesfurcht, Buße und einem Engel, wobei der Friede quantitativ gegenüber den anderen heraussticht. Auch der Text betont die Rolle der drei Potentaten im Friedensprozess: „Als Keyserliche Mayestät/ Unsern Allergnädigsten Herrn/ In höchsten Keyserlichen Ehren/ Mit beyden Cronen ganz Lobreich/ Franckreich und auch Schweden zugleich/ Daß Sie gnädigst gewilligt ein/ In deß ReichFriedenSchluß ganz rein.“ Vorab wird jedoch in den ersten Versen „Lob, Ehr und Preiß […] allermeist/ Gottvatter/ Sohn/ Heiligen Geist/ Der heiligen Drey Einigkeit/ Als Einige wahre Gottheit“ zugesprochen.
FB
</t>
  </si>
  <si>
    <t xml:space="preserve">Einfältige, doch Hertzbewegliche Gedancken, uber den Langgewünschten, Hochwerthen, und nunmehr Gott Lob, publicirten ReichsFrieden, in Teutsche Reimen Comedischer Weiß gestellet, Text, Einbl. V,8 a-107
Einfältige, doch Hertzbewegliche Gedancken, uber den Langgewünschten, Hochwerthen, und nunmehr Gott Lob, publicirten ReichsFrieden, in Teutsche Reimen Comedischer Weiß gestellet, Bild, Einbl. V,8 a-107</t>
  </si>
  <si>
    <t xml:space="preserve">https://friedensbilder-neu.gnm.de/sites/default/files/2019-06/Einbl_V_8_a_107_0.png</t>
  </si>
  <si>
    <t xml:space="preserve">Einfältige, doch Hertzbewegliche Gedancken, uber den Langgewünschten, Hochwerthen, und nunmehr Gott Lob, publicirten ReichsFrieden, in Teutsche Reimen Comedischer Weiß gestellet, Text
Einfältige, doch Hertzbewegliche Gedancken, uber den Langgewünschten, Hochwerthen, und nunmehr Gott Lob, publicirten ReichsFrieden, in Teutsche Reimen Comedischer Weiß gestellet, Bild</t>
  </si>
  <si>
    <t xml:space="preserve">http://friedensbilder.gnm.de/content/frieden_foto_order1f83eb</t>
  </si>
  <si>
    <t xml:space="preserve">Armbrust-Schiessen</t>
  </si>
  <si>
    <t xml:space="preserve">IH249</t>
  </si>
  <si>
    <t xml:space="preserve">Verfasser
Drucker
Kupferstecher</t>
  </si>
  <si>
    <t xml:space="preserve">Birken, Sigmund von
Schnitzer, Lukas</t>
  </si>
  <si>
    <t xml:space="preserve">Harms
Hollstein German
Paas
Bramenkamp 2009
Ausst. Kat. Coburg 1983</t>
  </si>
  <si>
    <t xml:space="preserve">Bd. II, S. 328
Bd. XLVI (Lucas Schnitzer), S. 60-62, Nr. 59-60
Bd. VIII, S. 106 und 482, Nr. 2292
S. 362-363
S. 226-227, Nr. 110</t>
  </si>
  <si>
    <t xml:space="preserve">23:675907S</t>
  </si>
  <si>
    <t xml:space="preserve">http://diglib.hab.de/drucke/ih-249/start.htm</t>
  </si>
  <si>
    <t xml:space="preserve">39 x 29,5</t>
  </si>
  <si>
    <t xml:space="preserve">Gehalten auf der Allerwiesen vor Nürnberg/ im Jahr 1650. angefangen den 29. Julii/ denne zwo Fürstl. Personen und unterschiedliche hohe Cavalliere beygewohnet</t>
  </si>
  <si>
    <t xml:space="preserve">235272108 </t>
  </si>
  <si>
    <t xml:space="preserve">Im Rahmen der Feierlichkeiten zum Nürnberger Exekutionskongress fand neben vielen Feuerwerken[fn]Beispielsweise das schwedische Feuerwerk am 5. Juni, das kaiserliche Feuerwerk am 16. Juni oder das von Piccolomini ausgerichtete Feuerwerk am 14. Juli 1650.[/fn] und Festen auch ein abschließendes Armbrustschießen statt.[fn]Eine besser auflösende Abbildung findet sich im British Museum in London unter der Inventarnummer 1880,0710.503[/fn] Dieses fand&amp;nbsp;vom 29. Juli bis zum 28. August 1650&amp;nbsp;statt und wurde vom Herzog von Amalfi,&amp;nbsp;Octavio Piccolomini&amp;nbsp;ausgerichtet. Der beste Schütze war jedoch nicht Piccolomini, der selbst am Schießen teilnahm, sondern ein gewisser&amp;nbsp;Michael Stoy.[fn]Michäll Stoij[/fn] Nach Beendigung der Feierlichkeiten verließen auch die letzten hohen Herrschaften die Stadt, damit war der Friedensexekutionskongress endgültig beendet. Diese Angaben lassen sich der Bildunterschrift entnehmen, die Teil des ursprünglichen Stichs von Lukas Schnitzer ist.[fn]Hollstein, Bd. 46, S. 60, Nr. 59[/fn]&amp;nbsp;Bei dem vorliegenden Blatt handelt es sich allerdings um eine eigenhändige Verkleinerung des Künstlers für eine siebenteilige Druckserie, die von Sigmund von Birken mit Bildgedichten versehen wurde.Zu sehen ist der Schießplatz in den Hallerschen Wiesen vor den Toren der Stadt Nürnberg, unweit der Kirche St. Johannis, wo 1462 das Schützenhaus der&amp;nbsp;Hauptschützengesellschaft&amp;nbsp;errichtet worden war. Wir blicken von Westen auf die Stadtmauer und erkennen in der Stadtsilhouette den markanten Spitlerturm, den weißen Turm und den Schleierturm, der heute nicht mehr existiert, sowie links hinter der Stadtmauer in einer Senke verschwindend St. Lorenz und das Hallertor. Auf dem Areal haben sich die Schützen eingefunden und am Schießstand auf der rechten Bildhälfte positioniert. Sie zielen auf zwei kleine Scheiben einer kunstvoll verzierten Triumpharchitektur auf der gegenüberliegenden Seite. Auf dem weiten Platz machen Musiker mit Trommeln, Flöten und Schellenkranz Stimmung und geben vermutlich auch die Signale zum Schießen. Im Zelt der Bildmitte notiert der Schreiber die Ergebnisse.Um unteren Bildrand, getrennt durch eine hölzerne Schranke, folgt gespannt die Menschenmenge dem Spektakel. Besonders neckisches Detail: Der Zugang zu den Zuschauerplätzen erfolgte über einen Weg aus der Stadt, der am Eingang des Areals durch ein hölzernes Drehkreuz reguliert wurde, wie es auch heute noch an bestimmten Zugängen verwendet wird.Harms gibt an, dass das Flugblatt als "populäre Version der anspruchsvollen Buchausgabe" in erster Linie an breite Bevölkerungsschichten herausgegeben wurde.[fn]Harms, Bd. II, S. 328[/fn] Die Beliebtheit scheint sich dabei vor allem auf den regionalen Raum zu beschränken, denn wenn Nürnberg als das "Teutsche Salem"[fn]Mit Salem ist hier die Stadt Jerusalem gemeint.[/fn] bezeichnet wird, wird die Stadt und ihre herausragende Stellung im Friedensprozess deutlich gehuldigt.MATW/FB</t>
  </si>
  <si>
    <t xml:space="preserve">Armbrustschießen als Teil der Feierlichkeiten in Nürnberg, Frieden verdeutlicht durch die Ruhe! Friedensbotschaft performativ dargestellt? (Bezogen auch auf ganze Feierlichkeiten)</t>
  </si>
  <si>
    <t xml:space="preserve">Armbrust-Schiessen/Gehalten auf der Allerwiesen vor Nürnberg/ im Jahr 1650. angefangen den 29. Julii/denne zwo Fürstl. Personen und unterschiedliche hohe Cavalliere beygewohnet.TEutschland das theure Land war wieder Teutschland worden;Man hörte nun nicht mehr von Rauben/ Brennen/ Morden/ von altem langen Zank. Die Posten ritten aus/und trugen diese Post durch's weite Erdenhaus/daß wieder Friede sey. Nord war nach Nord gezogen.Die Ruh kam über Meer itzt wieder hergeflogen.Die Friedensübungen der Friede lucht hervor.Weil alles Leid zu Grab/ stieg alte Freud empor.Was sänget Nürnberg/ der Schauplatz neuer Freuden/des Teutsche Salem/ an? Eh Wien nach Wien will scheiden/macht es ihm eine Lust. Die Waffen sind verbranndt.Die donnernde Cartaun ist ganz verstummt im Land.Der laute Pulverruf will niemand mehr gefallen.Man hört nicht gerne mehr Pistol und Büchsen knallen.Drüm zieht die Schützenstadt mit Armbruststahl zu Feld.Amalfi selbst zieht mit/ des Adlers theurer Held/des Friedens Mecänat. Dort wo der Fluß hineilet/der Silberwellen treibt und Nerons Mauren theilet/die klare Pegnitzstrom/ wo er die Ufer trennt/da&amp;nbsp;ist ein Ort/ den man die Aller-Wiesen nennt/weil allen er gemein; ein Baumbesetzte Matten/wo Schatten Gipfels ab die kühlen Linden scharten/wo aus dem Brunngeröhr in dre Steinkasten springtkrystallen-helles Glas/ wo manches Vöglein singt;Daselbsten stellt man hin die Stäte für die Schützen/auf welcher oben selbst dem Glück beliebt zu sitzen.Man schläget Zelten auf dort unter dem Gezeltder Bäume/ daß es scheint ein Lager in dem Feld.In einem Bacchus sitzt/ schenkt Wein aus für die Gäste.Die Schützen singen hin/ ein ieder will das Bästegewinnen diesen Tag. Der Bolz bolzt von dem Stahlund fähret mit Gepfeiff hin in das weisse Mahl.Der Hammer schlägt an: da sieht man mit Haufendie Schützen über Feld nach ihren Schüssen laufenDer Schreiber schreibt die Schüß. Ein Bolz fliegt in die Städt.Der sah weit oben hin/ der ihn gesendet hat/zielt über's Ziel hinaus. Es hat sich wol getroffen.Wär es ein Stadelthor! Nun/ alle Schüsse hoffen;nur einer fasst das Blat. Stoy ist der Glückesmann,Da sieht man/ daß das Glück am bästen treffen kan.Der Friede lässet ihm diß Friedenspiel gefallen/kömmt selber/ sihet zu/ mit Herzensfreudenwallen/rufft: also/ liebe Freund! ergötzt euch diese Stund.Forthin sey alle Jahr' euch diese Lust vergunnt.SBMATW</t>
  </si>
  <si>
    <t xml:space="preserve">https://www.gbv.de/durl/74eb10c6-ab3d-4f0e-83ff-3e78bec35636?width=800</t>
  </si>
  <si>
    <t xml:space="preserve">Armbrust-Schiessen, Text, IH249
Armbrust-Schiessen, Bild, IH249</t>
  </si>
  <si>
    <t xml:space="preserve">Armbrust-Schiessen, Text
Armbrust-Schiessen, Bild</t>
  </si>
  <si>
    <t xml:space="preserve">Post-Reuter vom teutschen Friede welcher ... zwischen der Römisch-Kayßerlichen Majestät ... und denen beyden Cronen Schweden und Frankreich zu Oßnabrück und Münster 1648 geschlossen …</t>
  </si>
  <si>
    <t xml:space="preserve">Pon Vc 4580, QK</t>
  </si>
  <si>
    <t xml:space="preserve">Feinler, Johann
Sengenwald, Georg</t>
  </si>
  <si>
    <t xml:space="preserve">Jena</t>
  </si>
  <si>
    <t xml:space="preserve">14:006305N</t>
  </si>
  <si>
    <t xml:space="preserve">http://reader.digitale-sammlungen.de/de/fs1/object/display/bsb10558203_00009.html</t>
  </si>
  <si>
    <t xml:space="preserve">Hist.Germ.C.584,41</t>
  </si>
  <si>
    <t xml:space="preserve">31 Bl. </t>
  </si>
  <si>
    <t xml:space="preserve">Vorwort gibt Auskunft, dass der Autor nicht "der letzte" sein wollte, der sich zu dem Frieden äußert;
"bester Kern des Reichs die hohen Stände", zum Schluss Danklied (20 Strophen), am Ende Lob auf alle bisherigen Kurfüsten von Sachsen
</t>
  </si>
  <si>
    <t xml:space="preserve">http://friedensbilder.gnm.de/sites/default/files/Feinler.jpg</t>
  </si>
  <si>
    <t xml:space="preserve">Seine vorliegende Dichtung schrieb und veröffentlichte Johann Feinler (1609–1690) anlässlich der kursächsischen Feierlichkeiten zum Abschluss der Verhandlungen in Nürnberg 1650, die im gesamten Kurfürstentum am 22. Juli 1650 veranstaltet werden sollten. Formal unterscheidet sich der Text nicht von anderen Friedensdichtungen. Anfängliche Kriegsbeschreibungen gehen in die Beschreibung der zukünftigen Friedenszeit über, ohne jedoch die Verkündigung der frohen Botschaft außer Acht zu lassen. Der Theologe Feinler beschreibt in seinem „Post-Reuter“ die Verkündigung der Friedensbotschaft durch den römischen Gott Mercurius. Dieser ergreift das Posthorn und „[pfeiffet] der verdampten Schaar ein Friedens Liedlein“. Er „vermeldet/ daß der Fried im Teutschland auff gerichtet/ […] und Krieg ganz sei zunichtet“. Mercurius steht in der römischen Tradition für Handel, Reichtum und Gewinn. Gleichzeitig ist er ein Vermittler, galt als „Götterbote“ und Überbringer von Geschenken und Nachrichten. „[…] zu Wasser und zu Land ließ er [Mercurius] sein Posthorn klingen/ junge: Ich thu‘ euch neue Wehr und gute Zeitung bringen“, so schreibt Feinler weiter. Der Druck schließt mit einem Danklied, bestehend aus 20 Strophen, und einem Stammbaum der Herzöge und Kurfürsten des Hauses Sachsen.&amp;nbsp;&amp;nbsp;
FB
</t>
  </si>
  <si>
    <t xml:space="preserve">Post-Reuter vom teutschen Friede welcher ... zwischen der Römisch-Kayßerlichen Majestät ... und denen beyden Cronen Schweden und Frankreich zu Oßnabrück und Münster 1648 geschlossen …, Pon Vc 4580, QK</t>
  </si>
  <si>
    <t xml:space="preserve">https://friedensbilder-neu.gnm.de/sites/default/files/2019-06/Pon-Vc-4580-QK.png</t>
  </si>
  <si>
    <t xml:space="preserve">http://friedensbilder.gnm.de/content/frieden_foto_order1c39ee</t>
  </si>
  <si>
    <t xml:space="preserve">Ruhm- und Danck-Lied, als wegen des von Gott beschehrten und wieder erlangten Friedens, der durchlauchtigste Churfürst zu Sachsen ... in deroselben Churfürstenthum und incorporirten Landen, am Tage Marien Magdalenen Ein Danck-Fest zuhalten angestellet und befohlen hat</t>
  </si>
  <si>
    <t xml:space="preserve">Pon Vc 3492, QK</t>
  </si>
  <si>
    <t xml:space="preserve">Ferber, Wolfgang
Bergen, Melchior</t>
  </si>
  <si>
    <t xml:space="preserve">125:002065T</t>
  </si>
  <si>
    <t xml:space="preserve">http://vd17.bibliothek.uni-halle.de/pict/2007/125:002065T/</t>
  </si>
  <si>
    <t xml:space="preserve">7 S.</t>
  </si>
  <si>
    <t xml:space="preserve">594905281 </t>
  </si>
  <si>
    <t xml:space="preserve">http://vd17.bibliothek.uni-halle.de/pict/2007/125:002065T/125-002065T_001_X.jpg</t>
  </si>
  <si>
    <t xml:space="preserve">Ruhm- und Danck-Lied, als wegen des von Gott beschehrten und wieder erlangten Friedens, der durchlauchtigste Churfürst zu Sachsen ... in deroselben Churfürstenthum und incorporirten Landen, Pon Vc 3492, QK</t>
  </si>
  <si>
    <t xml:space="preserve">Ruhm- und Danck-Lied, als wegen des von Gott beschehrten und wieder erlangten Friedens, der durchlauchtigste Churfürst zu Sachsen ... in deroselben Churfürstenthum und incorporirten Landen</t>
  </si>
  <si>
    <t xml:space="preserve">Friedens-Gedancken</t>
  </si>
  <si>
    <t xml:space="preserve">GE 59-8159</t>
  </si>
  <si>
    <t xml:space="preserve">Thomae, Johannes
Sengenwald, Georg</t>
  </si>
  <si>
    <t xml:space="preserve">154384755 </t>
  </si>
  <si>
    <t xml:space="preserve">Friedens-Gedancken, GE 59-8159</t>
  </si>
  <si>
    <t xml:space="preserve">Fröliger EinZug auf einem Friedens- und Triumpfwagen in  begleitung Der gesamten Göttlichen Tugendgesellschaft</t>
  </si>
  <si>
    <t xml:space="preserve">Einbl. YA 8338 m</t>
  </si>
  <si>
    <t xml:space="preserve">Buno, Konrad</t>
  </si>
  <si>
    <t xml:space="preserve">Bd. III, S. 173</t>
  </si>
  <si>
    <t xml:space="preserve"> IQ 51</t>
  </si>
  <si>
    <t xml:space="preserve">Fröliger EinZug auf einem Friedens- und Triumpfwagen in begleitung Der gesamten Göttlichen Tugendgesellschaft, Einbl. YA 8338 m</t>
  </si>
  <si>
    <t xml:space="preserve">Fröliger EinZug auf einem Friedens- und Triumpfwagen in begleitung Der gesamten Göttlichen Tugendgesellschaft</t>
  </si>
  <si>
    <t xml:space="preserve">Gedenkblatt an das erste Säkularfeier der Augsburger Konfession</t>
  </si>
  <si>
    <t xml:space="preserve">Verleger
Zeichner</t>
  </si>
  <si>
    <t xml:space="preserve">Heyden, Jakob van der
Hollar, Wenzel</t>
  </si>
  <si>
    <t xml:space="preserve">Hollstein Dutch and Flemish
Ausst. Kat. Coburg 1983
Marsch 1980
Paas
Harms 
Harms</t>
  </si>
  <si>
    <t xml:space="preserve">Bd. VIII (Wenzeslaus Hollar), Part 1, S. 62, Nr. 78, II
S. 102, Kat.-Nr. 48 (Beate Rattay)
S. 65–66; Abb. 51
Bd. V, S. 48. Nr. 1260
Bd. IV, S. 214, Nr. 163
Bd. II, S. 370-371, Nr. 212</t>
  </si>
  <si>
    <t xml:space="preserve">40 x 27 </t>
  </si>
  <si>
    <t xml:space="preserve">Das Blatt aus dem Verlag Jacob van der Heydens feiert das 100-jährige Jubiläum der Augsburger Konfession. Unter der Heilig-Geist-Taube ist ein siebenarmiger Leuchter zu erkennen, der entsprechend Ex 25,&amp;nbsp;31–36 gestaltet ist. Emblematisch erläutern Medaillons in Verbindung mit Bibelstellen und Umschriften die Artikel der Confessio Augustana. Zwei darunter befindliche apokalyptische Engel präsentieren das Evangelium und die Bekenntnisschrift. Der Leuchter ruht auf der Heiligen Schhrift und mit dieser zusammen auf der Bundeslade, wo sich laut dem Buch Exodus Jahwe zu erkennen gab.[fn]“Setz die Deckplatte oben auf die Lade...Dort werde ich mich dir zu erkennen geben”, Ex 25, 21–22.[/fn]&amp;nbsp; Die Lade ist in ihrer Form Ex 25,&amp;nbsp;10–22 nachempfunden und zusätzlich mit zwei schützenden Cherubim besetzt. Auf ihrer Längsseite findet sich ein Sinnbild auf den Frieden von Passau (1552), der die Voraussetzung für den Augsburger Religionsfrieden von 1555 bildete. Auf dem Boden liegen als Symbol der zerbrochenen Grundpfeiler des Papsttums Papier- oder Pergamentfetzen, denen die sieben Kritikpunkte an dessen&amp;nbsp;“Misbraüch” eingeschrieben sind.[fn]“Stümlung des Abendmahls. Eheloß leben der priester. Meßopfer. OhrenBeicht. Underscheid der Speiß. Klostergelübten. Unvilliger gewald des Papstes.”[/fn] In typologischer Anlehnung steht auf der rechten Seite des Leuchters&amp;nbsp;Luther mit dem grünenden Stab des Priesters Aaron und auf der linken Seite mit Kurschwert und Stab Mose&amp;nbsp;Johann von Sachsen.
1630&amp;nbsp;–&amp;nbsp;Gustav Adolf II.&amp;nbsp;hatte noch nicht in den Dreißigjährigen Krieg eingegriffen&amp;nbsp;– unterlagen die Protestanten durch das Restitutionsedikt von 1629 starken Einschränkungen. Wohl auch um dieser katholischen Interpretation des Augsburger Religionsfriedens entgegenzuwirken, rief der sächsische Kurfürst&amp;nbsp;Festlichkeiten zur Säkularfeier der Confessio Augustana aus. Mit ihrer Planung und Programmgestaltung beauftragte er seinen&amp;nbsp;seinen Hofprediger Matthias Hoe von Hoenegg.
ALS
</t>
  </si>
  <si>
    <t xml:space="preserve">http://friedensbilder.gnm.de/sites/default/files/K1633.tif</t>
  </si>
  <si>
    <t xml:space="preserve">RP-P-OB-68.188
HB 24680, Kapsel 1248a</t>
  </si>
  <si>
    <t xml:space="preserve">Vorlage der Kopie</t>
  </si>
  <si>
    <t xml:space="preserve">Das Blatt aus dem Verlag&amp;nbsp;Jacob van der Heydens&amp;nbsp;feiert das&amp;nbsp;100-jährige Jubiläum der Augsburger Konfession. Unter der Heilig-Geist-Taube ist ein siebenarmiger Leuchter zu erkennen, der entsprechend Ex 25,&amp;nbsp;31–36 gestaltet ist. Emblematisch erläutern Medaillons in Verbindung mit Bibelstellen und Umschriften die Artikel der&amp;nbsp;Confessio Augustana. Zwei darunter befindliche apokalyptische Engel präsentieren das Evangelium und die Bekenntnisschrift. Der Leuchter ruht auf der Heiligen Schhrift und mit dieser zusammen auf der Bundeslade, wo sich laut dem Buch Exodus Jahwe zu erkennen gab.&amp;nbsp;Die Lade ist in ihrer Form Ex 25,&amp;nbsp;10–22 nachempfunden und zusätzlich mit zwei schützenden Cherubim besetzt. Auf ihrer Längsseite findet sich ein Sinnbild auf den Frieden von Passau (1552), der die Voraussetzung für den Augsburger Religionsfrieden von 1555 bildete. Auf dem Boden liegen als Symbol der zerbrochenen Grundpfeiler des Papsttums Papier- oder Pergamentfetzen, denen die sieben Kritikpunkte an dessen&amp;nbsp;“Misbraüch” eingeschrieben sind.&amp;nbsp;In typologischer Anlehnung steht auf der rechten Seite des Leuchters&amp;nbsp;Luther&amp;nbsp;mit dem grünenden Stab des Priesters Aaron und auf der linken Seite mit Kurschwert und Stab Mose&amp;nbsp;Johann von Sachsen.
1630&amp;nbsp;–&amp;nbsp;Gustav Adolf II.&amp;nbsp;hatte noch nicht in den&amp;nbsp;Dreißigjährigen Krieg&amp;nbsp;eingegriffen&amp;nbsp;– unterlagen die Protestanten durch das Restitutionsedikt von 1629 starken Einschränkungen. Wohl auch um dieser katholischen Interpretation des&amp;nbsp;Augsburger Religionsfriedens&amp;nbsp;entgegenzuwirken, rief der&amp;nbsp;sächsische Kurfürst&amp;nbsp;Festlichkeiten zur Säkularfeier der&amp;nbsp;Confessio Augustana&amp;nbsp;aus. Mit ihrer Planung und Programmgestaltung beauftragte er seinen&amp;nbsp;seinen Hofprediger&amp;nbsp;Matthias Hoe von Hoenegg.
ALS
</t>
  </si>
  <si>
    <t xml:space="preserve">Gedenkblatt an das erste Säkularfeier der Augsburger Konfession, K 1633, Kapsel 147</t>
  </si>
  <si>
    <t xml:space="preserve">https://friedensbilder-neu.gnm.de/sites/default/files/2019-06/K1633.png</t>
  </si>
  <si>
    <t xml:space="preserve">http://friedensbilder.gnm.de/content/frieden_object11f15
http://friedensbilder.gnm.de/content/frieden_object234f9</t>
  </si>
  <si>
    <t xml:space="preserve">http://friedensbilder.gnm.de/content/frieden_foto_order1f9234</t>
  </si>
  <si>
    <t xml:space="preserve">Medaille der Stadt Regensburg auf die Zweihundertjahrfeier des Augsburger Religionsfriedens</t>
  </si>
  <si>
    <t xml:space="preserve">Med 4212</t>
  </si>
  <si>
    <t xml:space="preserve">Loos, Georg Friedrich
Busch, Johann</t>
  </si>
  <si>
    <t xml:space="preserve">Stadt Regensburg</t>
  </si>
  <si>
    <t xml:space="preserve">Kat. Sachsen-Anhalt 2015
Ausst. Kat. Regensburg 1992/1993
Aukt. Kat. Adolph Hess Nachf. Nr. 121
Aukt. Kat. Heidrun Höhn Nr. 51
Schnell 1983
Kat. Philadelphia 1960
Aukt. Kat. Schott-Wallerstein Münzhandlung / Sally Rosenberg 1904
Aukt. Kat. Karl Kreß Nr. 115</t>
  </si>
  <si>
    <t xml:space="preserve">Bd. I.2, S. 841, Kat.-Nr. 1172
S. 464–465, Kat.-Nr. 249a (Peter Germann-Bauer)
S. 38, Nr. 721
S. 36, Nr. 4211
S. 222, Kat.-Nr. 250
Kat.-Nr. 311/312
Nr. 2074
Nr. 400</t>
  </si>
  <si>
    <t xml:space="preserve">14,63 
38 </t>
  </si>
  <si>
    <t xml:space="preserve">LOOS F</t>
  </si>
  <si>
    <t xml:space="preserve">TVTAM POST FLVCTVS NVNTIO SEDEM.
ECCLESIA FRVSTRA EXPLOSA
SECVLARIS RECORDATIO PACIS RELIGIOSAE SECVNDA VICE EX AESTVANTI PIETATE EXSVSCITATA RATISBONAE.</t>
  </si>
  <si>
    <t xml:space="preserve">1
2.5</t>
  </si>
  <si>
    <t xml:space="preserve">http://friedensbilder.gnm.de/sites/default/files/Med4212_01.tif
http://friedensbilder.gnm.de/sites/default/files/Med4212_02.tif</t>
  </si>
  <si>
    <t xml:space="preserve">Medaille der Stadt Regensburg auf die Zweihundertjahrfeier des Augsburger Religionsfriedens, Vorderseite, Med 4212</t>
  </si>
  <si>
    <t xml:space="preserve">Medaille der Stadt Regensburg auf die Zweihundertjahrfeier des Augsburger Religionsfriedens, Vorderseite</t>
  </si>
  <si>
    <t xml:space="preserve">http://friedensbilder.gnm.de/content/frieden_foto_order204fda</t>
  </si>
  <si>
    <t xml:space="preserve">Hamburger Medaille auf das zweihundertjährige Jubiläum des Augsburger Religionsfriedens</t>
  </si>
  <si>
    <t xml:space="preserve">Med Merkel 1.10.23</t>
  </si>
  <si>
    <t xml:space="preserve">Goedecke, Paul Hinrich</t>
  </si>
  <si>
    <t xml:space="preserve">Stadt Hamburg</t>
  </si>
  <si>
    <t xml:space="preserve">Kat. Sachsen-Anhalt 2015
Schnell 1983
Aukt. Kat. Adolph Hess Nachf. Nr. 121
Aukt. Kat. Schott-Wallerstein Münzhandlung / Sally Rosenberg 1904
Aukt. Kat. Slg. Whiting 1983
Koch 2006</t>
  </si>
  <si>
    <t xml:space="preserve">Bd. I.2, S. 838–839, Kat.-Nr. 1168
S. 220–221, Kat.-Nr. 247
S. 38, Nr. 717
S. 102, Nr. 2072
Nr. 503</t>
  </si>
  <si>
    <t xml:space="preserve">40
18,087</t>
  </si>
  <si>
    <t xml:space="preserve">P. H. G. </t>
  </si>
  <si>
    <t xml:space="preserve">EDENS FRIEDENS ECHO
ZVM ANDENCKEN DES 200 IAEHRIGEN RELIGION FRIEDEN HAMBVRG A 1755. D 25 SEPT
IHS
IESA 26 V 2
VOM EVANGELIO IAVCHTZET ZION FRIEDE. 
ECHO STIMT DEM LIEDE FRIEDE
P.R. AVG</t>
  </si>
  <si>
    <t xml:space="preserve">Die Medaille wurde zur Hamburger Zweihundertjahrfeier anlässlich des Augsburger Religionsfriedens herausgegeben.&amp;nbsp;Der Avers zeigt rechts eine Säule, die gleichzeitig als Buchpult fungiert, darauf, ein geöffnetes Buch mit dem Vers Jes 26,2.[fn]“Öffnet die Tore, / damit ein gerechtes Volk durch sie einzieht, / ein Volk, das dem Herrn die Treue bewahrt.”[/fn] Ein gerüsteter Engel im Zentrum des Münzbildes trägt einen Schild mit dem Christusmonogramm, welcher den Bibelvers anstrahlt. Zugleich öffnet der Engel mit einem Schlüssel die Pforte ins Paradies auf der linken Bildseite, aus dem die Glücksgöttin Fortuna in den Himmel auffährt.
Auf der Rückseite der Medaille stützt sich eine weibliche Figur mit ihrem linken Arm auf die Grundfesten des Glaubens (Pax Religiosa Augusta), die als Säule in der gegenüberliegenden Bildhälfte erscheint. In der Rechten hält sie einen palmzweigumwundenen Lorbeer über einen Altar, der unter dem strahlenden Auge Gottes in den Mittelpunkt rückt. Links daneben schreibt ein Genius die römische Zahl 200 auf den Altarsockel, während er seine Posaune gen Himmel richtet. Am tiefen Horizont entfaltet sich die Stadtsilhouette Hamburgs.
ALS/MATW
</t>
  </si>
  <si>
    <t xml:space="preserve">http://friedensbilder.gnm.de/sites/default/files/MedMerkel1.10.23_vs.tif
http://friedensbilder.gnm.de/sites/default/files/MedMerkel1.10.23_rs.tif</t>
  </si>
  <si>
    <t xml:space="preserve">Die Medaille wurde zur Hamburger&amp;nbsp;Zweihundertjahrfeier anlässlich des Augsburger Religionsfriedens&amp;nbsp;herausgegeben.&amp;nbsp;Der Avers zeigt rechts eine Säule, die gleichzeitig als Buchpult fungiert, darauf, ein geöffnetes Buch mit dem Vers Jes 26,2. Ein gerüsteter Engel im Zentrum des Münzbildes trägt einen Schild mit dem Christusmonogramm, welcher den Bibelvers anstrahlt. Zugleich öffnet der Engel mit einem Schlüssel die Pforte ins Paradies auf der linken Bildseite, aus dem die Glücksgöttin Fortuna in den Himmel auffährt.Auf der Rückseite der Medaille stützt sich eine weibliche Figur mit ihrem linken Arm auf die Grundfesten des Glaubens (Pax Religiosa Augusta), die als Säule in der gegenüberliegenden Bildhälfte erscheint. In der Rechten hält sie einen palmzweigumwundenen Lorbeer über einen Altar, der unter dem strahlenden Auge Gottes in den Mittelpunkt rückt. Links daneben schreibt ein Genius die römische Zahl 200 auf den Altarsockel, während er seine Posaune gen Himmel richtet. Am tiefen Horizont entfaltet sich die Stadtsilhouette Hamburgs.ALS/MATW</t>
  </si>
  <si>
    <t xml:space="preserve">Hamburger Medaille auf das zweihundertjährige Jubiläum des Augsburger Religionsfriedens, Vorderseite, Med Merkel 1.10.23
Hamburger Medaille auf das zweihundertjährige Jubiläum des Augsburger Religionsfriedens, Rückseite, Med Merkel 1.10.23</t>
  </si>
  <si>
    <t xml:space="preserve">https://friedensbilder-neu.gnm.de/sites/default/files/2019-06/MedMerkel1-10-01.png
https://friedensbilder-neu.gnm.de/sites/default/files/2019-06/MedMerkel1-10-2.png
https://friedensbilder-neu.gnm.de/sites/default/files/2019-06/MedMerkel1-10-doppel.png</t>
  </si>
  <si>
    <t xml:space="preserve">Hamburger Medaille auf das zweihundertjährige Jubiläum des Augsburger Religionsfriedens, Vorderseite
Hamburger Medaille auf das zweihundertjährige Jubiläum des Augsburger Religionsfriedens, Rückseite</t>
  </si>
  <si>
    <t xml:space="preserve">http://friedensbilder.gnm.de/content/frieden_foto_order1f923e</t>
  </si>
  <si>
    <t xml:space="preserve">Vivatband mit einer allegorischen Darstellung auf das Dankfest anlässlich des Friedens von Hubertusburg im Herzogtum Braunschweig-Lüneburg</t>
  </si>
  <si>
    <t xml:space="preserve">HB 21843, Kapsel 1220</t>
  </si>
  <si>
    <t xml:space="preserve">Seide (gelb)</t>
  </si>
  <si>
    <t xml:space="preserve">Beck, Anton August</t>
  </si>
  <si>
    <t xml:space="preserve">Ausst. Kat. Berlin 1985
Ausst. Kat. Braunschweig 1982</t>
  </si>
  <si>
    <t xml:space="preserve">S. 55, Kat.-Nr. 12
S. 133–134, Kat.-Nr. 76</t>
  </si>
  <si>
    <t xml:space="preserve">19,4 x 3,8 </t>
  </si>
  <si>
    <t xml:space="preserve">Am 17. April 1763 fand im Herzogtum&amp;nbsp;Braunschweig-Lüneburg ein Dankfest mit einem Gottesdienst statt, das den Friedensvertrag von Hubertusburg feierte. Aus diesem Anlass entstanden die beiden Vivatbänder. Derartige&amp;nbsp;Gedenkbänder wurden in hohen Auflagen produziert und konnten als preiswerte Andenken gekauft werden.&amp;nbsp;Das erste Vivatband würdigt neben&amp;nbsp;Ferdinand, Herzog von Braunschweig-Wolfenbüttel auch&amp;nbsp;Karl Wilhelm Ferdinand&amp;nbsp;von Braunschweig-Wolfenbüttel[fn]Zur Person Karl Wilhelms vgl. Braunschweigisches biographisches Lexikon, [Art.] Karl I., Herzog zu Braunschweig und Lüneburg, S. 391–392 (Hans Ulrich Ludewig). [/fn]&amp;nbsp;und&amp;nbsp;Friedrich August von Braunschweig-Lüneburg-Oels, die beide aufseiten Preußens herzogliche Truppen im Siebenjährigen Krieg führten. Seit der Erhebung zum Kurfürstentum 1692 zierte das springende Ross das Wappen der Linie Braunschweig-Lüneburg. Die auf dem Band gezeigte Circusanlage orientiert sich an Medaillen, die das Wappentier auf einer Rennbahn zeigen.[fn]Nach&amp;nbsp;Gottfried Wilhelm Leibniz&amp;nbsp;stürme das Pferd zum Ruhm, der durch die Schranken des Gesetzes begrenzt wird.[/fn]&amp;nbsp;Die durch die Circusanlage angesprochene antik-heroische Symbolik war auch Inhalt der Gedenkfeier: ”Vergilt den Helden aus diesem fürstlichen Hause [gemeint ist Braunschweig-Lüneburg] die Treue mit welcher sie ihr Leben, [...] so grosmütig dargeboten haben.“[fn]Dankfest Braunschweig-Lüneburg 17.4.1763, S. 15.[/fn]Auf dem zweiten Gedenkband thront Pax&amp;nbsp;über einer Ansicht Braunschweigs. Dass die beiden Friedensbänder von dem Braunschweiger Hofkupferstecher August Anton Beck als Pendants entworfen worden sind, belegt der Abzug einer Druckplatte auf einem Papierbogen in der Herzog-August-Bibliothek.&amp;nbsp;Das abschließende Textmedaillon auf dem zweiten Exemplar erwähnt Karl. I., Herzog von Braunschweig-Lüneburg und seine Gemahlin Philippine Charlotte.[fn]Weiterführende Literatur: Angermann 1999, S. 320. – Ausst. Kat. Braunschweig 1976. S. 29–32 und S. 43–44. – Maué / Fischer 2014, Kat.-Nr. 207, S. 177.[/fn]ALS</t>
  </si>
  <si>
    <t xml:space="preserve">Die Helden deren MutDer Erden groeßtes GutDen Frieden uns gegebenLaß Himmel ewig leben.&amp;nbsp;1763.17. Apr.&amp;nbsp;1763. d. 17. April.Welt, freue dich, der Friede lacht.Gelobt sey Gott, der ihn gebracht.Gott laß stets Carln und PhilippinenUnd alles Land in Friede gruenen.MATW</t>
  </si>
  <si>
    <t xml:space="preserve">http://friedensbilder.gnm.de/sites/default/files/HB21842-21844.tif
http://friedensbilder.gnm.de/sites/default/files/Auszug_Unpartheyische_Kirchen_Historie.pdf</t>
  </si>
  <si>
    <t xml:space="preserve">Vivatband mit einer allegorischen Darstellung auf das Dankfest anlässlich des Friedens von Hubertusburg im Herzogtum Braunschweig-Lüneburg, HB 21843, Kapsel 1220</t>
  </si>
  <si>
    <t xml:space="preserve">http://friedensbilder.gnm.de/content/frieden_foto_order205098</t>
  </si>
  <si>
    <t xml:space="preserve">Allegorische Darstellung auf den Frieden von 1763</t>
  </si>
  <si>
    <t xml:space="preserve">HB 21844, Kapsel 1220</t>
  </si>
  <si>
    <t xml:space="preserve">19,1 x 3,6</t>
  </si>
  <si>
    <t xml:space="preserve">Für eine inhaltliche Beschreibung der beiden Pendantbänder siehe&amp;nbsp;HB 21843, Kapsel 1220.</t>
  </si>
  <si>
    <t xml:space="preserve">http://friedensbilder.gnm.de/sites/default/files/HB21842-21844_0.tif</t>
  </si>
  <si>
    <t xml:space="preserve">http://friedensbilder.gnm.de/content/frieden_foto_order204da5</t>
  </si>
  <si>
    <t xml:space="preserve">Friedensband auf den Vertrag von Hubertusburg</t>
  </si>
  <si>
    <t xml:space="preserve">HB 21842, Kapsel 1220</t>
  </si>
  <si>
    <t xml:space="preserve">5,2 x 28,96 </t>
  </si>
  <si>
    <t xml:space="preserve">Das Friedensband schließt nach oben und unten mit einer gezackten Bordüre ab und beinhaltet neben den beiden Typendrucken links und rechts ein querrechteckiges Bildfeld in der Mitte. Hier schließt&amp;nbsp;Pax&amp;nbsp;die Tore des Janustempels, an dem die Wappen des Großherzogtums Toskana, Englands, Frankreichs und Spaniens befestigt sind. Rechts daneben sitzt&amp;nbsp;Europa, deren ”Wonne steigt: Weil man vom Friede spricht.“ Die aufgehende Sonne, die mit ihren Strahlen die Gewitterwolken vertreibt, ist einem Emblem entlehnt:&amp;nbsp;post nubila phoebus&amp;nbsp;[auf trübes Wetter folgt Sonnenschein].Die Wappen und der Typendruck liefern Hinweise auf den Entstehungskontext. Ein Friede scheint noch nicht geschlossen, sondern lediglich in Verhandlung zu sein.&amp;nbsp;Zudem tritt das aus der Antike entlehnte Motiv der Tempelschließung besonders häufig in Verbindung mit den Verträgen von Utrecht, Rastatt und Baden (1713/14) auf,[fn]Siehe u.a. Ohm 2012a und Ohm 2015, S. 226–227.[/fn]&amp;nbsp;wenn auch die Schließung durch&amp;nbsp;Pax&amp;nbsp;selbst höchst ungewöhnlich ist.[fn]Ein Hinweis von Hans-Martin Kaulbach.[/fn]&amp;nbsp;Der Friede von Utrecht bestätigte&amp;nbsp;Philipp V.&amp;nbsp;als spanischen König, der aber alle Gebiete außerhalb der iberischen Halbinsel (z.B. die südlichen Niederlande und Besitzungen in Italien) abtreten musste. Im Juni 1721 schlossen sich Frankreich, Großbritannien und Spanien zu einem Bündnis zusammen. Diese Allianz&amp;nbsp;trat auf der Konferenz von Cambrai, auf der unter anderem der Herrschaftsanspruch im Großherzogtum Toskana verhandelt wurde,&amp;nbsp;Karl VI.&amp;nbsp;gegenüber.&amp;nbsp;Cosimo III.&amp;nbsp;hatte in Ermangelung eines fehlenden männlichen Erben in der Linie der Medici versucht, seine Tochter&amp;nbsp;Anna Maria Luisa&amp;nbsp;zu seiner Nachfolgerin zu proklamieren. Lediglich der Kaiser hatte unter der Bedingung zugestimmt, dass das Großherzogtum nach Annas Tod an das Reich fallen solle.[fn]Zur europäischen Bündnispolitik zwischen 1713 bis 1721 siehe Frehland-Wildeboer 2010, S. 29–52.[/fn]ALS</t>
  </si>
  <si>
    <t xml:space="preserve">Der Friede. Ich schlüße hir den Mars in Janus Tempel ein, Mein Oelzweig soll der Welt zum Glück geschenket seyn.Europa. Nach Donnern, Blitz und Angst, strahlt Uns des Himmels Licht. Europens Wonne steigt: Weil man vom Friede spricht.MATW</t>
  </si>
  <si>
    <t xml:space="preserve">http://friedensbilder.gnm.de/sites/default/files/HB21842-21844_1.tif</t>
  </si>
  <si>
    <t xml:space="preserve">Friedensband auf den Vertrag von Hubertusburg, HB 21842, Kapsel 1220
Friedensband auf den Vertrag von Hubertusburg, HB 21842, Kapsel 1220</t>
  </si>
  <si>
    <t xml:space="preserve">Friedensband auf den Vertrag von Hubertusburg
Friedensband auf den Vertrag von Hubertusburg</t>
  </si>
  <si>
    <t xml:space="preserve">http://friedensbilder.gnm.de/content/frieden_foto_order204f17</t>
  </si>
  <si>
    <t xml:space="preserve">Einzug Friedrichs des Großen in Berlin am 30.3.1763 nach dem Frieden zu Hubertusburg</t>
  </si>
  <si>
    <t xml:space="preserve">HB 24217, Kapsel 1223</t>
  </si>
  <si>
    <t xml:space="preserve">Rugendas, Johann Lorenz</t>
  </si>
  <si>
    <t xml:space="preserve">Thieme Becker
Campe
Teuscher 1998
Ausst. Kat. Hamburg / München u.a. 1987/1988
Ausst. Kat. Berlin / Bonn u.a. 1986
Biskup 2012</t>
  </si>
  <si>
    <t xml:space="preserve">Bd. XXIX, S. 180
Nr. 607
S. 189–190, Kat.-Nr. 740
S. 110, Kat.-Nr. 17 (Hans-Martin Kaulbach)
S. 58–59, Kat.-Nr. 10
S. 88–90</t>
  </si>
  <si>
    <t xml:space="preserve">25,1 x 34,7 
31,2 x 44,5 </t>
  </si>
  <si>
    <t xml:space="preserve">Iohann Lorenz Rugendas inv. fec. et exc. Aug. Vind. </t>
  </si>
  <si>
    <t xml:space="preserve">Mitte Februar 1763 wurde der Friede von Hubertusburg geschlossen, in dem Preußen erneut (nach den Friedensverträgen im Österreichischen Erbfolgekrieg) der Besitz von Schlesien und Glatz bestätigt wurde. Das Königreich konnte so weiterhin seine Großmachtstellung im europäischen Mächtegefüge behaupten. Die Radierung von&amp;nbsp;Johann Lorenz Rugendas, einem bekannten Augsburger Künstler und Verleger, zeigt den Einzug&amp;nbsp;Friedrich II.&amp;nbsp;am 30. März 1763 in Berlin. Der zentralen Komposition mit Friedrich auf einem dynamischen Pferd dienten Reiterbildnisse als Vorbild.&amp;nbsp;Dem König folgt sein späterer Nachfolger&amp;nbsp;Friedrich Wilhelm II. Vor ihm knien die Personifikationen Preußens und Brandenburgs und "bringen ihm getreue Herzen dar", während ihm die Göttin Minverva einen Olivenzweig reicht.&amp;nbsp;
Das Blatt feiert Friedrich als erfolgreichen Kriegsherren und Herrscher, der sich in diesem Verständnis den gehobenen Ständen präsentiert, welche sich hinter den Personifikationen eingefunden haben. Auch Virgils preisender Schriftzug, der aus der Posaune erschallt, verdeutlicht dies. In seiner fünften Ekloge lobt der spätantike Autor den römischen Kaiser Augustus: ”Ruhm, dein Name und Lobeshymnen werden immer erhalten bleiben“.
Die Botschaft der Radierung entsprach keineswegs den historischen Gegebenheiten. 1745 nach dem Frieden von Dresden hatte Friedrich an ausladenden Berliner Feierlichkeiten teilgenommen. Auch für den 30. März 1763 hatte der städtische Magistrat einen feierlichen Einzug mit Triumphbogen am Frankfurter Tor vorgesehen. Friedrich erreichte die Stadt allerdings erst am späten Abend und wich auf einen anderen Zugang aus, sodass er unbemerkt das Berliner Stadtschloss erreichen konnte.
ALS
</t>
  </si>
  <si>
    <t xml:space="preserve">FRIDERICUS REX
Friedrichs nach dem den 15. Febr 1763. zu Hubertsburg erfolgten Frieden erfreulicher Einzug zu Berlin den 30. Mertz
Ihr Völker freut euch, der schwere Krieg ist aus!
Streut Blumen auf den Weeg der König kommt nach Haus
Die Kriegs Trompete schweigt. Er wird die Flöte fassen
Und ein erhaben Lied von neuem hören lassen.
Die Weisheit eilt ihm zu die immer um ihn war.
Die Staaten bringen ihm getreue Herzen dar
Der Kaufmann Geistliche des weisen Rathes Glieder
Die Bürger und voraus des Helden werthe Brüder,
Die alte Krieger stehn und beten ihn fast an.
Das Volk eilt froh hinzu. Es läuft, was laufen kan.
Wer gehen kan, der geht und bleibt erstaunet stehen,
Des Helden Angesicht und Einzug anzusehen.
O Freude deines Volks! o König, sey gegrüsst!
Zeuch nie mehr aus in Krieg, weil Friede besser ist!
MATW
</t>
  </si>
  <si>
    <t xml:space="preserve">http://friedensbilder.gnm.de/sites/default/files/HB24217.tif</t>
  </si>
  <si>
    <t xml:space="preserve">Mitte Februar 1763 wurde der Friede von Hubertusburg geschlossen, in dem Preußen erneut (nach den Friedensverträgen im Österreichischen Erbfolgekrieg) der Besitz von Schlesien und Glatz bestätigt wurde. Das Königreich konnte so weiterhin seine Großmachtstellung im europäischen Mächtegefüge behaupten. Die Radierung von&amp;nbsp;Johann Lorenz Rugendas, einem bekannten Augsburger Künstler und Verleger, zeigt den Einzug&amp;nbsp;Friedrich II.&amp;nbsp;am 30. März 1763 in Berlin. Der zentralen Komposition mit Friedrich auf einem dynamischen Pferd dienten Reiterbildnisse als Vorbild.&amp;nbsp;Dem König folgt sein späterer Nachfolger&amp;nbsp;Friedrich Wilhelm II. Vor ihm knien die Personifikationen Preußens und Brandenburgs und "bringen ihm getreue Herzen dar", während ihm die Göttin Minverva einen Olivenzweig reicht.&amp;nbsp;
Das Blatt feiert Friedrich als erfolgreichen Kriegsherren und Herrscher, der sich in diesem Verständnis den gehobenen Ständen präsentiert, welche sich hinter den Personifikationen eingefunden haben. Auch&amp;nbsp;Virgilspreisender Schriftzug, der aus der Posaune erschallt, verdeutlicht dies. In seiner fünften Ekloge lobt der spätantike Autor den römischen Kaiser Augustus: ”Ruhm, dein Name und Lobeshymnen werden immer erhalten bleiben“.
Die Botschaft der Radierung entsprach keineswegs den historischen Gegebenheiten. 1745 nach dem&amp;nbsp;Frieden von Dresden&amp;nbsp;hatte Friedrich an ausladenden Berliner Feierlichkeiten teilgenommen. Auch für den 30. März 1763 hatte der städtische Magistrat einen feierlichen Einzug mit Triumphbogen am Frankfurter Tor vorgesehen. Friedrich erreichte die Stadt allerdings erst am späten Abend und wich auf einen anderen Zugang aus, sodass er unbemerkt das Berliner Stadtschloss erreichen konnte.
ALS
&amp;nbsp;
</t>
  </si>
  <si>
    <t xml:space="preserve">Einzug Friedrichs des Großen in Berlin am 30.3.1763 nach dem Frieden zu Hubertusburg, HB 24217, Kapsel 1223</t>
  </si>
  <si>
    <t xml:space="preserve">https://friedensbilder-neu.gnm.de/sites/default/files/2019-06/HB24217_0.png</t>
  </si>
  <si>
    <t xml:space="preserve">http://friedensbilder.gnm.de/content/frieden_foto_order1f9225</t>
  </si>
  <si>
    <t xml:space="preserve">Freude in Friedenszeit</t>
  </si>
  <si>
    <t xml:space="preserve">HB 26194, Kapsel 1234</t>
  </si>
  <si>
    <t xml:space="preserve">Nilson, Johannes Esaias</t>
  </si>
  <si>
    <t xml:space="preserve">Helke 2005
Schuster 1936</t>
  </si>
  <si>
    <t xml:space="preserve">S. 148–149 und 152
S. 63, Nr. 84</t>
  </si>
  <si>
    <t xml:space="preserve">23,4 x 16,8 </t>
  </si>
  <si>
    <t xml:space="preserve">Pachinger, Anton Maximilian</t>
  </si>
  <si>
    <t xml:space="preserve">Nr. 2010</t>
  </si>
  <si>
    <t xml:space="preserve">http://friedensbilder.gnm.de/sites/default/files/HB26194.tif</t>
  </si>
  <si>
    <t xml:space="preserve">Freude in Friedenszeit, HB 26194, Kapsel 1234</t>
  </si>
  <si>
    <t xml:space="preserve">https://friedensbilder-neu.gnm.de/sites/default/files/2019-06/HB26194_0.png</t>
  </si>
  <si>
    <t xml:space="preserve">http://friedensbilder.gnm.de/content/frieden_foto_order1f922f</t>
  </si>
  <si>
    <t xml:space="preserve">Neu eröffnete Martis Schul. 1759</t>
  </si>
  <si>
    <t xml:space="preserve">HB 29936, Kapsel 1314a</t>
  </si>
  <si>
    <t xml:space="preserve">Komander 1995</t>
  </si>
  <si>
    <t xml:space="preserve">S. 205–206</t>
  </si>
  <si>
    <t xml:space="preserve">22,8 x 36,2 
29,2 x 42,6</t>
  </si>
  <si>
    <t xml:space="preserve">I. David Nassenthaler inv. del. fc. et exc. A.V. </t>
  </si>
  <si>
    <t xml:space="preserve">Lugt </t>
  </si>
  <si>
    <t xml:space="preserve">In einer Bogenarchitektur mit zentralem Oval steht auf einem großen Postament das Reiterstandbild&amp;nbsp;Friedrichs II. Auch wenn aus dem über ihm angebrachten Text so etwas wie eine Faszination für Friedrich ausgeht (“umsonst ist man bemüht mit starker Macht zu kriegen Recht und Gerechtigkeit hilft auch dem Schwächsten siegen”), lässt das Blatt insgesamt die Kriegsmüdigkeit der Bevölkerung erkennen. Symptomatisch dafür ist die Personifikation der Vorsicht, die über dem preußischen König schwebt und die Worte der Nischeninschrift verkündet.Die Säulenpostamente tragen die Statuen der Kriegsherren, die sowohl auf preußischer als auch auf gegnerischer Seite gekämpft haben.[fn]V. l. n. r. : Georg Ludwig von Schleswig-Holstein-Gottorf, General Ewald Georg von Kleist, Hans Joachim von Zieten, Charles Spencer (3. Duke of Marlborough) – hier abgekürzt als Marlbourg, August Wilhelm von Braunschweig-Wolfenbüttel-Bevern, Ferdinand von Braunschweig-Wolfenbüttel, Friedrich Heinrich Eugen von Anhalt-Dessau, Leopold Joseph von Daun, Charles de Rohan-Soubise, Wilhelm von Fermor, Andreas Hadik von Futak, Franz Leopold von Nádasdy, Ferdinand Philipp von Harsch, Friedrich Michael von Pfalz-Zweibrücken-Birkenfeld und Louis-Georges-Erasme de Contades? (abgekürzt als Contates).[/fn]&amp;nbsp;Sie werden in der Bildunterschrift zwar zu Helden stilisiert, den bitteren Beigeschmack des Krieges behalten sie aber dennoch: “wie durch Pulvers Kraft die größten Helden sincken”. An den Bogenscheiteln und den das Blatt flankierenden Pfeilern befinden sich Rocaillekartuschen mit verschiedenen Schlachtszenen, u.a. Zorndorf, Hochkirch und der Überfall auf Berlin. Die Architektur, die durch ihre Präsentationsplattform und Säulendurchblicke den Eindruck einer Bühne erweckt, zeigt im Hintergrund den Fortgang des Krieges: ein Heerlager, die Beschießung einer Stadt mit Artillerie und die sich rüstende Infanterie. Angesichts der Kriegsschrecken ist nicht nur&amp;nbsp;Teutschland&amp;nbsp;flehend vor dem preußischen König auf die Knie gesunken. Flankiert von&amp;nbsp;Mars&amp;nbsp;und&amp;nbsp;Bellona&amp;nbsp;stehen Angehörige der Kriegsparteien neben Adligen, Bauern und Kaufleuten, die 'begierig nach dem Frieden blicken', der hier jedoch nicht als Pax erscheint, sondern in Person Friedrichs ersehnt wird. Eine so harsche Kritik am Kriegstreiben in Verbindung mit einer gleichzeitigen Glorifizierung des preußischen Fürsten findet sich laut Gerhild Komander nur selten auf Blättern aus der Zeit des Schlesischen und des Siebenjährigen Krieges.ALS</t>
  </si>
  <si>
    <t xml:space="preserve">http://friedensbilder.gnm.de/sites/default/files/HB29936.tif</t>
  </si>
  <si>
    <t xml:space="preserve">Neu eröffnete Martis Schul. 1759., HB 29936, Kapsel 1314a</t>
  </si>
  <si>
    <t xml:space="preserve">Neu eröffnete Martis Schul. 1759.</t>
  </si>
  <si>
    <t xml:space="preserve">http://friedensbilder.gnm.de/content/frieden_foto_order204ffd</t>
  </si>
  <si>
    <t xml:space="preserve">Allegorie auf Friedrich II. und seine Taten</t>
  </si>
  <si>
    <t xml:space="preserve">HB 17649, Kapsel 1314a</t>
  </si>
  <si>
    <t xml:space="preserve">um 1760</t>
  </si>
  <si>
    <t xml:space="preserve">Blatt
Darstellung (Durchmesser)</t>
  </si>
  <si>
    <t xml:space="preserve">13,7 x 13,1 
12,5 </t>
  </si>
  <si>
    <t xml:space="preserve">Die Radierung in Form eines Medaillons zeigt&amp;nbsp;Friedrich II.&amp;nbsp;zusammen mit verschiedenen Personifikationen, die die Tugenden des preußischen Herrschers versinnbildlichen: eine Figur mit Fernglas repräsentiert die militärischen Qualitäten des Preußenkönigs. Daneben befinden sich&amp;nbsp;der Glaube, die Wachsamkeit und&amp;nbsp;Iustitia, auf deren Waagschale der&amp;nbsp;Codex Fridericianum&amp;nbsp;schwerer wiegt als das Suum cuique (Jedem das Seine). Angeregt durch einen Briefwechsel des jungen Kronprinzen Friedrichs mit Voltaire sowie seine Auseinandersetzung mit Machiavellis Il Principe (um 1513/14) entstand der Anti-Machiavel, eine Schrift, die hier am linken Knie der Wachsamkeit lehnt.[fn]Deppe, Frank: Der „Antimachiavell“ des Friedrich II., in: Sozialismus (Supplementband) 1 (2013).[/fn]Als Begrenzung der Figurenreihe dient eine Kanone mit der Inschrift&amp;nbsp;ultima ratio regis&amp;nbsp;und gegenüber Instrumente der Wissenschaft mit der Aufschrift "pro bono publico" [zum Wohle der Öffentlichkeit]. Ein darüber angeordnetes Schriftband stellt Friedrich in eine antike Nachfolge. Der Auszug stammt aus einer Epistel von Horaz&amp;nbsp;(Hor. epist. 2,1), in der der römische Dichter den Kaiser mit antiken Heroen vergleicht.[fn]Doblhofer, Ernst: Zum Augustusbild des Horaz (c. III 14,1–4 und c. IV 2,46 f.), in: Rheinisches Museum für Philologie 4/107 (1964), S. 325–339. Klingner, Friedrich: Horanzens Brief an Augustus. Vorgetragen am 9. Mai 1950, in: Sitzungsberichte der Bayerischen Akademie der Wissenschaften, Philosophisch-Historische Klasse 5 (1950).[/fn] Unterhalb der Figurengruppe notiert&amp;nbsp;Gevatter Zeit&amp;nbsp;die 'Unsterblichkeit' des preußischen Herrschers. Zusätzlich binden als Soldaten verkleidete Kinder Lorbeerkränze, denen die Passage&amp;nbsp;'Um Frieden bitten wir dich alle' aus der&amp;nbsp;Aeneis&amp;nbsp;(Verg. Aen. 11, 362) zugeordnet ist.Der Querflötenspieler unter ihnen sitzt auf einer kleinen Box mit der Bezeichnung No 8. Da es sich hierbei nicht um die Stelle der Aeneis handelt und weitere Nummerierungen im Blatt fehlen, liegt eine Anspielung auf das achte Lorbeermedaillon nahe, welches sich direkt unter dem Knaben befindet. Im Zusammenhang mit dem dort formulierten Frieden von Dresden soll Johann Sebastian Bach sein Gloria in excelsis Deo veröffentlicht haben, welches der Musikant hier lautmalerisch verkünden könnte.Die Randzone des Medaillons bilden in Lorbeerkränze eingeschriebene Lebensereignisse Friedrichs, deren Zwischenräume alternierend mit&amp;nbsp;Tropaia&amp;nbsp;und dem preußischen Adler gefüllt sind.&amp;nbsp;Die Auflistung beginnt mit seiner Geburt und endet mit der Beobachtung, Friedrich habe seine ‘Feinde von überall her zurückgedrängt’, was nun Hoffnung auf eine sichere Zukunft gebe, die im Rapport weiterer Lorbeerkränze angedeutet wird.[fn]Die Auflistung beginnt mit Friedrichs Geburt 1712 und der Thronbesteigung 1740, dann folgen die Schlachten bei Mollwitz und Czaslau im Ersten Schlesischen Krieg sowie die Rückgewinnung Schlesiens im Frieden von Berlin am 28. Juni 1742. Anschließend stehen Siege im Zweiten Schlesischen Krieg, bei Hohenfriedberg und Soor, der Friede von Dresden am ersten Weihnachtstag 1745 und der zur Reform des preußischen Justizwesens eingeführte&amp;nbsp;Codex Friedericianum. Danach schließen sich Schlachten des Siebenjährigen Krieges an: Lobositz, Prag, Kolin, Roßbach und Leuthen. Vgl. Kunisch, Johannes: Friedrich der Große. Der König und seine Zeit. 4. Aufl. München 2005. Zum militärischen Werdegang siehe Duffy, Christopher. Frederick the Great. A military life. London 1985. [/fn]Die Zusammenstellung des Blattes rühmt vorwiegend die militärischen Taten, Herrschertugenden und Staatsreformen Friedrichs II. Gleichzeitig visualisiert der als Kreislauf angelegte Lorbeerrahmen den Wechsel zwischen Kriegs- und Friedenszeiten.ALS/MATW</t>
  </si>
  <si>
    <t xml:space="preserve">http://friedensbilder.gnm.de/sites/default/files/HB17649.tif</t>
  </si>
  <si>
    <t xml:space="preserve">Allegorie auf Friedrich II. und seine Taten, HB 17649, Kapsel 1314a
Allegorie auf Friedrich II. und seine Taten, HB 17649, Kapsel 1314a</t>
  </si>
  <si>
    <t xml:space="preserve">Allegorie auf Friedrich II. und seine Taten
Allegorie auf Friedrich II. und seine Taten</t>
  </si>
  <si>
    <t xml:space="preserve">http://friedensbilder.gnm.de/content/frieden_foto_order203586</t>
  </si>
  <si>
    <t xml:space="preserve">Der zwischen Ihro Röm. Kaysl. und Königl. Maj. von Ungarn, nebst S.r Königl. Maj. von Pohlen Churfurst zu Sachsen, und S.r Königl. Maj. von Preusßen den 15 Febr 1763. zu Hubertsburg glücklich geschloßsene Frieden</t>
  </si>
  <si>
    <t xml:space="preserve">HB 5300, Kapsel 1220</t>
  </si>
  <si>
    <t xml:space="preserve">Will, Johann Martin</t>
  </si>
  <si>
    <t xml:space="preserve">Liebe 1899
Ausst. Kat. Hamburg / München u.a. 1987/1988</t>
  </si>
  <si>
    <t xml:space="preserve">S. 149, Abb.-Nr. 169
S. 111, Kat.-Nr. 18 (Hans-Martin Kaulbach)</t>
  </si>
  <si>
    <t xml:space="preserve">Platte (oben)
Platte (unten)
Blatt</t>
  </si>
  <si>
    <t xml:space="preserve">9,5 x 26,9
5,5 x 27,1 
23,1 x 38,4</t>
  </si>
  <si>
    <t xml:space="preserve">Die Radierung aus dem Verlag Johann Martin Will&amp;nbsp;zeigt in allegorischer Bildsprache verschiedene Stationen des Friedenschließens bis zum Abschluss des Vertrages: Links unterzeichnen drei Gesandte das Dokument, während sich daneben Maria Theresia,&amp;nbsp;August III.&amp;nbsp;und&amp;nbsp;Friedrich der Große&amp;nbsp;als Zeichen des Friedens die rechte Hand reichen. Rechts führen Kinder den Kriegsgott Mars ab, ”denn es geschieht ihm recht. Er hat genug verbrochen. Sein Urtheil wurde ihm in Hubertsburg gesprochen.“ Im Hintergrund sind Kämpfe der Kavallerie und Infanterie zu sehen, über der sich aber bereits die Friedensnachricht [pax vobis] ankündigt.&amp;nbsp;In der rechten Bildhälfte thront auf einer Anhöhe das prächtige Schloss Hubertusburg als Ort der Unterzeichnung und stellvertretendes Symbol des Friedensvertrags.Hinweise aus&amp;nbsp;Friedensbilder: Archiv Hans-Martin Kaulbach (Staatsgalerie Stuttgart)ALS</t>
  </si>
  <si>
    <t xml:space="preserve">http://friedensbilder.gnm.de/sites/default/files/HB5300.tif</t>
  </si>
  <si>
    <t xml:space="preserve">Der zwischen Ihro Röm. Kaysl. und Königl. Maj. von Ungarn, nebst S.r Königl. Maj. von Pohlen Churfurst zu Sachsen, und S.r Königl. Maj. von Preusßen den 15 Febr 1763. zu Hubertsburg glücklich geschloßsene Frieden, HB 5300, Kapsel 1220</t>
  </si>
  <si>
    <t xml:space="preserve">http://friedensbilder.gnm.de/content/frieden_foto_order204ec1</t>
  </si>
  <si>
    <t xml:space="preserve">Auf den zwischen Sr: König: Maj: von Preussen</t>
  </si>
  <si>
    <t xml:space="preserve">HB 15560, Kapsel 1220</t>
  </si>
  <si>
    <t xml:space="preserve">Schleuen, Johann David
Karsch, Anna Luise</t>
  </si>
  <si>
    <t xml:space="preserve">Campe
Ausst. Kat. Berlin 1987
Ausst. Kat. Wien 1980
Bellot 1984</t>
  </si>
  <si>
    <t xml:space="preserve">Nr. 612
S. 116, Kat.-Nr. 100
S. 182, Kat.-Nr. 28.02
S. 66</t>
  </si>
  <si>
    <t xml:space="preserve">49 x 39,2 
49 x 39 </t>
  </si>
  <si>
    <t xml:space="preserve">cm
cm </t>
  </si>
  <si>
    <t xml:space="preserve">und der römischen Kaiserin, wie auch des Königs von Pohlen Maj: Maj: den 15. Febr: 1763. zu Hubertusburg glück. geschlossenen Frieden.</t>
  </si>
  <si>
    <t xml:space="preserve">Verlagsadresse
Verfasserangabe</t>
  </si>
  <si>
    <t xml:space="preserve">Ist zu haben bei dem Kupferstecher Schleuen zu Berlin, ohnweit der Brücke, am Korn Magazin wohnhaft.
A. L. Karschen.</t>
  </si>
  <si>
    <t xml:space="preserve">http://friedensbilder.gnm.de/sites/default/files/HB15560.tif</t>
  </si>
  <si>
    <t xml:space="preserve">Auf den zwischen Sr: König: Maj: von Preussen, HB 15560, Kapsel 1220
Auf den zwischen Sr: König: Maj: von Preussen, HB 15560, Kapsel 1220</t>
  </si>
  <si>
    <t xml:space="preserve">https://friedensbilder-neu.gnm.de/sites/default/files/2019-06/HB15560_0.png</t>
  </si>
  <si>
    <t xml:space="preserve">Auf den zwischen Sr: König: Maj: von Preussen
Auf den zwischen Sr: König: Maj: von Preussen</t>
  </si>
  <si>
    <t xml:space="preserve">http://friedensbilder.gnm.de/content/frieden_foto_order1f91e2</t>
  </si>
  <si>
    <t xml:space="preserve">Aufgerichtetes- Denk- und Danckmahl</t>
  </si>
  <si>
    <t xml:space="preserve">HB 28422, Kapsel 1220</t>
  </si>
  <si>
    <t xml:space="preserve">Druckfarbe (blau)</t>
  </si>
  <si>
    <t xml:space="preserve">Berndt, Johann Oswald</t>
  </si>
  <si>
    <t xml:space="preserve">Ditfurth 1871</t>
  </si>
  <si>
    <t xml:space="preserve">S. 141–145</t>
  </si>
  <si>
    <t xml:space="preserve">http://www.deutschefotothek.de/documents/obj/87701883</t>
  </si>
  <si>
    <t xml:space="preserve">20,4 x 33,5 
42,0 x 35,9</t>
  </si>
  <si>
    <t xml:space="preserve">Hist.Sax.C.1094,misc.26</t>
  </si>
  <si>
    <t xml:space="preserve">beij dem zu Hubertsburg in Meissen erwünscht abgeschlossnen Frieden den 15 Febru: Ao. 1763.</t>
  </si>
  <si>
    <t xml:space="preserve">Berndt fecit. et Excu: Norimb: </t>
  </si>
  <si>
    <t xml:space="preserve">Maria Theresia&amp;nbsp;sitzt auf einem Thron im Zentrum der Darstellung, die anlässlich des Friedens von Hubertusburg entstand. Zum Zeichen ihrer friedstiftenden Herrschaft hält sie zum einen die Hand von&amp;nbsp;Pax, zum anderen das mit einem Olivenzweig umrankte Zepter.Das Blatt bedient sich einer Vielzahl klassischer Friedenstopoi, die durch den Text noch erweitert werden. Auf der linken Bildseite, unterhalb eines Wappenadlers mit Reichskarte, schreibt&amp;nbsp;Historia&amp;nbsp;den Vers ”Ich will Frieden geben in eurem Lande“ aus dem dritten Buch Mose (Lev 26,6) nieder. Darüber entzündet Fides mit ihrem brennenden Herzen das Friedensfeuer, ein Akt, den die zu Himmel schwebende Fama mit ihrer Posaune verkündet. Rechts im Bild befindet sich der geschlossene Janustempel, zu dessen Füßen zwei Putti an den Kuss von Gerechtigkeit und Friede erinnern (Psalm 85,11). Ein dritter Putto fliegt hoch über dem Tempel und präsentiert zwei weitere Ölzweige.Frank Walter Ditfurth listet den Text unter den ’historischen Volksliedern des Siebenjährigen Krieges‘ auf.&amp;nbsp;ALS</t>
  </si>
  <si>
    <t xml:space="preserve">http://friedensbilder.gnm.de/sites/default/files/HB28422.tif
http://friedensbilder.gnm.de/sites/default/files/Aufgerichtetes Denk- und Danckmahl_0.jpg</t>
  </si>
  <si>
    <t xml:space="preserve">Aufgerichtetes- Denk- und Danckmahl;, HB 28422, Kapsel 1220
Aufgerichtetes- Denk- und Danckmahl;, HB 28422, Kapsel 1220</t>
  </si>
  <si>
    <t xml:space="preserve">Aufgerichtetes- Denk- und Danckmahl;
Aufgerichtetes- Denk- und Danckmahl;</t>
  </si>
  <si>
    <t xml:space="preserve">http://friedensbilder.gnm.de/content/frieden_foto_order204e74</t>
  </si>
  <si>
    <t xml:space="preserve">Deutschland. Beglückte Friedenspost, o! höchst erfülltes Hoffen</t>
  </si>
  <si>
    <t xml:space="preserve">HB 14796, Kapsel 1220</t>
  </si>
  <si>
    <t xml:space="preserve">Kupferstich
Typendruck
Radierung
Kolorierung (Schablone)</t>
  </si>
  <si>
    <t xml:space="preserve">Rein, Joseph Friedrich</t>
  </si>
  <si>
    <t xml:space="preserve">Komander 1995
Ausst. Kat. Wien 2017</t>
  </si>
  <si>
    <t xml:space="preserve">S. 423, Kat.-Nr. 504
S. 229, Kat.-Nr. SH 8.48</t>
  </si>
  <si>
    <t xml:space="preserve">http://gdz.sub.uni-goettingen.de/dms/load/img/?PID=PPN87563365X</t>
  </si>
  <si>
    <t xml:space="preserve">46,1 x 30,6 
19,7 x 35,2 </t>
  </si>
  <si>
    <t xml:space="preserve">DD2000 D 8</t>
  </si>
  <si>
    <t xml:space="preserve">Anna Lisa Schwartz/Franziska Bauer/Marius Wittke</t>
  </si>
  <si>
    <t xml:space="preserve">313447756  </t>
  </si>
  <si>
    <t xml:space="preserve">Augsburg, zu finden bey I.F. Rein, Kupferstechern.</t>
  </si>
  <si>
    <t xml:space="preserve">links unterhalb des Bildes</t>
  </si>
  <si>
    <t xml:space="preserve">Aus den Zweigen einer hohen Palme wachsen die Medaillons der an dem Frieden von Hubertusburg beteiligten Mächte: Karl III. von Spanien, Georg III. von England, Ludwig XV., der portugiesische König Joseph I., Maria Theresia, August III. von Polen, Katharina II., Friedrich II. von Preußen und Adolf Friedrich von Schweden. Darunter kniet die Personifikation Deutschlands, die sich einen Zweig aus der Friedenspalme bricht. Links und rechts des Baumes haben sich die Landsmänner der porträtierten Herrscher aufgereiht: Preuße, Engländer, Franzose, Ungar (im Verbund mit Österreich), Sachse, Schwede, Russe, Spanier und Portugiese.
Im Hintergrund ist Schloss Hubertsburg aus einer ungewöhnlichen Perspektive zu sehen.[fn]Normalerweise wird die Schlossansicht frontal gezeigt wie in&amp;nbsp;Med 2616.&amp;nbsp;[/fn] Aus dem Eingangstor reiten Postillione, die die "beglückte Friedenspost" im Land verkünden. Über ihnen scheint die Friedenssonne, die&amp;nbsp;– angelehnt an das Emblem&amp;nbsp;"post nubila phoebus" [nach trübem Wetter folgt Sonnenschein] die Kriegswolken mit ihren Strahlen verdrängt.&amp;nbsp;
Der angehängte Text leitet mit der Friedensbotschaft ein, die ein "Courier von Hubertsburg gebracht". Darauf folgt eine Beschreibung der einzelnen Landsmänner, die sowohl klassische Friedenstopoi enthält, als auch Stimmungen zur jeweiligen Außen- und Bündnispolitik. Die Tatsache, dass Friedrichs Medaillon das Zentrum der Baumkrone bildet und seine aggressiven Expansionsbestrebungen gegenüber dem preußischen Heldenmuth keine Erwähnung finden, spricht für einen propreußischen Auftraggeberkreis.&amp;nbsp;
ALS
</t>
  </si>
  <si>
    <t xml:space="preserve">Das Iahr braChte zV Vns aL=Len eInen EDLen FrIeDen.
ALtIs sVb nIVIbVs sVCCresCIt paCIs oLIVa:&amp;nbsp;
o sIt paX Constans, JVstorVM CongrVa Voto!
Deutschland.
Beglückte Friedenspost, o! höchst erfülltes Hoffen;&amp;nbsp;
Ihr Völker! seyd vergnügt. Der Wunsch ist eingetroffen
Gott! der da alles kann, der aller Herzen lenkt,
Hat durch der Großen Sinn, den Frieden uns geschenkt.
Nach sieben Jahre Lauf, wo Unruh und Gefahren
In unserm deutschen Reich uns zum Verderben waren;
Erschallt die frohe Post? der Friede sey gemacht,&amp;nbsp;
Das habe ein Courier von Hubertusburg gebracht.
Die Nachricht ist gewiß: Die Freude übersteiget
Nun alle Kümmerniß. Da sich der Friede zeiget,
Der Deutschlands Gränzen schmückt: daß es in Ruhe lebt;
Ihr Völker! zeigt die Pflicht? die euch zum Dank erhebt.
Preußischer Officier.
Ein edler Heldenmuth bleibt vor der Welt gepriesen;
Was wir durch Tapferkeit in diesem Krieg erwiesen
Wird jeder zugestehn, der, da die Warheit spricht:
Der Friede schenkt uns Ruh! trotz? wer denselben bricht.
Englischer Lord.
Der Britte, weiß zur See, als auch zu Land, zu streiten,
Er bahnet sich die Ehr durch viel Gefährlichkeiten;
Er führt sein Schwerdt mit Ruhm. Und sucht bey jedem Sieg
Den Frieden? der erfolgt. Beendigt ist der Krieg.
Französischer Marquis.
Mit England ward es Fried, und unserm Bundsgenossen.
In Deutschland ist nunmehr der Friede auch geschlossen.
Und der Soldat geneußt nun eine sanfte Ruh,
Ja selbsten Janus schließt jetzt seinen Tempel zu.
Ungarischer Magnat.
Ein Ungar bleibet groß? ihn schmücken seine Thaten,
Er gibt im Krieg und Streit, den Frieden aufzurathen.
Er dienet treu mit Lust, acht seines Lebens nicht,
Er zeiget sich versöhnt wenn man vom Frieden spricht.
Sächsischer Cavalier.
O werthes Sachsenland! was du seit sieben Jahren,
Durch einen schweren Krieg, zum größten Leid erfahren;
Hat sich nunmehr geendt. Der edle Friede macht,
Daß? das bedrängte Land im neuen Glücke lacht.
Schwedischer Baron.
Aus Deutschland ist die Post in Schweden angekommen,
Daß völlig nun der Krieg einmal ein End genommen,
Der Friede sey erfolgt. Den man für schätzbar kennt,
O! daß nie eine Zeit die edle Eintracht trennt.
Rußischer Passagier.
Der Krieg ist eingestellt, man ist des Streitens müde,
Erst machte man zur See, und jetzt in Deutschland Friede,
O Fügung! deren Macht uns so viel Gutes schenkt,
Befestge diesen Bund, so lang ein Greiß nur denkt.
Grand von Spanien.
Der Krieg hat aufgehört, die Unruh ist verschwunden,
Vier Häupter groß an Macht, als Freunde sich verbunden,
Durch einen Friedensschluß. Der ewig soll bestehn;
Auch Deutschland lässet uns ein gleiches Beyspiel sehn.
Portugiese.
Ich lebe jetzt in Ruh, und wünsche Deutschlands Gränzen,
Es müß an Glück und Pracht, der Welt zum Wunder glänzen.
Wir alle sind vereint. Der Friede lacht uns an,
Wer hat das Werk vollbracht? das hat der Herr gethan.
MATW
</t>
  </si>
  <si>
    <t xml:space="preserve">http://friedensbilder.gnm.de/sites/default/files/HB14796.tif
http://gdz-srv1.sub.uni-goettingen.de/content/PPN87563365X/800/0/00000001.jpg</t>
  </si>
  <si>
    <t xml:space="preserve">”Beglückte Friedenspost“, so beginnt der Text des titellosen Flugblattes, welches anlässlich des&amp;nbsp;Hubertusburger Friedens&amp;nbsp;1763 veröffentlicht wurde. Die Freude darüber, dass nach sieben Jahre endlich wieder Frieden herrschen sollte, ist damit bereits im ersten Vers verdeutlicht. Das Flugblatt besteht aus einer landschaftlichen Darstellung des Verhandlungsortes mit den Vertragsunterhändlern und einem mehrstrophigen Text, der die Beteiligten zu Wort kommen lässt. Dabei beziehen sich beide Medien aufeinander und ergänzen einander gegenseitig.Im Zentrum der Abbildung befindet sich eine Palme, deren Blätter neun Konterfeis derjenigen Potentaten umschließen, die am&amp;nbsp;Siebenjährigen Krieg&amp;nbsp;beteiligt waren. In der Mitte der Baumkrone, direkt am Stamm, befindet sich&amp;nbsp;Friedrich II., seine europäischen Friedenspartner verteilen sich symmetrisch zu beiden Seiten. Am Fuße der Palme kniet eine weibliche Gestalt, die symbolträchtig einen jungen Trieb der Pflanze in die Hand nimmt. Hierbei handelt es sich um die Figuration Deutschlands.&amp;nbsp;Etwas weiter hinter ihr haben sich die Gesandten der einzelnen Länder versammelt, die ihre jeweiligen Regenten repräsentieren und denen stellvertretend je ein friedensbekräftigender Vers zugeordnet ist. Darin finden die Erleichterung und die Position zum Friedenswerk Ausdruck, wobei quantitativ&amp;nbsp;Deutschland&amp;nbsp;den meisten Raum einnimmt.Entscheidend für die Verbreitung der Friedensnachricht sind jedoch die in der Graphik präsenten Postreiter, die von Schloss Hubertusburg im Hintergrund in alle Richtungen ausschwärmen. Daher wird die ihnen zukommende Friedensrolle auch im Text aufgegriffen: ”Der Friede sey gemacht, das habe ein Courier von Hubertusburg gebracht!“Der Wiedereinzug des Friedens wird im Bild auch metaphorisch dargestellt, so finden sich am unteren Bildrand zerbrochene Waffen, Fahnen und Kriegsinstrumente, in der linken, oberen Bildecke scheint die Sonne, welche die Wolken auf der rechten Bildseite vertreibt, getreu dem Motto:&amp;nbsp;post nubila phoebus.ALS/FB/MATW</t>
  </si>
  <si>
    <t xml:space="preserve">Herrscherrepräsentation
Friedensbotschaft</t>
  </si>
  <si>
    <t xml:space="preserve">Deutschland. Beglückte Friedenspost, o! höchst erfülltes Hoffen, Bild, HB 14796, Kapsel 1220
Deutschland. Beglückte Friedenspost, o! höchst erfülltes Hoffen, Text, HB 14796, Kapsel 1220</t>
  </si>
  <si>
    <t xml:space="preserve">https://friedensbilder-neu.gnm.de/sites/default/files/2019-06/HB14796_0.png</t>
  </si>
  <si>
    <t xml:space="preserve">Deutschland. Beglückte Friedenspost, o! höchst erfülltes Hoffen, Bild
Deutschland. Beglückte Friedenspost, o! höchst erfülltes Hoffen, Text</t>
  </si>
  <si>
    <t xml:space="preserve">http://friedensbilder.gnm.de/content/frieden_foto_order1f920c</t>
  </si>
  <si>
    <t xml:space="preserve">Braunschweiger Friedensbrief</t>
  </si>
  <si>
    <t xml:space="preserve">HB 21839, Kapsel 1220</t>
  </si>
  <si>
    <t xml:space="preserve">Kupferstich
Radierung
Kolorierung </t>
  </si>
  <si>
    <t xml:space="preserve">Aquarellfarbe</t>
  </si>
  <si>
    <t xml:space="preserve">Schmidt 1889
Ausst. Kat. Braunschweig 1976</t>
  </si>
  <si>
    <t xml:space="preserve">S. 30</t>
  </si>
  <si>
    <t xml:space="preserve">17,8 x 23,6 </t>
  </si>
  <si>
    <t xml:space="preserve">Der 'Friedensbrief' erschien im Rahmen des Dankfests der Stadt Braunschweig für den Frieden von Hubertusburg.[fn]in den Braunschweigischen Anzeigen. Offizielles Regierungs- und Anzeigeblatt, 19/42 (1763), S. 193 heißt es "Bey dem Kupferstecher, Hrn. Schmidt, ist zu bekommen: ...in Kupfer gestochene Friedensbriefe."[/fn] Die Innenseite zeigt im Zentrum Urania und Historia vor der Stadtansicht Braunschweigs. Rechts davon tritt ein Genius aus dem Friedenstempel. Die einzelnen Textblöcke sind so gruppiert, dass jede Darstellung eine Erläuterung erhält. Die Initialen stehen für&amp;nbsp;Ferdinand, Herzog von Braunschweig-Wolfenbüttel,&amp;nbsp;Karl Wilhelm Ferdinand&amp;nbsp;von Braunschweig-Wolfenbüttel&amp;nbsp;und&amp;nbsp;Friedrich August von Braunschweig-Lüneburg-Oels. Sie finden sich ebenfalls auf&amp;nbsp;HB 21843, Kapsel 1220. Darüber ist der schlafende Mars vor dem Janustempel zu sehen. Die Passage "Der wilde Krieg ist auf den Waffen Vom Kampf ermüdet eingeschlaffen" erinnert an&amp;nbsp;HB 25059, Kapsel 1314, in dem Mars ebenfalls "mit seinen Waffen entschlaffen ist". Die "An Alle die den Frieden lieben" adressierte Rückseite zeigt klassische Friedensmotive wie das Schmieden von Waffen zu Ackergerät (Jes 2,4) und die Überbringung der Friedensbotschaft.
Anton August Becks&amp;nbsp;Linienführung erinnert an Augsburger Kupferstiche.&amp;nbsp;Zudem entspricht der Aufbau des Faltbriefs jenen, die 1730 anlässlich des 200. Jahrestages der Confessio Augustana&amp;nbsp;in der schwäbischen Stadt herausgegeben worden waren (siehe etwa&amp;nbsp;HB 26676, Kapsel 1248a). Beck war zwar nie außerhalb Braunschweigs tätig, sein Stiefvater und zugleich Lehrmeister stammte allerdings aus Augsburg und könnte ihn so mit der süddeutschen Kupferstichmanier vertraut gemacht haben.
ALS
</t>
  </si>
  <si>
    <t xml:space="preserve">Im Kriege, oder bey der Friedensfeier 1763, kam der Herzog Ferdinand von Braunschweig nach Hannover. Unter den Anstalten zur Feier seines Empfanges war eine Beleuchtung der Stadt angeordnet und ein großer beleuchteter Triumphbogen. Ich entsinne mich wohl, wie den ganzen Tag über die Rede davon war, daß ich dieser Herrlichkeit zusehen sollte. Meine Geschwister erzählten mir vorher viel davon, und im ganzen Hause war eine fröhliche Erwartung, ein Treiben und Drängen zu dieser Festlichkeit. Ich fragte, jauchzte und hüpfte der Stunde entgegen. Endlich wurde ich wohl eingehüllt einer Magd auf den Arm gepackt, und nach dem Markte, wo der Hauptschauplatz war, hingetragen.
Starr sah ich nach der Feuermasse in die Ferne hin. Wie ich näher kam und einzelne Lampen unterscheiden konnte, schrie ich vor Freuden, wollte vom Arme meiner Wärterin herab, und da ich ganz nahe gekommen war, das[3]&amp;nbsp;bunte Feuer sah, überfiel mich ein überirdisches Entzücken. Man hatte mich in ein rothes Mäntelchen gewickelt, auf dessen Vorderseite Schleifen von weißem Schmelz gesetzt waren. Ich erinnere mich ganz deutlich, daß ich an dem Glanze, den diese Schleifen durch die Lichtmassen von sich warfen, an der rothen Farbe des Mantels, ein eigenes Vergnügen hatte. Ich erinnere mich, als wäre es eine Geschichte von gestern, der Menschenmenge, der Pferde, der Kutschen, des hohen Triumphbogens, von dem ich glaubte, er reiche an den Himmel hinauf – der glänzenden Kirchenfenster und des Freudengeschreys, das die Volksmenge erhob. Ich hüpfte auf den Armen meiner Trägerin, und weinte und schrie laut und unaufhörlich, als mich diese deßhalb weg und wieder in unser finsteres Haus trug. Ich konnte und wollte nicht einschlafen, ich dachte mir den anderen Tag und viele Wochen nachher immer das große glänzende bunte Bild aus jener Nacht. Ich bauete lange Zeit nachher aus Stühlen und Bänken die Ehrenpforte oft wieder auf; ich setzte Lichter daneben, hing den rothen Mantel mit Schmelz wieder um, und war sehr traurig, daß dieses schöne Kleid bey meinen Lichtern zu Hause nicht so glänzend aussah als jenen Abend.
Endlich mag das Bild sich verloren haben; wenigstens erinnere ich mich nichts von allem, was in dem Zeitraume mit mir vorgegangen ist, bis ich das erste Schauspiel gesehen habe. Dieß muß im Jahre 1765 gewesen seyn.
Wie ich hier wieder viele Lichter, viele Menschen, einen großen Raum und bunte Farben auf dem Vorhange sah, so stand auf einmal jenes entzückende Bild wieder vor mir. Die Musik, das Hinaufrollen, das Verschwinden des großen Vorhanges, dünkte mich eine Zauberey. Der große, freundliche, helle Raum hinter dem Vorhange war mir unerwartet. Als er von wohlgekleideten Menschen betreten wurde, als diese sprachen, lachten, als in dem hellen Raume eine Handlung vorging wie zu Hause, so war ich ganz außer mir vor Bewunderung und Freude. Ich küßte meinen Bruder, ich sprach kein Wort, um von der himmlischen[4]&amp;nbsp;Herrlichkeit nichts zu verlieren, die vor meinen Augen aufgegangen war.
Es war, glaube ich, der Kranke in der Einbildung, der den Tag gegeben wurde. Ich wollte noch den Platz angeben, wo der alte Ackermann im Schlafrocke gesessen hat; ich sehe noch den Liebhaber im grauen Kleide und grüner Weste mit Golde. Ich erinnere mich, daß es mir häßlich vorkam, daß der Vater seine kleine Tochter in Gegenwart so vieler Menschen schlagen wollte. Zum Schluß wurde das Ballet, die Judenhochzeit, gegeben. Das machte mir wenig Freude. Der große Topf, der darin zertreten wird, ärgerte mich. Es gefiel mir nicht, daß die Leute nicht sprechen wollten, so wie ich nicht begreifen konnte, und es für ungezogen hielt, daß sie in dem großen, schönen Zimmer beständig sprangen und liefen.
Der große helle Raum, auf dem alles vorging, kam mir vor, wie unsere Visitenstube zu Hause; und wie diese unverletzlich war, wie darin weder ein Topf hätte zerschlagen, noch wie die Juden hätten darin herumspringen dürfen, so kam mir das auf diesem hellen Platze äußerst unschicklich vor.
Das zierliche Benehmen der Personen, welche vorher im Schauspiele gesprochen hatten, und daß sie so einer hinter einander gesprochen hatten, dünkte mich so reitzend, so vornehm, so ehrwürdig! Man erklärte mir, daß sie das alles auswendig gelernt hätten. Nun staunte ich sie an, wie hohe, besondre Wesen.
An jedem Fenstervorhange probierte ich zu Hause das Hinaufrauschen der Zauberdecke, und das Herabsenken, das den schönen hellen Raum und die Wesen, die so zart und fein darin gewandelt waren, mir wie der genommen hatte.
Immer sprach ich von diesem schönen hellen Bilde, und war recht betrübt, daß niemand so entzückt darüber war als ich. Als nun gar einige von den Menschen, die das Bild darstellten, verächtlich sprachen, so gerieth ich in Zorn und Kummer. Ich suchte allein zu seyn, allein an das zu denken, wovon niemand in meinem Entzücken mit mir reden wollte. Ich zog heimlich die Fenstervorhänge auf und nieder, weil[5]&amp;nbsp;man mich auslachte, daß ich mit diesem Spielwerke den Zauber wieder herstellen wollte.
Bis jetzt hatte die Kunst keinen Theil an meinen Empfindungen. Das helle Licht, worin alle Gestalten erschienen, hatte bloß einen angenehmen Eindruck auf meine Sinne gemacht, der in Vereinigung mit jenem ersten Eindrucke war, der mich zuerst empfinden ließ, daß ich lebe und bin.
Da ich fleißig in die Kirche geführt wurde, erinnerte man mich einst, daß es besser wäre, dem nachzudenken, was ich dort sähe und hörte, als mich an den Possen zu üben, die ich auf dem Ballhofe gesehen hätte.
Nun fiel es mir zum ersten Male ein, die Kirche mit dem Theater zu vergleichen, weil ich hoffte, da ich nicht mehr nach dem Ballhofe geschickt wurde, die Empfindung, die ich vor dem großen Vorhange gehabt hatte, dort wieder zu erneuern.
Ich freute mich auf den nächsten Sonntag, und ging rasch und munter den Kirchweg hin.
Die große Orgel und der volle Gesang gaben mir an diesem Tage ein Gefühl, das ich dabey noch nie empfunden hatte. Vorher war mir beides nur wie Lärm und Geschrey vorgekommen. An&amp;nbsp;dem&amp;nbsp;Tage war es anders. Aber was es war und wie es war, das konnte ich mir nicht sagen; doch schien es mir viel mehr zu seyn als die Musik in der Komödie. Nun trat der Prediger auf die Kanzel. Ich stand auf, und wollte ihn mit denen vergleichen, die aufgetreten waren, als der Vorhang sich hinauf geschwungen hatte.
Aber eben das fehlte mir bey seiner Erscheinung. Es ging kein Zauberwerk vor seinem Auftreten her. Er stand allein, er stand im Dunkeln, in einem engen Raume, bedeckt bis an die Brust und beschattet von einer aufgethürmten finstern Masse über seinem Haupte stand er da. Er sprach nicht wie andere Menschen. Er sang in einem heulenden Jammertone, niemand antwortete ihm, und Menschen waren eingeschlafen.
Wie reitzend standen dagegen die zierlichen geschmückten Lichtgestalten, welche sprachen wie andere Menschen, sich[6]&amp;nbsp;antworteten und bewegten wie andere Menschen, vor meiner Einbildungskraft da!
Die nächste Nahrung für das Vergnügen, das mir so werth geworden war, empfing ich aus Hübners biblischen Geschichten. In jedem Kupfer sah ich das liebliche Bild vom Ballhofe. Auf einigen macht ein zurückgeschlagner Vorhang den Vordertheil des Bildes aus. Diese Geschichten las ich um des Vorhanges und um der Bilder willen, die daran sich reiheten, am liebsten.
&amp;nbsp;
Quelle:
Iffland, August Wilhelm: Über meine theatralische Laufbahn. Heilbronn 1886, S. 3-131.
&amp;nbsp;
&amp;nbsp;
Erstdruck in: A. W. Ifflands dramatische Werke, Bd. 1, Leipzig (Georg Joachim Göschen) 1798.
http://www.zeno.org/Literatur/M/Iffland,+August+Wilhelm/Autobiographisches/%C3%9Cber+meine+theatralische+Laufbahn
&amp;nbsp;
</t>
  </si>
  <si>
    <t xml:space="preserve">http://friedensbilder.gnm.de/sites/default/files/HB21839_0.tif
http://friedensbilder.gnm.de/sites/default/files/HB21839rs_0.tif</t>
  </si>
  <si>
    <t xml:space="preserve">Der 'Friedensbrief' erschien im Rahmen des Dankfests der Stadt Braunschweig für den Frieden von Hubertusburg. Die Innenseite zeigt im Zentrum&amp;nbsp;Urania&amp;nbsp;und&amp;nbsp;Historia&amp;nbsp;vor der Stadtansicht Braunschweigs. Rechts davon tritt ein Genius aus dem Friedenstempel. Die einzelnen Textblöcke sind so gruppiert, dass jede Darstellung eine Erläuterung erhält. Die Initialen stehen für&amp;nbsp;Ferdinand, Herzog von Braunschweig-Wolfenbüttel,&amp;nbsp;Karl Wilhelm Ferdinand&amp;nbsp;von Braunschweig-Wolfenbüttel&amp;nbsp;und&amp;nbsp;Friedrich August von Braunschweig-Lüneburg-Oels. Sie finden sich ebenfalls auf&amp;nbsp;HB 21843, Kapsel 1220. Darüber ist der schlafende Mars vor dem Janustempel zu sehen. Die Passage "Der wilde Krieg ist auf den Waffen Vom Kampf ermüdet eingeschlaffen" erinnert an&amp;nbsp;HB 25059, Kapsel 1314, in dem Mars ebenfalls "mit seinen Waffen entschlaffen ist". Die "An Alle die den Frieden lieben" adressierte Rückseite zeigt klassische Friedensmotive wie das Schmieden von Waffen zu Ackergerät (Jes 2,4) und die Überbringung der Friedensbotschaft.Anton August Becks&amp;nbsp;Linienführung erinnert an Augsburger Kupferstiche.&amp;nbsp;Zudem entspricht der Aufbau des Faltbriefs jenen, die 1730 anlässlich des 200. Jahrestages der&amp;nbsp;Confessio Augustana&amp;nbsp;in der schwäbischen Stadt herausgegeben worden waren (siehe etwa&amp;nbsp;HB 26676, Kapsel 1248a). Beck war zwar nie außerhalb Braunschweigs tätig, sein Stiefvater und zugleich Lehrmeister stammte allerdings aus Augsburg und könnte ihn so mit der süddeutschen Kupferstichmanier vertraut gemacht haben.ALS</t>
  </si>
  <si>
    <t xml:space="preserve">Braunschweiger Friedensbrief, Innenseite, HB 21839, Kapsel 1220
Braunschweiger Friedensbrief, Außenseite, HB 21839, Kapsel 1220</t>
  </si>
  <si>
    <t xml:space="preserve">https://friedensbilder-neu.gnm.de/sites/default/files/2019-06/HB21839.png</t>
  </si>
  <si>
    <t xml:space="preserve">Braunschweiger Friedensbrief, Innenseite
Braunschweiger Friedensbrief, Außenseite</t>
  </si>
  <si>
    <t xml:space="preserve">http://friedensbilder.gnm.de/content/frieden_foto_order1f91ec</t>
  </si>
  <si>
    <t xml:space="preserve">Augsburger Friedensgemälde auf das Jahr 1779 und den Frieden von Teschen</t>
  </si>
  <si>
    <t xml:space="preserve">HB 24240, Kapsel 1249</t>
  </si>
  <si>
    <t xml:space="preserve">Haid, Johann Philipp
Leizel, Balthasar Friedrich</t>
  </si>
  <si>
    <t xml:space="preserve">Ausst. Kat. Augsburg 2000
Albrecht 1983</t>
  </si>
  <si>
    <t xml:space="preserve">S. 116
S. 0143, Nr. 128</t>
  </si>
  <si>
    <t xml:space="preserve">23,7 x 30,5
51,6 x 38,8</t>
  </si>
  <si>
    <t xml:space="preserve">Johann. Philipp. Haidt. del.
Balth : Friedrich. Leizel. sculp.</t>
  </si>
  <si>
    <t xml:space="preserve">Lobgesang,nebst oben stehendem Gemähldeder Evangelischen Schuljugend in Augsburg ausgetheilt, an ihrem Friedensfeste den 11. August des Jahres 1779.Der Text zu der Predigt ist, Jes. 65, 24.Ehe sie rufen, will ich antworten, und wenn sie noch reden, will ich hören.Lob Seele, lob und preißeGott, deines Vaters, Gnad und Huld!Er herrschet gut und weiße,Mit unaussprechlicher Geduld.Was Leib und Geist beglücket,Schafft der Versorger her:Wenn eine Noth uns drücket,So hilft so lindert er:Wenn auch der Menschen SündeEr, der Gerechte, straft;So straft er doch gelindeUnd wie ein Vater straft.Er rief vor einem JahreDen Krieg in Deutschlands Gränzen auf;Er sprach zum Feuer: fahreVerseng, mit ungehaltnem Lauf!Er hieß die Schwerdte hauen,Hieß Wagen Mann und RoßDie Fruchterfüllten Auen,Wo Menschenblut jezt floß,Verheeren und zertretten:O Herr, wer kan bestehen,Wenn du, statt zu erretten,Die Menschen läßt vergehen!Wie war euch da ums Herze,O Brüder, die der Jammer traf? *[fn]* Sie, diese Bewohner von Sachsen, Böhmen, der Lausiz und Schlesien sind vorgestellt auf der linken Seite; über ihnen die Worte: Ps. 12,6.[/fn]Der Tag verflos im Schmerze,Des Nachts verjagte Furcht den Schlaf!Und was erst kommen würde,(Vielleichte schröcklicherAls was schon war,) das schwebteWie ein Gewitter herAuf uns, das Herze bebteWie eures, hofnungsleer.Doch Er, der ewig liebet,Preiß ihm in seiner heilgen HöhDer unsre Schuld vergiebet,Was that der Allbarmherzige?Er rief dem Kriege wider:"Bishieher, weiter nicht!"Sein Friede kam herniederUmstrahlt mit holdem Licht:Er trat zu Deutschlands HeldenUnd band der Freundschaft Band;Da gaben Deutschlands HeldenSich wieder ihre Hand. *[fn]* Diese ganze Vorstellung sowohl in dem Gesange hier, als oben im Gemählde, wo gerade in der Mitte bey beyden hohen Mächten der Friede stehet, und über ihnen die Vorsicht abgebildet ist, will so viel sagen: daß Gottes Herzlenkende Macht es gewesen, welche der verwittibten Kaiserin Königin Majestät auf der einen, des Königs von Preußen Majestät aber auf der anderen Seite, zu dem gesegneten Entschlusse gebracht hat, Friede zu machen.[/fn]O Teschen *[fn]** So heißet die oben in der rechten Ecke abgebildete Stadt, wo den 13. May der Friede geschlossen wurde.&amp;nbsp;[Der Autor verwechselt sowohl rechts und links als auch die Durchnummerierung der Anmerkungen.][/fn] daß dein FriedeDoch Deutschland lange Zeit erfreu!Daß deine Vatergüte,O Gott doch immer mit uns sey!Wir glauben: ach uns ArmenGab einst in Oßnabrück **[fn]*** Im Jahr 1648. Wo der Westphälische Friede mit Schweden, so wie der mit Frankreich zu Münster geschlossen wurde.[/fn]Dein göttliches ErbarmenDen Frieden, Ruh und Glück!Seit mehr als hundert JahrenErhältst du uns den Bund,Bedekst uns vor Gefahren:Preiß dir mit Herz und Mund!O Herr, was sind wir besserAls die, so dreißig Jahre lang,Da immer immer größerDer Jammer wurde, angst und bangIn Thränen fast zerflosen,Von Tempel und AltarVerdrängt - Die Feinde schlosenAch ihre Schu'en gar!Verfolgt, verarmt, verlassen,Im Finstern ohne Licht,So hieß, wer mag es fassen,Dieß schröckliche Gericht.O wie unendlich größerIst deine Schonung und GeduldBey uns! Was sind wir besserO Herr? Preiß deiner Gottes Huld!Frey vom Gewissens Zwange,In stolzem Fried und Ruh,Gehen wir mit LobgesangeDen offnen Tempeln zu.Da wird dein Wort gelehret,Das Seelen selig macht,Das Licht und Trost gewähretIn jeder Trübsal Nacht.Der du so gerne hörestEh unsre Bitte zu dir steigt, *[fn]* Bezieht sich auf die Textesworte der Predigt.[/fn]Ja, wie wir sahen, **[fn]** Nämlich im Jahr 1704. Wo die Bataille bey Höchstätt, eben am Tage vor sich gieng, da das Kinderfriedenfest war.[/fn] hörestEh' noch der Mund des Beters schweigt:Wir bitten: Herr erhalteDen Frieden ewiglich,Dein Gottes Aufsehen walte,So treu, so väterlichStets über uns! Ach leisteUns Schutz, Gott unser Hort!Und was das allermeiste,Erhalte und dein Wort.Dank dir und Preiß und EhreAm Friedensfest, Gott unser Heil!Ihr hohe Himmels ChöreSingt mit uns: Gott ist unser Heil!Dich rühmen unsre Lieder,Gott Vater, Sohn und Geist!Der Erdkreis schalle wieder:Gott Vater, SOhn und Geist!Es ehre seinen NamenWas ferne ist und nah!Er hilft uns, Amen! Amen!Der Herr! Halleluja!MATW</t>
  </si>
  <si>
    <t xml:space="preserve">http://friedensbilder.gnm.de/sites/default/files/HB24240.tif</t>
  </si>
  <si>
    <t xml:space="preserve">Augsburger Friedensgemälde auf das Jahr 1779 und den Frieden von Teschen, Bild, HB 24240, Kapsel 1249
Augsburger Friedensgemälde auf das Jahr 1779 und den Frieden von Teschen, Text, HB 24240, Kapsel 1249</t>
  </si>
  <si>
    <t xml:space="preserve">Augsburger Friedensgemälde auf das Jahr 1779 und den Frieden von Teschen, Bild
Augsburger Friedensgemälde auf das Jahr 1779 und den Frieden von Teschen, Text</t>
  </si>
  <si>
    <t xml:space="preserve">http://friedensbilder.gnm.de/content/frieden_foto_order204e7e</t>
  </si>
  <si>
    <t xml:space="preserve">Augsburger Friedensgemälde auf das Jahr 1747</t>
  </si>
  <si>
    <t xml:space="preserve">HB 24234, Kapsel 1249</t>
  </si>
  <si>
    <t xml:space="preserve">Haid, Johann Lorenz
</t>
  </si>
  <si>
    <t xml:space="preserve">Gantet 2005
Ausst. Kat. Münster 1988a
Albrecht 1983
Ausst. Kat. Augsburg 2000</t>
  </si>
  <si>
    <t xml:space="preserve">S. 637, Kat.-Nr. IX.13 (Helmut Gier)
S. 230
S. 0114, Kat.-Nr. 96
S. 99</t>
  </si>
  <si>
    <t xml:space="preserve">24 x 31,7
54,2 x 40,8</t>
  </si>
  <si>
    <t xml:space="preserve">Joan Lorenz Haid delineavit.
Christoph Friderich Hoermann de Guttenberg sculpsit A.V.</t>
  </si>
  <si>
    <t xml:space="preserve">Das Augsburger Friedensgemälde von 1747 verweist auf den Westfälischen Frieden, dessen einhundertjähriges Jubiläum bevorstand. Dies verdeutlichen nicht zuletzt die drei Rocaillekartuschen am oberen Bildrand mit ihren Spruchbändern: "Da unsrer Kirch Gott ließ von Münster aus Westphalen, / Die Friedens Morgen-Röth voll guter Hoffnung strahlen, / Wer solt nicht schon voraus / Ihm Danck-gelübde zahlen?" Links geht die Sonne über der Stadt Münster auf und bescheint die Ansicht Augsburgs. In der Mitte ist die Taube mit dem Ölzweig zur Arche Noahs zurückkehrt und rechts ist das Dankgebet der evangelischen Schuljugend am Augsburger Hohen Friedensfest dargestellt. Diese Motive sind bereits aus der Numismatik bekannt und tauchen dort regelmäßig auf, die sonnenbeschienene Stadt in&amp;nbsp;Med Merkel 1.3.5, die Arche auf&amp;nbsp;Med Merkel 5.2.61&amp;nbsp;und der Opferaltar bei&amp;nbsp;Med Merkel 1.7.35 und&amp;nbsp;N 77/416.Der Hauptgegenstand des Bildes zeigt ähnlich der Arbeit von ter Borch (HB 192, Kapsel 1030a) und dem Beispiel des Nürnberger Exekutionstages (HB 198, Kapsel 1220) einige der Gesandten aus Münster und Osnabrück, die sich um den Verhandlungstisch versammelt haben. Bei ihrer Darstellung orientierte sich&amp;nbsp;Johann Haid an einer Porträtserie der Gesandten&amp;nbsp;aus dem 17. Jahrhundert, die den Titel&amp;nbsp;"Pacificatores orbis christiani" trägt.&amp;nbsp;[fn]Die druckgraphischen Porträts der Serie finden sich in Ausst. Kat. Münster 1988b, Kat.-Nr. 77-115. [/fn]Der bildbegleitende Text nennt verschiedene Ereignisse der Augsburger Stadtgeschichte, etwa das zweihundertjährige Zurückliegen der Zerschlagung des Schmalkaldischen Bundes, das Restitutionsedikt von 1629 und die Eroberung durch Gustav Adolph. Abschließend bietet er einen Ausblick auf das kommende Jubiläumsjahr 1748: "Wir sehen nun, Gott Lob!, dem Jubel-Jahr entgegen".ALS</t>
  </si>
  <si>
    <t xml:space="preserve">Da unsrer Kirch Gott ließ von Münster aus Westphalen / Die Friedens Morgen-Röth voll guter Hoffnung strahlen / Wer solt nicht schon voraus Ihm Danck.gelübde zahlenaspICe hIC praeLVDIapaCIs DIV eXoptataeIn ConVentV VVestphaLICo.Seht, liebste Kinder, hier desFriedens Hoffnung blühen,Und last hierdurch das HerzZum Lobe Gottes ziehen.&amp;nbsp;Firedens-Gemälde,Auf das den 8. Augusti Anno 1747. durch GOttes Gnade wiederholte Danck- und Frieden-Fest/ der EvangelischenSchul-Jugend in Augspurg den 9. Augusti ausgetheilt. Ps. 56/ 13. Ich habe dir/ GOtt/ gelobet/ daß ich dir dancken will.&amp;nbsp;SChaut, Friedens-Kinder, her, was hier auf diesem BlatDes Künstlers Hand so schön euch vorgestellet hat.Sie unten sehet ihr von Edlen ganze Schaaren,Dort, wie zum Danck-Gelübd sich Alt und Junge paaren.Was war denn wol der Zweck? Auch das ist vorgebildt,Beschauet mit Bedacht das erst- und zweite Schild.Die Morgen-Röthe hierbey Münster in WestphalenErleuchtet Augspurg ganz mit angenehmen Strahlen.Dort aus dem Vorgebürg von Sünd-Fluths-Wasser leerTrägt eine Taube frisch im Mund ein Oelblat herAuf Noäh Arche zu, die auf dem Wasser schwebte,Und machte Hofnungs voll, was da von Menschen lebte.Die Arche Noäh stellt die Kirche GOttes vor:Die Kraft, die jene trug, hielt diese auch empor,Wie jene um und um mit Wasser war umgeben:Do muste diese auch auf Trübsaals-Wassern schweben.Denn da der starcke Held * sie als ein treuer Hirt&amp;nbsp; &amp;nbsp; &amp;nbsp; &amp;nbsp; &amp;nbsp; &amp;nbsp; &amp;nbsp; &amp;nbsp; &amp;nbsp; * Jes. 9,6.Aus dicker Finsternis durch Luthers Dienst geführt:Hat das Verfolgungs-Meer sich überall erhoben,Die Wellen stürmten zu mit Wüten und mit Toben.Jetzt vor zwey hundert Jahr * war die Gefahr sehr groß,&amp;nbsp; &amp;nbsp; &amp;nbsp; &amp;nbsp;*1547Als sich die Krieges-Fluth mit Christen-Blut ergoß.Die Kirche GOttes schien den Abgrund zu erreichen,Da man der Feinde Macht die Segel muste streichen.Doch dafür wachte GOTT. Zur Rettung aus der NothTrat Er der Feinde Macht mit einmal in den Koth, *&amp;nbsp; &amp;nbsp; &amp;nbsp; &amp;nbsp; &amp;nbsp; &amp;nbsp; &amp;nbsp; &amp;nbsp; * 1552Da musten sich sogleich die stolzen Wellen legen,Und durfte sich kein Sturm kein Ungewitter regen.Das Kirchen-Schiflein gieng in Port der Freyheit ein,Genoß in Fried und Ruh der Warheit hellen Schein.Den wahren Gottes-Dienst nach der Apostel LehrenKonnt Satan wol nicht ganz, wie er versucht, verwehren;Doch zog von neuem sich nach einger Jahren Lauf *&amp;nbsp; &amp;nbsp; &amp;nbsp; &amp;nbsp; &amp;nbsp; &amp;nbsp; * 1618Ein so gefährliches als trübes Wetter auf.Es suchte sich das Reich der Finsternis zu schweingen,Mit blinder Wut den Glanz der Wahrheit zu verschlingen,Es stürmmte mit Gewalt, mit List, mit TyrannenAuf Christi Kirche zu, es schwur standhafte TreuDurch den Gewissens-Zwang dem stolzen Aberglauben,Es war, als hörte man den andern Saulum * schnauben.&amp;nbsp; &amp;nbsp; &amp;nbsp; &amp;nbsp;* Apost. Gesch. 9,1.Bey der gemeinen Noth trug Augspurg allermeistDer Grausamkeiten Last von dem Verfolgungs-Geist.Der Lehre, so allhier zur Freyheit * ward gebohren&amp;nbsp; &amp;nbsp; &amp;nbsp; &amp;nbsp; &amp;nbsp; &amp;nbsp; &amp;nbsp; &amp;nbsp; * 1555Hat der Verfolgungs-Geist den Untergang geschworen.Der arge Feind verfuhr dabey nach altem Brauch,Er richt nach Wolfes-Grimm sein Feuer speyend AugAuf arme Schaafe hin, von Hirten sie zu scheiden,Und dadurch allen Schutz und Hülfe abzuschneiden.Man gab dem Predigamt den Wander-Stab zur Hand,Und wer im Wehrstand sich zur wahren Lehr bekannt,Ward seines Ehren-Amts und aller Macht entsetzt,Und damit das Gesetz der Freyheit ganz verletzt. *&amp;nbsp; &amp;nbsp; &amp;nbsp; &amp;nbsp; &amp;nbsp; &amp;nbsp; &amp;nbsp; &amp;nbsp;* 1629War nun der Grund gelegt zu dem Gewissens-Zwang:So schrit man weiter fort, man säumte nicht lang,Den wahren Gottesdienst best möglichst auszuräuten,Und das verlaßne Volck in Abfall zu verleiten;Man nahm die Tempel weg, man schloß die Schulen zu,So gar in Häusern fand man keine sichre Ruh,Sich mit den Seinigen aus GOttes Wort zu bauen,Verwüstungs-Greuel war hier überall zu schauen;Da galt kein Flehen nicht, man nahm kein Bitten an,Man zwang bey hoher Straf auf fremde Kirchen-Bahn.Kaum aber hat der Feind das Heah * ausgeschryen,&amp;nbsp; &amp;nbsp; &amp;nbsp; &amp;nbsp; &amp;nbsp; &amp;nbsp; &amp;nbsp;* Ezech. 25, 3.Ließ GOtt die Hülfe schon aus fernen Landen blühen.Der Schweden Gideon * bringt als ein Sieges-Held&amp;nbsp; &amp;nbsp; &amp;nbsp; &amp;nbsp; &amp;nbsp; &amp;nbsp; &amp;nbsp; &amp;nbsp;* Gustav Adolph.In Augspurgs Mauern ein *, dem Feind der Muth entfällt;&amp;nbsp; &amp;nbsp; &amp;nbsp; * 1632Der wahre Gottesdienst wird wieder angerichtet,Und nach Vergeltungs-Recht der Kirche Schmach geschlichtet.Doch war das Ende nicht der Prüfungs-Zeit bestimmt,Vielmehr das Feuer noch ganz in der Asche glimmt.Kaum als der Schweden Heer die Niederlag * erlitten,&amp;nbsp; &amp;nbsp; &amp;nbsp; &amp;nbsp; &amp;nbsp; &amp;nbsp;* 1634. bey Nördlingen.Ist der erboste Feind zum alten Drang geschritten.Von neuem * hatte er Kirch Schulen weggeraft,&amp;nbsp; &amp;nbsp; &amp;nbsp; &amp;nbsp; &amp;nbsp; &amp;nbsp; &amp;nbsp; &amp;nbsp; &amp;nbsp; &amp;nbsp; &amp;nbsp;* 1635Dem theuren Predigamt das Wandern zugeschaft;Zwey Lehrer hatte noch das arme Volck erbeten,Sonst war kain Schonen nicht, so half auch kein Vertreten;Und dabey druckte noch das liebe VaterlandKrieg, Theurung, Hungers-Noth. Kein Mittel man erfand,Dem ungestümmen Meer der Krieges-Fluth zu wehren,So sehnlich als man ließ nach Frieden Wünsche hören.Doch endlich lenckte GOtt, der Frieden nimmt und gibt,Nachdem Er seine Kirch durch Trübsal lang geübt,Der Potentaten Herz auf friedliches Gesinnen,Da muste nach und nach des Krieges Fluth zerrinnen.Dem fernen Waffen-Lauf gieng * der Gesandten Heer,&amp;nbsp; &amp;nbsp; &amp;nbsp; &amp;nbsp; &amp;nbsp; * 1642Das dort entgegen sieht, mit Friedens-Rath zur Wehr;Man hofte zwar den Zweck bey Zeiten zu erreichen,Da Freund und Feind gestrebt nach adlen Friedens-Zweigen;Allein es gieng sehr hart die Friedens-Handlung fort:Doch endlich glückte es, GOtt Lob! auch unserm Ort,Wie oben vorgestellt durch helle lichte Strahlen,Die unser Augspurg schön mit Friedens-Glanz bemahlen.Wie zur Befreyung sich einst Noah Hofnung macht,Da seine Taube ihm ein Oelblatt zugebracht:So hofte unsre Kirch, sich bald erlöst zu sehen,Da Friedens-Zweige sich zu ihr von Münster drehen.Sie that schon das Gelübd mit David in der Still:Ich hab dir, GOtt, gelobt, daß ich dir dancken will,In guter Zuversicht, GOtt werde sie erhören,Ihr langes Trauren nun in volle Freude kehren.Und sihe da, ihr trägt * zu längst erwüscnter Ruh&amp;nbsp; &amp;nbsp; &amp;nbsp; &amp;nbsp; &amp;nbsp; &amp;nbsp; &amp;nbsp; &amp;nbsp; &amp;nbsp; * 1648Des Münsters Friedens-Schluß des Friedens Oelblatt zu.Nun half kein streuben mehr, der Feind muß wieder gehen,Was er geraubet hat, mit uns in Frieden leben;Gewissens-Freyheit bricht durch der Gefängnis Thür,Kirch, Schule, Predigtamt aus Trübsaals Grab herfür.Nun konnte Jeder frey ins Hauß des HErren wallen,Und hören öffentlich die reine Lehr erschallen.Bey dieser Freyheit hat uns GOtt bißher geschützt,Obwohl der Feinde Grimm noch immer auf uns blitzt.Wir sehen nun, GOtt Lob! dem Jubel-Jahr entgegen,Das soll uns billich auch zum Danck-Gelübd bewegen,Nach unsrer Väter Art, in froher Herzens-Füll:Ich hab dir, GOtt, gelobt, daß ich dir dancken will.HErr Zebaoth laß es im Frieden uns erreichen,So wird der Säugling Mund zu deinem Ruhm nicht schweigen.MATW</t>
  </si>
  <si>
    <t xml:space="preserve">http://friedensbilder.gnm.de/sites/default/files/HB24234.tif</t>
  </si>
  <si>
    <t xml:space="preserve">Augsburger Friedensgemälde auf das Jahr 1747, HB 24234, Kapsel 1249
Augsburger Friedensgemälde auf das Jahr 1747, HB 24234, Kapsel 1249</t>
  </si>
  <si>
    <t xml:space="preserve">Augsburger Friedensgemälde auf das Jahr 1747
Augsburger Friedensgemälde auf das Jahr 1747</t>
  </si>
  <si>
    <t xml:space="preserve">http://friedensbilder.gnm.de/content/frieden_foto_order204e79</t>
  </si>
  <si>
    <t xml:space="preserve">La lega degli affetti nella Pace Universale che sperasi, e nella particolare che godesi nella Provincia di Brescia</t>
  </si>
  <si>
    <t xml:space="preserve">Biblioteca Nazionale Braidense</t>
  </si>
  <si>
    <t xml:space="preserve">Mailand</t>
  </si>
  <si>
    <t xml:space="preserve">Corniani Algarotti Racc. Dramm. 5598</t>
  </si>
  <si>
    <t xml:space="preserve">Rizzardi, Giammaria</t>
  </si>
  <si>
    <t xml:space="preserve">Brescia</t>
  </si>
  <si>
    <t xml:space="preserve">http://www.urfm.braidense.it/rd/05598.pdf</t>
  </si>
  <si>
    <t xml:space="preserve">MUS0319441</t>
  </si>
  <si>
    <t xml:space="preserve">Pastorale intrecciata di Esercizi Cavallereschi</t>
  </si>
  <si>
    <t xml:space="preserve">Nella stamperia di Gio: Maria Rizzardi</t>
  </si>
  <si>
    <t xml:space="preserve">http://friedensbilder.gnm.de/sites/default/files/Antiporta RACC. DRAMM. 5598.jpg
http://friedensbilder.gnm.de/sites/default/files/Frontespizio RACC. DRAMM. 5598.jpg</t>
  </si>
  <si>
    <t xml:space="preserve">La lega degli affetti nella Pace Universale che sperasi, e nella particolare che godesi nella Provincia di Brescia, Corniani Algarotti Racc. Dramm. 5598</t>
  </si>
  <si>
    <t xml:space="preserve">https://friedensbilder-neu.gnm.de/sites/default/files/2019-06/Antiporta-RACC.-DRAMM_5598_0.png
https://friedensbilder-neu.gnm.de/sites/default/files/2019-06/Frontespizio-RACC.-DRAMM1.png</t>
  </si>
  <si>
    <t xml:space="preserve">http://friedensbilder.gnm.de/content/frieden_foto_order1df69a</t>
  </si>
  <si>
    <t xml:space="preserve">Sacer Janus quadrifrons tribus vocibus vel duabus qualibet praetermissa modulandus</t>
  </si>
  <si>
    <t xml:space="preserve">Museo internazionale e Biblioteca della musica</t>
  </si>
  <si>
    <t xml:space="preserve">Bologna</t>
  </si>
  <si>
    <t xml:space="preserve">BB.356 </t>
  </si>
  <si>
    <t xml:space="preserve">Jaekelin, Johannes</t>
  </si>
  <si>
    <t xml:space="preserve">http://www.bibliotecamusica.it/cmbm/viewschedatwbca.asp?path=/cmbm/images/ripro/gaspari/BB/BB356/</t>
  </si>
  <si>
    <t xml:space="preserve">Typis Joannis Jaeklini, Electoralis Bibliopolae &amp; Typographi</t>
  </si>
  <si>
    <t xml:space="preserve">Sacer Janus Quadrifrons tribus vocibus vel duabus qualibet praetermissa modulandus, BB.356 </t>
  </si>
  <si>
    <t xml:space="preserve">Sacer Janus Quadrifrons tribus vocibus vel duabus qualibet praetermissa modulandus</t>
  </si>
  <si>
    <t xml:space="preserve">http://friedensbilder.gnm.de/content/frieden_object85ea6
http://friedensbilder.gnm.de/content/frieden_object86050
http://friedensbilder.gnm.de/content/frieden_object86515</t>
  </si>
  <si>
    <t xml:space="preserve">Qui Pacem amatis</t>
  </si>
  <si>
    <t xml:space="preserve">BB.356.1</t>
  </si>
  <si>
    <t xml:space="preserve">Steffani, Agostino</t>
  </si>
  <si>
    <t xml:space="preserve">Motette</t>
  </si>
  <si>
    <t xml:space="preserve">pro omni tempore</t>
  </si>
  <si>
    <t xml:space="preserve">Typis Joannis Jaekelini, Electoralis Bibliopolae &amp; Typographi</t>
  </si>
  <si>
    <t xml:space="preserve">Qui pacem amatisIam bella parate;pugnando, certandoquietem sperate.&amp;nbsp;Nunquam erit in pace locus,o mortalis,nisi mundo devicto,inferno superato.Sparso nubium horrore,longe turbinis terrore,tunc ridebit solis fax.Si potentes debellatiCadent hostes profligati,tunc regnabit alma pax.&amp;nbsp;Eia surgite fideles,prompti iam bella movete;tubae, praelia ciete,inimicus disperdatur,sine pugna pax non datur.&amp;nbsp;Si tranquilla ridet undaGemmis manet infecunda;si procellis agitatur,spuma gemmis coronatur;sine pugna pax non datur.&amp;nbsp;Pax est munus bellatoris, contra hostes arma sonent;fremat ira, tela tonent,prodit pax sinu furoris.&amp;nbsp;&amp;nbsp;&amp;nbsp;</t>
  </si>
  <si>
    <t xml:space="preserve">Qui pacem amatis, BB.356.1</t>
  </si>
  <si>
    <t xml:space="preserve">Qui pacem amatis</t>
  </si>
  <si>
    <t xml:space="preserve">Sonitus armorum</t>
  </si>
  <si>
    <t xml:space="preserve">BB.356.2</t>
  </si>
  <si>
    <t xml:space="preserve">De Beata Virginem</t>
  </si>
  <si>
    <t xml:space="preserve">Typis Joannis Jaeklini, Electoralis Bibliopolae &amp; Typographi </t>
  </si>
  <si>
    <t xml:space="preserve">Sonitus armorum,Robur inimicorum,Undique turbant affligunt nos.Bella iam premunt hostilia,Succurre cadenti, o superni filia.&amp;nbsp;Adiutorium nostrum in nomine tuo,O virgo potentissima;Afflictos ricrea,Oppressos elevas,Mortalis longe a te non est iucundus.Aura sola Mariae respirat mundus.&amp;nbsp;Si decora es Aurora,Pelle cordibus orrore,Belli dissipa terrores.Si tu nix extingue facem,Da nostris in diebus, virgo, pacem.Si coelum fulminet, archum non timeo;Si mundus corruat,Strages irride.O iratus, armatus,Decertet contra me infernus totus&amp;nbsp;;Sub virginia tutela ero immotus.&amp;nbsp;O campi flos,O coeli ros,O maris stella&amp;nbsp;;Opem fer,Pacem da,Contere bella.</t>
  </si>
  <si>
    <t xml:space="preserve">Sonitus armorum, BB.356.2</t>
  </si>
  <si>
    <t xml:space="preserve">Venite, exultemus</t>
  </si>
  <si>
    <t xml:space="preserve">BB.356.3 </t>
  </si>
  <si>
    <t xml:space="preserve">Venite, exultemus,cantemus, iubilemus;invenimus hac die mulierem fortemhoc mortale abiiciens velum;summum hodie scandit coelum.Canunt angeli laetantes,celebrantes eius sortem.&amp;nbsp;Multae filiae congregaverunt divitias,haec supergressa est universas;dives haec misericordiae,dives fidei et castitatis.Prodit ante thronum gloriae,muneribus onusta pietatis.&amp;nbsp;Fallax gratiaet vana est pulchritudo;mulier timens Deumipsa laudabitur.Hanc aemulamini, filiae;psallentes, hanc collaudamini, dicentes:«Haec vera gratia quae nunquam deficit,haec pulchritudo quae nunquam labitur».&amp;nbsp;Mulier sancta, mulier fortis,quae aeterna vita gaudes;dum cantamus tibi laudes,precibus frangenostrae vincla mortis.&amp;nbsp;O decus sanctarum,o flos viduarum,o astrum coeleste;defende nos a bello,a fame, a peste.&amp;nbsp;</t>
  </si>
  <si>
    <t xml:space="preserve">Venite, exultemus, BB.356.3 </t>
  </si>
  <si>
    <t xml:space="preserve">Non cessate aquiloni, io voglio guerra</t>
  </si>
  <si>
    <t xml:space="preserve">Central Library, Henry Watson Music Library</t>
  </si>
  <si>
    <t xml:space="preserve">Manchester</t>
  </si>
  <si>
    <t xml:space="preserve">Ms. Q544 Bk51.1</t>
  </si>
  <si>
    <t xml:space="preserve">Abschreiber
Komponist</t>
  </si>
  <si>
    <t xml:space="preserve">Cesarini, Carlo Francesco</t>
  </si>
  <si>
    <t xml:space="preserve">Pelliccia 2017
Luccichenti 2001</t>
  </si>
  <si>
    <t xml:space="preserve">https://opac.rism.info/search?id=806549883</t>
  </si>
  <si>
    <t xml:space="preserve">http://cantataitaliana.it/query_bid.php?id=1404</t>
  </si>
  <si>
    <t xml:space="preserve">Cantate e duetti</t>
  </si>
  <si>
    <t xml:space="preserve">Non cessate aquiloni, io voglio guerra, Ms. Q544 Bk51.1</t>
  </si>
  <si>
    <t xml:space="preserve">Ms. Q544 Bk51</t>
  </si>
  <si>
    <t xml:space="preserve">Abschreiber
Vorbesitzer</t>
  </si>
  <si>
    <t xml:space="preserve">Ottoboni, Pietro</t>
  </si>
  <si>
    <t xml:space="preserve">https://opac.rism.info/search?id=806549872</t>
  </si>
  <si>
    <t xml:space="preserve">http://cantataitaliana.it/query_bid.php?id=1403</t>
  </si>
  <si>
    <t xml:space="preserve">Intermedio</t>
  </si>
  <si>
    <t xml:space="preserve">http://friedensbilder.gnm.de/content/frieden_object869ac</t>
  </si>
  <si>
    <t xml:space="preserve">Musik (Druck)</t>
  </si>
  <si>
    <t xml:space="preserve">Kayserliche Friedens-Post</t>
  </si>
  <si>
    <t xml:space="preserve">M C/90</t>
  </si>
  <si>
    <t xml:space="preserve">Textdichter
Komponist</t>
  </si>
  <si>
    <t xml:space="preserve">König, Johann Ulrich von
Keiser, Reinhard</t>
  </si>
  <si>
    <t xml:space="preserve">Benjamin Schillers Witwe</t>
  </si>
  <si>
    <t xml:space="preserve">Drauschke 2012b
Mattheson 1728
Marx 1995
Drauschke 2004</t>
  </si>
  <si>
    <t xml:space="preserve">S. VII–XIV
S. 189
S. 375</t>
  </si>
  <si>
    <t xml:space="preserve">https://opac.rism.info/search?id=00000990033087</t>
  </si>
  <si>
    <t xml:space="preserve">http://digitalisate.sub.uni-hamburg.de/nc/detail.html?tx_dlf%5Bid%5D=14369&amp;tx_dlf%5Bpage%5D=1&amp;tx_dlf%5Bpointer%5D=0</t>
  </si>
  <si>
    <t xml:space="preserve">Chiara Pelliccia, Sabine Ehrmann-Herfort / Kathrin Fischeidl</t>
  </si>
  <si>
    <t xml:space="preserve">nebst verschiendenen moralischen Sing-Gedichten und Arien; Mit allen darzugehörigen Instrumenten gesetzt</t>
  </si>
  <si>
    <t xml:space="preserve">http://friedensbilder.gnm.de/sites/default/files/M_C_90_01.tif
http://friedensbilder.gnm.de/sites/default/files/M_C_90_02.tif
http://friedensbilder.gnm.de/sites/default/files/M_C_90_03.tif
http://friedensbilder.gnm.de/sites/default/files/M_C_90_04.tif
http://friedensbilder.gnm.de/sites/default/files/M_C_90_05.tif
http://friedensbilder.gnm.de/sites/default/files/M_C_90_06.tif</t>
  </si>
  <si>
    <t xml:space="preserve">Der in Hamburg wirkende Komponist und Opernimpresario Reinhard Keiser (1674–1739) hat die Friedensthematik im Umfeld des Friedens von Baden 1714 mehrfach in unterschiedlichen Aufführungskontexten thematisiert.Seine „Kantate“ „Kayserliche Friedens-Post“ auf einen Text von Johann Ulrich König wird in einer Festveranstaltung aus Anlass des Friedensschlusses von Baden und zugleich am Namenstag von Karl VI. im Hause des Kaiserlichen Gesandten in Hamburg, des Freiherrn Theobald Joseph von Kurtzrock, aufgeführt. In dessen Haus hat man eigens für diesen Zweck ein Theater errichtet, auf dem Keisers halb gesungenes und halb gesprochenes Stück gegeben wird. Auf den Friedensschluss von Baden nehmen offenbar Prolog und Epilog Bezug, wobei nur der Prolog erhalten ist. Nach der Präsentation des Schauspiels mit Musik wird ein festliches Abendbankett veranstaltet, ehe das Fest mit einem rauschenden Ball ausklingt.An Keisers Werk ist hervorzuheben, dass die Aufführung im Haus des kaiserlichen Diplomaten Kurtzrock in Anwesenheit von Adel und politischen Vertretern aus Hamburg und Umgebung in einem halb-öffentlichen Rahmen stattfindet. Es handelt sich also nicht um ein bürgerliches Friedensfest. Offenbar wird das Stück in einem extra dafür errichteten Theater aufgeführt. Der hier gefeierte Frieden wird mit dem kaiserlichen Namenstag verknüpft, das Stück ist Karl VI. gewidmet. Das Vorwort spricht deshalb von einer „doppelten Gelegenheit“.In der ersten Aria des Prologo, „Auf! zur Lust! Auf zum Scherz!“, wird der Frieden als Schweigen der Waffen, als „glücklicher Stillstand“ komponiert, indem musikalisch nicht eben viel passiert, außer Motivwiederholungen, Pausen und einem lange ausgehaltenen Ton in den ebenfalls unisono spielenden Instrumenten.Im dritten Stück des Prologo, der Aria a soprano e baritono con tutti gl’istromenti unisoni („Gott, der durch Carl den Frieden uns gegeben“) singen über dem Generalbass Soprano und Baritono im Duett, die begleitenden Instrumente spielen wiederum unisono durchgängige Sechzehntelketten mit (Oktav-)Sprüngen und hämmernden Tonrepetitionen.SEH</t>
  </si>
  <si>
    <t xml:space="preserve">Kayserliche Friedens-Post, M C/90</t>
  </si>
  <si>
    <t xml:space="preserve">https://friedensbilder-neu.gnm.de/sites/default/files/2019-06/M_C_90_01.png
https://friedensbilder-neu.gnm.de/sites/default/files/2019-06/M_C_90_02.png
https://friedensbilder-neu.gnm.de/sites/default/files/2019-06/M_C_90_03.png
https://friedensbilder-neu.gnm.de/sites/default/files/2019-06/M_C_90_04.png
https://friedensbilder-neu.gnm.de/sites/default/files/2019-06/M_C_90_05.png
https://friedensbilder-neu.gnm.de/sites/default/files/2019-06/M_C_90_06.png</t>
  </si>
  <si>
    <t xml:space="preserve">http://friedensbilder.gnm.de/content/frieden_foto_order1df225</t>
  </si>
  <si>
    <t xml:space="preserve">Antwort Auff Irenicam Concionem Oder Friedpredigt des Hoffpredigers zu Cassel</t>
  </si>
  <si>
    <t xml:space="preserve">C 349.4° Helmst. (2)</t>
  </si>
  <si>
    <t xml:space="preserve">Tuckermann, Peter
Holwein, Elias</t>
  </si>
  <si>
    <t xml:space="preserve">23:274790Y</t>
  </si>
  <si>
    <t xml:space="preserve">http://diglib.hab.de/drucke/c-349-4f-helmst-2s/start.htm</t>
  </si>
  <si>
    <t xml:space="preserve">[11] Bl.</t>
  </si>
  <si>
    <t xml:space="preserve">Gedruckt zu Wolfenbüttel/ Durch Eliam/ Fr. Br. Buchdrucker vnd Formschneider/ Im Jahr/ 1619.</t>
  </si>
  <si>
    <t xml:space="preserve">Keine Predigt, sondern eine Streitschrift als Antwort auf die Predigt "Concio Irenica" des Hessen-Kasselischen Hofpredigers Paul Steinius/Stein.</t>
  </si>
  <si>
    <t xml:space="preserve">http://friedensbilder.gnm.de/sites/default/files/Tuckermann.jpg</t>
  </si>
  <si>
    <t xml:space="preserve">Redaktion:GND-Verknüpfung; Anlass: Antwortschrift?&amp;nbsp;&amp;nbsp;</t>
  </si>
  <si>
    <t xml:space="preserve">Antwort Auff Irenicam Concionem Oder Friedpredigt des Hoffpredigers zu Cassel, C 349.4° Helmst. (2)</t>
  </si>
  <si>
    <t xml:space="preserve">http://friedensbilder.gnm.de/content/frieden_foto_order17f9b5</t>
  </si>
  <si>
    <t xml:space="preserve">Er wünschet den Frieden zum neuen Jahr</t>
  </si>
  <si>
    <t xml:space="preserve">Otto-von-Guericke-Universitätsbibliothek</t>
  </si>
  <si>
    <t xml:space="preserve">F/R 40 63.47 (1)</t>
  </si>
  <si>
    <t xml:space="preserve">Morhof, Daniel Georg</t>
  </si>
  <si>
    <t xml:space="preserve">Tränen des Vaterlandes</t>
  </si>
  <si>
    <t xml:space="preserve">232-234</t>
  </si>
  <si>
    <t xml:space="preserve">Er wünschet den Frieden zum neuen Jahr, F/R 40 63.47 (1)</t>
  </si>
  <si>
    <t xml:space="preserve">F/R 40 63.47</t>
  </si>
  <si>
    <t xml:space="preserve">Becher, Johannes R.</t>
  </si>
  <si>
    <t xml:space="preserve">Deutsche Dichtung aus dem 16. und 17. Jahrhundert</t>
  </si>
  <si>
    <t xml:space="preserve">12726664X</t>
  </si>
  <si>
    <t xml:space="preserve">http://friedensbilder.gnm.de/content/frieden_objecta33f6
http://friedensbilder.gnm.de/content/frieden_objecta4845
http://friedensbilder.gnm.de/content/frieden_object16493d</t>
  </si>
  <si>
    <t xml:space="preserve">Der Mit Gerechtigkeit sich küssende Friede Unter der So preißwuerdigst-als glückseligsten LandesRegierung Des Durchlauchtigsten Fürsten und Herrn Hn. Wilhelm Ernstens, Herzogs zu Sachsen/ Jülich/ Cleve und Berg</t>
  </si>
  <si>
    <t xml:space="preserve">Huld C 57</t>
  </si>
  <si>
    <t xml:space="preserve">Franck, Salomo
Werther, Johann David</t>
  </si>
  <si>
    <t xml:space="preserve">32:623516U</t>
  </si>
  <si>
    <t xml:space="preserve">2 Bl.</t>
  </si>
  <si>
    <t xml:space="preserve">Bey Sr. HochFürstl. Durchl. am 19. Octob. 1698. ... eingetretenen ... Gebuhrts-Tage, ... / vorgestellet von Salomon Francken, Secret. Saxo-Jenens.</t>
  </si>
  <si>
    <t xml:space="preserve">536767408 </t>
  </si>
  <si>
    <t xml:space="preserve">http://friedensbilder.gnm.de/sites/default/files/Huld_C57_0001.jpg
http://friedensbilder.gnm.de/sites/default/files/Huld_C57_0002.jpg
http://friedensbilder.gnm.de/sites/default/files/Huld_C57_0003.jpg
http://friedensbilder.gnm.de/sites/default/files/Huld_C57_0004.jpg</t>
  </si>
  <si>
    <t xml:space="preserve">Der Mit Gerechtigkeit sich küssende Friede, Huld C 57</t>
  </si>
  <si>
    <t xml:space="preserve">Der Mit Gerechtigkeit sich küssende Friede</t>
  </si>
  <si>
    <t xml:space="preserve">Friedenreiches Freudenlied</t>
  </si>
  <si>
    <t xml:space="preserve">F/R 40 63.47 (2)</t>
  </si>
  <si>
    <t xml:space="preserve">Rinckart, Martin</t>
  </si>
  <si>
    <t xml:space="preserve">29-30</t>
  </si>
  <si>
    <t xml:space="preserve">http://friedensbilder.gnm.de/sites/default/files/Rinckart_Friedenreiches Freudenlied.pdf</t>
  </si>
  <si>
    <t xml:space="preserve">Friedenreiches Freudenlied, F/R 40 63.47 (2)</t>
  </si>
  <si>
    <t xml:space="preserve">ES IST FRIED/ Psalm 46 v.6.7.</t>
  </si>
  <si>
    <t xml:space="preserve">HB 14259, Kapsel 1220</t>
  </si>
  <si>
    <t xml:space="preserve">Wäscher
Paas</t>
  </si>
  <si>
    <t xml:space="preserve">Bd. I, Nr. 51
Bd. VII, S. 339, Nr. 2208</t>
  </si>
  <si>
    <t xml:space="preserve">http://daten.digitale-sammlungen.de/~db/0009/bsb00099478/images/</t>
  </si>
  <si>
    <t xml:space="preserve">29,2 x 36,5
11,3 x 14,7</t>
  </si>
  <si>
    <t xml:space="preserve">Einbl. V,8 a-101</t>
  </si>
  <si>
    <t xml:space="preserve">Kommet her und schawet die Werck deß HErren/ der auff Erden solch Zerstören anrichtet/ der den Kriegen stewret inaller Welt/ der Bogen zerbricht/ Spieß zerschlägt, und Wägen mit Fewr verbrennet.</t>
  </si>
  <si>
    <t xml:space="preserve">Allen Christlichen und friedliebenden Hertzen dedicirt und uberschrieben/ durch Matthaeum Rembolden/ Kupfferstechern in Ulm/ 1648.</t>
  </si>
  <si>
    <t xml:space="preserve">Die kleine Abbildung zeigt den Frieden in der rechten Bildecke (typisch als Frauenfigur). In der linken Hand hat er einen Ölzweig, in der rechten eine Fahne mit einem Lorbeerkranz darauf. Mit einem Bein steht er auf einem gefallenen Soldaten. Im Vordergrund sieht man eindeutige Attribute des Krieges (Pauke, Trompete, zerbrochene Waffen am Boden), während im Hintergrund Attribute des Friedens dargestellt werden (Felder voller Ähren, Bauern, die das Feld bestellen). Aus der linken oberen Ecke sieht man Gott, wie er den Frieden auf die Erde schickt.Der Text besteht aus vier Teilen. Diese werden wie folgt gegliedert: Friedensspruch, Freudenspruch, Lobspruch (Psalme) und Bußspruch (Bibelstellen).FB</t>
  </si>
  <si>
    <t xml:space="preserve">http://friedensbilder.gnm.de/sites/default/files/HB14259_0.tif</t>
  </si>
  <si>
    <t xml:space="preserve">ES IST FRIED/ Psalm 46 v.6.7., HB 14259, Kapsel 1220
ES IST FRIED/ Psalm 46 v.6.7., HB 14259, Kapsel 1220</t>
  </si>
  <si>
    <t xml:space="preserve">ES IST FRIED/ Psalm 46 v.6.7.
ES IST FRIED/ Psalm 46 v.6.7.</t>
  </si>
  <si>
    <t xml:space="preserve">http://friedensbilder.gnm.de/content/frieden_foto_order204edd</t>
  </si>
  <si>
    <t xml:space="preserve">Friedens Lob- und Krieges Leidgesang</t>
  </si>
  <si>
    <t xml:space="preserve">Lo 4959</t>
  </si>
  <si>
    <t xml:space="preserve">Scultetus, Andreas</t>
  </si>
  <si>
    <t xml:space="preserve">8 P GERM II, 5326</t>
  </si>
  <si>
    <t xml:space="preserve">M. Johann Gottlieb Jachmanns Nachlese zu den vom Herrn Lessing aufgefundenen Gedichten des Andreas Scultetus </t>
  </si>
  <si>
    <t xml:space="preserve">Nach dem Gedicht kommt noch eine Art Nachwort mit den Titel Über dieses Krieg- und Friedens-Lied.Die Gedichte von Andreas Scultetus gerieten bei den Zeitgenosschen scheinbar schnell in Vergessenheit. Zeitgenössische Drucke scheinen nicht vorhanden zu sein. So wurden sie erst 1771 von Lessing ediert. Dazu gibt es drei Nachdrucke. Zum einen der hier vorliegende von Jachmann, die Veröffentlichung ausgewählter Gedichte in der Zeitschrift "Neue literarische Unterhaltungen" von Samuel Benjamin Klose (1774) und die letzt 1783 von Hieronymus Scholtz. </t>
  </si>
  <si>
    <t xml:space="preserve">http://friedensbilder.gnm.de/sites/default/files/Friedens Lob und Krieges Leidgesang_Scultetus.pdf</t>
  </si>
  <si>
    <t xml:space="preserve">Friedens Lob- und Krieges Leidgesang, Lo 4959</t>
  </si>
  <si>
    <t xml:space="preserve">Herausgeber
Drucker</t>
  </si>
  <si>
    <t xml:space="preserve">Jachmann, Johann Gottlieb
Korn, Wilhelm Gottlieb</t>
  </si>
  <si>
    <t xml:space="preserve">https://gdz.sub.uni-goettingen.de/id/PPN636331350</t>
  </si>
  <si>
    <t xml:space="preserve">Breslau, bey Wilhelm Gottlieb Korn. 1774. </t>
  </si>
  <si>
    <t xml:space="preserve">https://gdz.sub.uni-goettingen.de/id/PPN636331350?tify={%22pages%22:[7],%22view%22:%22toc%22}</t>
  </si>
  <si>
    <t xml:space="preserve">http://friedensbilder.gnm.de/content/frieden_objecta4df0</t>
  </si>
  <si>
    <t xml:space="preserve">Triumphus Pacis = Friedens Triumph</t>
  </si>
  <si>
    <t xml:space="preserve">IH 249.1</t>
  </si>
  <si>
    <t xml:space="preserve">Bd. II, S. 329</t>
  </si>
  <si>
    <t xml:space="preserve">Triumphus Pacis = Friedens Triumph, IH 249.1</t>
  </si>
  <si>
    <t xml:space="preserve">Kriegs vnd Friedens Spiegel. Das ist: Christliche/ Teutsche vnd wolgemeinte Erinnerung an alle Kriegs- vnd Frieden liebende Menschen/ </t>
  </si>
  <si>
    <t xml:space="preserve">A: 34.6 Pol. (2)</t>
  </si>
  <si>
    <t xml:space="preserve">Rist, Johann
Härtel, Zacharias, der Ältere
Rebenlein, Jacob</t>
  </si>
  <si>
    <t xml:space="preserve">14:005762W</t>
  </si>
  <si>
    <t xml:space="preserve">Xb 10318 (1)</t>
  </si>
  <si>
    <t xml:space="preserve">67 Bl.</t>
  </si>
  <si>
    <t xml:space="preserve">insonderheit aber an sein vielgeliebtes Vater-Land Holstein : Worinnen die abschewliche grewel des blutigen Krieges/ denn auch die männigfaltige Süssigkeiten des güldenen Friedens/ außführlich werden beschrieben ...</t>
  </si>
  <si>
    <t xml:space="preserve">Die Ausgabe der Sigantur Xb 10318 hat ein Titelkupfer, welches die Personifikationen von Pax und Bellum darstellen.Die Verse sind nummeriert; eine "Erklärung oder Außlegung der frembden Wörter und Nahmen / für die Einfältigen" ist angefügt.</t>
  </si>
  <si>
    <t xml:space="preserve">http://diglib.hab.de/drucke/qun-275-17/00001.jpg</t>
  </si>
  <si>
    <t xml:space="preserve">Signatur Titelkupfer:&amp;nbsp; Johan Koch. Norib. Sculpt: Hamburg</t>
  </si>
  <si>
    <t xml:space="preserve">Kriegs vnd Friedens Spiegel., A: 34.6 Pol. (2)</t>
  </si>
  <si>
    <t xml:space="preserve">Kriegs vnd Friedens Spiegel.</t>
  </si>
  <si>
    <t xml:space="preserve">Irenaromachia Das ist Eine Newe Tragico-comaedia Von Fried unnd Krieg</t>
  </si>
  <si>
    <t xml:space="preserve">Scrin A/2029</t>
  </si>
  <si>
    <t xml:space="preserve">Rist, Johann
Stapel, Ernst
Rebenlein, Jacob</t>
  </si>
  <si>
    <t xml:space="preserve">23:285322D</t>
  </si>
  <si>
    <t xml:space="preserve">http://resolver.sub.uni-hamburg.de/goobi/PPN727653512</t>
  </si>
  <si>
    <t xml:space="preserve">A: 84.2 Eth. (2)</t>
  </si>
  <si>
    <t xml:space="preserve">Franziska Bauer/Henning Jürgens</t>
  </si>
  <si>
    <t xml:space="preserve">Acta Hamburgi, Anno M.DC.XXX.</t>
  </si>
  <si>
    <t xml:space="preserve">53548075X</t>
  </si>
  <si>
    <t xml:space="preserve">Irenaromachia Das ist Eine Newe Tragico-comaedia Von Fried unnd Krieg, Scrin A/2029</t>
  </si>
  <si>
    <t xml:space="preserve">Auf die Hundertjahrfeier des Westfälischen Friedens 1748</t>
  </si>
  <si>
    <t xml:space="preserve">Med Merkel 1.3.5</t>
  </si>
  <si>
    <t xml:space="preserve">Ausst. Kat. Münster 1988a
Schnell 1983
Pax in Nummis 1913
Ausst. Kat. Osnabrück 1986</t>
  </si>
  <si>
    <t xml:space="preserve">S. 233, Kat.-Nr. 234
S. 336, Nr. 529
S. 144, Nr. 582
S. 65</t>
  </si>
  <si>
    <t xml:space="preserve">11,48
32</t>
  </si>
  <si>
    <t xml:space="preserve">http://friedensbilder.gnm.de/sites/default/files/Avers.tif
http://friedensbilder.gnm.de/sites/default/files/Revers.tif</t>
  </si>
  <si>
    <t xml:space="preserve">im Brozatus-Kat noch nachsehen ob darin!</t>
  </si>
  <si>
    <t xml:space="preserve">http://friedensbilder.gnm.de/content/frieden_foto_order204e56</t>
  </si>
  <si>
    <t xml:space="preserve">M. Israelis Clauderi, Altenburgensis, Epos De Pace, Germaniae Postliminio Restituta : Frequente Panegyri, Amplissimo Academicorum Patrum Consessu, Florentissimaque Studiosae Iuventutis Corona Auscultante, Athenis Salanis XI. Kal. Aug. A. O. R. MDCL. Decantatum</t>
  </si>
  <si>
    <t xml:space="preserve">Phil 4° 00218/03 (06)</t>
  </si>
  <si>
    <t xml:space="preserve">Clauder, Israel
Kämpf, Christian Lorenz</t>
  </si>
  <si>
    <t xml:space="preserve">39:160330Q</t>
  </si>
  <si>
    <t xml:space="preserve">Der Deutschen Dreyßig-Jähriger Krjeg.</t>
  </si>
  <si>
    <t xml:space="preserve">8 P GERM II, 8365</t>
  </si>
  <si>
    <t xml:space="preserve">Greflinger, Georg</t>
  </si>
  <si>
    <t xml:space="preserve">23:272349D</t>
  </si>
  <si>
    <t xml:space="preserve">http://gdz.sub.uni-goettingen.de/dms/load/img/?PID=PPN719688256|LOG_0001&amp;physid=PHYS_0001</t>
  </si>
  <si>
    <t xml:space="preserve">75 Bl.</t>
  </si>
  <si>
    <t xml:space="preserve">Poetisch erzählet durch Celadon von der Donau.</t>
  </si>
  <si>
    <t xml:space="preserve">http://friedensbilder.gnm.de/sites/default/files/Greflinger.jpg</t>
  </si>
  <si>
    <t xml:space="preserve">Der Deutschen Dreyßig-Jähriger Krjeg., 8 P GERM II, 8365</t>
  </si>
  <si>
    <t xml:space="preserve">Neuer Friede Friede sey! / mit Herrn Friedrich Wilhelmen Markgraffen zu Brandenburg, mit Frauen Louysen ... wündschet dero neugebornes Söhnlein Friedrich </t>
  </si>
  <si>
    <t xml:space="preserve">Hist.Boruss.28,misc.1</t>
  </si>
  <si>
    <t xml:space="preserve">Böher, Caspar</t>
  </si>
  <si>
    <t xml:space="preserve">NewerFriede Friede sey!MitDem Durchlauchtigsten Fürsten und HerrnHerrnFriedrich Wilhelmen/Marggraffen zu Brandenburg/ des HeiligenRömischen Reichs Ertz=Cämmerer und Churfüsten/etc. etc. etc.Seinen Gnädigsten Herrn Vater/MitDer Durchlauchtigsten Fürstinn und FrawenFrawenLOUISEN/Marggräffinn und Churfürstinn zu Ouranien/etc. etc. etc.Seiner Gnädigsten Fraw Mutter/WünschetDeroVon GOTTes Gnade NewgebohrnesPrintzlein und SöhnleinFriedrichDurchS. Unterthänigsten DienerCaspar Böher&amp;nbsp;&amp;nbsp;S.3 Gott lob! Ich bin nun hier. Gott lob! Ich bin gebohren.Seht Vater! Mutter seht! Du Preussen/nim zu OhrenDie angenehme Post! Schrey/ Selig ist der Tag/Da man das süsse Kind das Printzlein sehen mag![…]O! GOTT ist unser GOTT/ Laßt unsre helle StimmenDem Herrn zu Ruhm und Preiß durch alle Himmel klimmen:&amp;nbsp;&amp;nbsp;&amp;nbsp;&amp;nbsp;&amp;nbsp;&amp;nbsp;&amp;nbsp;&amp;nbsp;&amp;nbsp;&amp;nbsp;&amp;nbsp;&amp;nbsp;&amp;nbsp;&amp;nbsp; Wie gnädig gnädig ist/ wie gnädig unser GOTT/&amp;nbsp;&amp;nbsp;&amp;nbsp;&amp;nbsp;&amp;nbsp;&amp;nbsp;&amp;nbsp;&amp;nbsp;&amp;nbsp;&amp;nbsp;&amp;nbsp;&amp;nbsp;&amp;nbsp;&amp;nbsp; Der uns ein Printzlein schenckt un solcher&amp;nbsp; KriegesNoth!GOTT hat uns angesehn/ GOTT woll auch langes LebenDem Landes=Herrn/ der Fraw und Beeden Printzen geben.&amp;nbsp;&amp;nbsp;&amp;nbsp;&amp;nbsp;&amp;nbsp;&amp;nbsp;&amp;nbsp;&amp;nbsp;&amp;nbsp;&amp;nbsp;&amp;nbsp;&amp;nbsp;&amp;nbsp;&amp;nbsp; GOTT geb uns allen Fried: in jedem Stand und Ampt/&amp;nbsp;&amp;nbsp;&amp;nbsp;&amp;nbsp;&amp;nbsp;&amp;nbsp;&amp;nbsp;&amp;nbsp;&amp;nbsp;&amp;nbsp;&amp;nbsp;&amp;nbsp;&amp;nbsp;&amp;nbsp; Wünscht Herr/ und Knecht/ die Fraw/ die Magd/ un Allesampt.Das wündsch ich Printzlein auch/ und daß die wilden Flammen/Die über unsern Kopff nun schlagen fast zusammen/&amp;nbsp;&amp;nbsp;&amp;nbsp;&amp;nbsp;&amp;nbsp;&amp;nbsp;&amp;nbsp;&amp;nbsp;&amp;nbsp;&amp;nbsp;&amp;nbsp;&amp;nbsp;&amp;nbsp;&amp;nbsp; Zerstreuet würden bald. Daß Harnisch/ Spieß und Schwerdt&amp;nbsp;&amp;nbsp;&amp;nbsp;&amp;nbsp;&amp;nbsp;&amp;nbsp;&amp;nbsp;&amp;nbsp;&amp;nbsp;&amp;nbsp;&amp;nbsp;&amp;nbsp;&amp;nbsp;&amp;nbsp; Würd/ o gelobter GOTT/ in solches Zeug verkehrt/Das man zum Acker braucht.&amp;nbsp; Ach das in grosser SummenEinmahl die Alte Ruh und Hause wolte kommen.&amp;nbsp;&amp;nbsp;&amp;nbsp;&amp;nbsp;&amp;nbsp;&amp;nbsp;&amp;nbsp;&amp;nbsp;&amp;nbsp;&amp;nbsp;&amp;nbsp;&amp;nbsp;&amp;nbsp;&amp;nbsp; Ach daß dir/ Preussen/ daß durch Gottes starcke Hand&amp;nbsp;&amp;nbsp;&amp;nbsp;&amp;nbsp;&amp;nbsp;&amp;nbsp;&amp;nbsp;&amp;nbsp;&amp;nbsp;&amp;nbsp;&amp;nbsp;&amp;nbsp;&amp;nbsp;&amp;nbsp; Des Friedens Ewigkeit dir würde zugewandt!Mag dann das Blut/ daß man sieht allenthalben fliessenDie wilde Fewers=Brunst des Krieges nicht ausgiessen/&amp;nbsp;&amp;nbsp;&amp;nbsp;&amp;nbsp;&amp;nbsp;&amp;nbsp;&amp;nbsp;&amp;nbsp;&amp;nbsp;&amp;nbsp;&amp;nbsp;&amp;nbsp;&amp;nbsp;&amp;nbsp; Die über dich ergeht? Steckt denn der Pohl noch nichtDen tollen Sebel ein? Ermordet er und sticht?[…]Der Tytirus kan nicht bey seiner Heerde ligen/Und Corydon nicht mehr sein Feld und Acker pflügen:&amp;nbsp;&amp;nbsp;&amp;nbsp;&amp;nbsp;&amp;nbsp;&amp;nbsp;&amp;nbsp;&amp;nbsp;&amp;nbsp;&amp;nbsp;&amp;nbsp;&amp;nbsp;&amp;nbsp;&amp;nbsp; Mercurius ist lahm/ weil er sein Werck und Ampt&amp;nbsp;&amp;nbsp;&amp;nbsp;&amp;nbsp;&amp;nbsp;&amp;nbsp;&amp;nbsp;&amp;nbsp;&amp;nbsp;&amp;nbsp;&amp;nbsp;&amp;nbsp;&amp;nbsp;&amp;nbsp; Nicht sicher walten kan: Die Menschen allesamptDie sind bis auff das Blut geplagt/ ausgesogen/Und können ihre Pflicht/ wie sie zuvor gepflogen/&amp;nbsp;&amp;nbsp;&amp;nbsp;&amp;nbsp;&amp;nbsp;&amp;nbsp;&amp;nbsp;&amp;nbsp;&amp;nbsp;&amp;nbsp;&amp;nbsp;&amp;nbsp;&amp;nbsp;&amp;nbsp; Nicht mehr mit Freuden thun: Des Viehes grosse Schaar&amp;nbsp;&amp;nbsp;&amp;nbsp;&amp;nbsp;&amp;nbsp;&amp;nbsp;&amp;nbsp;&amp;nbsp;&amp;nbsp;&amp;nbsp;&amp;nbsp;&amp;nbsp;&amp;nbsp;&amp;nbsp; Ist ans den Ställen nun dem Landmann gantz und gar.S. 4&amp;nbsp;Nu GOTT der ist gerecht/ Er hasset alle Sünden/Er muß/ ob Er nicht wil/ zur Straffe sich doch finden:&amp;nbsp;&amp;nbsp;&amp;nbsp;&amp;nbsp;&amp;nbsp;&amp;nbsp;&amp;nbsp;&amp;nbsp;&amp;nbsp;&amp;nbsp;&amp;nbsp;&amp;nbsp;&amp;nbsp;&amp;nbsp; Wir haben es verdient/ wir haben allesampt&amp;nbsp;&amp;nbsp;&amp;nbsp;&amp;nbsp;&amp;nbsp;&amp;nbsp;&amp;nbsp;&amp;nbsp;&amp;nbsp;&amp;nbsp;&amp;nbsp;&amp;nbsp;&amp;nbsp;&amp;nbsp; Mit Sünden GOTTES Zorn unmenschlich angeflammt.So laßt uns in der Zeit die hellen Buß=PosaunenErthönen jämmerlich/ laßt uns mit Bät=Carthaunen&amp;nbsp;&amp;nbsp;&amp;nbsp;&amp;nbsp;&amp;nbsp;&amp;nbsp;&amp;nbsp;&amp;nbsp;&amp;nbsp;&amp;nbsp;&amp;nbsp;&amp;nbsp;&amp;nbsp;&amp;nbsp; Als Himmels=Stürmer gehen vor die gestirnte Stadt/&amp;nbsp;&amp;nbsp;&amp;nbsp;&amp;nbsp;&amp;nbsp;&amp;nbsp;&amp;nbsp;&amp;nbsp;&amp;nbsp;&amp;nbsp;&amp;nbsp;&amp;nbsp;&amp;nbsp;&amp;nbsp; In welcher unser HERR und GOTT die Wohnung hat.Laßt uns im Geist zu Ihm geist=volle Seuftzer schicken/So wird Er uns wiedrumb mit seiner Gnad anblicken/&amp;nbsp;&amp;nbsp;&amp;nbsp;&amp;nbsp;&amp;nbsp;&amp;nbsp;&amp;nbsp;&amp;nbsp;&amp;nbsp;&amp;nbsp;&amp;nbsp;&amp;nbsp;&amp;nbsp;&amp;nbsp; Erretten aus Gefahr nach grosser Gütigkeit/&amp;nbsp;&amp;nbsp;&amp;nbsp;&amp;nbsp;&amp;nbsp;&amp;nbsp;&amp;nbsp;&amp;nbsp;&amp;nbsp;&amp;nbsp;&amp;nbsp;&amp;nbsp;&amp;nbsp;&amp;nbsp; Verkehren alles Leid in güldne Friedens=Zeit.[…]Kein Augustinus kan anitzt die Leute lehren/Justinian läßt nicht Gesetze ferner hören:&amp;nbsp;&amp;nbsp;&amp;nbsp;&amp;nbsp;&amp;nbsp;&amp;nbsp;&amp;nbsp;&amp;nbsp;&amp;nbsp;&amp;nbsp;&amp;nbsp;&amp;nbsp;&amp;nbsp;&amp;nbsp; Die Bücher ligen still: Die Spinn ihr Netze webt&amp;nbsp;&amp;nbsp;&amp;nbsp;&amp;nbsp;&amp;nbsp;&amp;nbsp;&amp;nbsp;&amp;nbsp;&amp;nbsp;&amp;nbsp;&amp;nbsp;&amp;nbsp;&amp;nbsp;&amp;nbsp; Umb sie fast umb und umb. Das haben wir erlebt!Beginnet man auch schon ein Buch wo auffzuschlagen/So hört man doch alsbaldt mit grossen Schreyen sagen:&amp;nbsp;&amp;nbsp;&amp;nbsp;&amp;nbsp;&amp;nbsp;&amp;nbsp;&amp;nbsp;&amp;nbsp;&amp;nbsp;&amp;nbsp;&amp;nbsp;&amp;nbsp;&amp;nbsp;&amp;nbsp; Auff/ es sind Krieger da: Da läuffet Groß und Klein/&amp;nbsp;&amp;nbsp;&amp;nbsp;&amp;nbsp;&amp;nbsp;&amp;nbsp;&amp;nbsp;&amp;nbsp;&amp;nbsp;&amp;nbsp;&amp;nbsp;&amp;nbsp;&amp;nbsp;&amp;nbsp; Daß man für ihrem Raub nur möge sicher seyn.Darumb/ wo wir in Fried und stoltzer Ruhe schlaffen/Und itzt und allezeit der überhäufften Strassen&amp;nbsp;&amp;nbsp;&amp;nbsp;&amp;nbsp;&amp;nbsp;&amp;nbsp;&amp;nbsp;&amp;nbsp;&amp;nbsp;&amp;nbsp;&amp;nbsp;&amp;nbsp;&amp;nbsp;&amp;nbsp; Befreyet wollen seyn/ die uns der Himmels=Heldt&amp;nbsp;&amp;nbsp;&amp;nbsp;&amp;nbsp;&amp;nbsp;&amp;nbsp;&amp;nbsp;&amp;nbsp;&amp;nbsp;&amp;nbsp;&amp;nbsp;&amp;nbsp;&amp;nbsp;&amp;nbsp; Zu tragen aufferleht in dieser Sünden=Welt:So müssen wir fürwahr für allem abelegenDas alte Sünden=Kleid/ und nur in Gottes Wegen&amp;nbsp;&amp;nbsp;&amp;nbsp;&amp;nbsp;&amp;nbsp;&amp;nbsp;&amp;nbsp;&amp;nbsp;&amp;nbsp;&amp;nbsp;&amp;nbsp;&amp;nbsp;&amp;nbsp;&amp;nbsp; Zu gehen fleisig seyn/ verrichten/ was sein Geist&amp;nbsp;&amp;nbsp;&amp;nbsp;&amp;nbsp;&amp;nbsp;&amp;nbsp;&amp;nbsp;&amp;nbsp;&amp;nbsp;&amp;nbsp;&amp;nbsp;&amp;nbsp;&amp;nbsp;&amp;nbsp; Durch seiner Lehrer Mund befiehlet/ lehrt/ und heist.[…]S.5&amp;nbsp;[…]&amp;nbsp;&amp;nbsp;&amp;nbsp;&amp;nbsp;&amp;nbsp;&amp;nbsp;&amp;nbsp;&amp;nbsp;&amp;nbsp;&amp;nbsp;&amp;nbsp;&amp;nbsp;&amp;nbsp;&amp;nbsp; Des Friedens Liebligkeit und wahrer Liebe Pfandt&amp;nbsp;&amp;nbsp;&amp;nbsp;&amp;nbsp;&amp;nbsp;&amp;nbsp;&amp;nbsp;&amp;nbsp;&amp;nbsp;&amp;nbsp;&amp;nbsp;&amp;nbsp;&amp;nbsp;&amp;nbsp; Wird bey uns Preussen seyn in Unserm gantzen Land.[…]Was aber will der HERR der Gäber aller GabenVon mir und dir so trew und offt verrichtet haben?&amp;nbsp;&amp;nbsp;&amp;nbsp;&amp;nbsp;&amp;nbsp;&amp;nbsp;&amp;nbsp;&amp;nbsp;&amp;nbsp;&amp;nbsp;&amp;nbsp;&amp;nbsp;&amp;nbsp;&amp;nbsp; Was soll ein Christen=Mensch dich thun in dieser Welt?&amp;nbsp;&amp;nbsp;&amp;nbsp;&amp;nbsp;&amp;nbsp;&amp;nbsp;&amp;nbsp;&amp;nbsp;&amp;nbsp;&amp;nbsp;&amp;nbsp;&amp;nbsp;&amp;nbsp;&amp;nbsp; Was ist der Dienst/ der Ihm geleistet wohlgefält?Du sollst GOTT deinen HERREN von gantzen Hertzen lieben/Nechst GOTT am Nechsten auch Lieb/Ehr/ und Freundschaft üben:&amp;nbsp;&amp;nbsp;&amp;nbsp;&amp;nbsp;&amp;nbsp;&amp;nbsp;&amp;nbsp;&amp;nbsp;&amp;nbsp;&amp;nbsp;&amp;nbsp;&amp;nbsp;&amp;nbsp;&amp;nbsp; Das lehrt uns GOTTes Wort die Warheit/ die besteht/&amp;nbsp;&amp;nbsp;&amp;nbsp;&amp;nbsp;&amp;nbsp;&amp;nbsp;&amp;nbsp;&amp;nbsp;&amp;nbsp;&amp;nbsp;&amp;nbsp;&amp;nbsp;&amp;nbsp;&amp;nbsp; Ob Glut/ Lufft/ Erd und See zu Grund und Bodem geht.Es kan uns Indien wol grosse Schätze weisen/Auch Gold den schönen Roth/ und was die Welz zu preisen&amp;nbsp;&amp;nbsp;&amp;nbsp;&amp;nbsp;&amp;nbsp;&amp;nbsp;&amp;nbsp;&amp;nbsp;&amp;nbsp;&amp;nbsp;&amp;nbsp;&amp;nbsp;&amp;nbsp;&amp;nbsp; Und hoch zu halten pflegt: Noch dennoch neben GOTT&amp;nbsp;&amp;nbsp;&amp;nbsp;&amp;nbsp;&amp;nbsp;&amp;nbsp;&amp;nbsp;&amp;nbsp;&amp;nbsp;&amp;nbsp;&amp;nbsp;&amp;nbsp;&amp;nbsp;&amp;nbsp; Den Nechsten lieben/ das / das ist die Himmels Pfort.[…]&amp;nbsp;S. 6&amp;nbsp;[…]&amp;nbsp;So wird die Güth des HERRN euch Preussen gantz umbkräntzen/Gewündschter Friede wird in allen ewren Gräntzen&amp;nbsp;&amp;nbsp;&amp;nbsp;&amp;nbsp;&amp;nbsp;&amp;nbsp;&amp;nbsp;&amp;nbsp;&amp;nbsp;&amp;nbsp;&amp;nbsp;&amp;nbsp;&amp;nbsp;&amp;nbsp; Und ewren Hertzen seyn/ Ihr werdet ohne Leyd&amp;nbsp;&amp;nbsp;&amp;nbsp;&amp;nbsp;&amp;nbsp;&amp;nbsp;&amp;nbsp;&amp;nbsp;&amp;nbsp;&amp;nbsp;&amp;nbsp;&amp;nbsp;&amp;nbsp;&amp;nbsp; In stoltzer Ruh und Fried zu bringen ewre Zeit.[…]Daß theils das Regiment mit Wohlstand ist erfüllet/Theils Kirchen/ Schulen/ Hauß/ mit Segen sind umghüllet/&amp;nbsp;&amp;nbsp;&amp;nbsp;&amp;nbsp;&amp;nbsp;&amp;nbsp;&amp;nbsp;&amp;nbsp;&amp;nbsp;&amp;nbsp;&amp;nbsp;&amp;nbsp;&amp;nbsp;&amp;nbsp; Daß Nahrung/ Ackerbau fortgehet/ und der Schein&amp;nbsp;&amp;nbsp;&amp;nbsp;&amp;nbsp;&amp;nbsp;&amp;nbsp;&amp;nbsp;&amp;nbsp;&amp;nbsp;&amp;nbsp;&amp;nbsp;&amp;nbsp;&amp;nbsp;&amp;nbsp; Des Glücks uns erleucht/ macht das Gebät allein.S.7&amp;nbsp;[…]Wie Er sein Israel und Häufflein als mit HändenBeschützt/ und in der Flut des Meeres/ das den Wänden/&amp;nbsp;&amp;nbsp;&amp;nbsp;&amp;nbsp;&amp;nbsp;&amp;nbsp;&amp;nbsp;&amp;nbsp;&amp;nbsp;&amp;nbsp;&amp;nbsp;&amp;nbsp;&amp;nbsp;&amp;nbsp; Wie es die Schrifft bezeugt/ zum Durchgehn ähnlich stund/&amp;nbsp;&amp;nbsp;&amp;nbsp;&amp;nbsp;&amp;nbsp;&amp;nbsp;&amp;nbsp;&amp;nbsp;&amp;nbsp;&amp;nbsp;&amp;nbsp;&amp;nbsp;&amp;nbsp;&amp;nbsp; Den König Pharao den blind=verstockten Hund/Mit aller seiner Macht und starcken Heeres HauffenMit grossen Schrecken ließ gesalzen Wasser sauffen:&amp;nbsp;&amp;nbsp;&amp;nbsp;&amp;nbsp;&amp;nbsp;&amp;nbsp;&amp;nbsp;&amp;nbsp;&amp;nbsp;&amp;nbsp;&amp;nbsp;&amp;nbsp;&amp;nbsp;&amp;nbsp; So kann Er noch sein Volck/ Euch Preussen/ aus Gefahr&amp;nbsp;&amp;nbsp;&amp;nbsp;&amp;nbsp;&amp;nbsp;&amp;nbsp;&amp;nbsp;&amp;nbsp;&amp;nbsp;&amp;nbsp;&amp;nbsp;&amp;nbsp;&amp;nbsp;&amp;nbsp; Erretten wunderbahn durch seiner Engel=Schaar.Drumb lasset uns bey Ihm Hülff und Errettung suchen/Und in der Zeit der Noth an seine Gnade pochen.&amp;nbsp;&amp;nbsp;&amp;nbsp;&amp;nbsp;&amp;nbsp;&amp;nbsp;&amp;nbsp;&amp;nbsp;&amp;nbsp;&amp;nbsp;&amp;nbsp;&amp;nbsp;&amp;nbsp;&amp;nbsp; Dich/ Schönstes Preussen/ hat Gradivus Tyranney&amp;nbsp;&amp;nbsp;&amp;nbsp;&amp;nbsp;&amp;nbsp;&amp;nbsp;&amp;nbsp;&amp;nbsp;&amp;nbsp;&amp;nbsp;&amp;nbsp;&amp;nbsp;&amp;nbsp;&amp;nbsp; So gar zunicht gemacht/ auch sey bußfertig/ seyInbrünstig im Gebät/ und thue dich doch wendenZu Gott mit Hertz und Mund/ mit unbefleckten Händen/&amp;nbsp;&amp;nbsp;&amp;nbsp;&amp;nbsp;&amp;nbsp;&amp;nbsp;&amp;nbsp;&amp;nbsp;&amp;nbsp;&amp;nbsp;&amp;nbsp;&amp;nbsp;&amp;nbsp;&amp;nbsp; So wird Er deine Bitt und Hertzens-Seuftzer nicht&amp;nbsp;&amp;nbsp;&amp;nbsp;&amp;nbsp;&amp;nbsp;&amp;nbsp;&amp;nbsp;&amp;nbsp;&amp;nbsp;&amp;nbsp;&amp;nbsp;&amp;nbsp;&amp;nbsp;&amp;nbsp; Vergebens lassen seyn: Er wird der Gnaden=LiechtDie zeigen: Güt und Trew die werden sich begrüssen/Gerechtigkeit und Fried einander lieblich küssen/&amp;nbsp;&amp;nbsp;&amp;nbsp;&amp;nbsp;&amp;nbsp;&amp;nbsp;&amp;nbsp;&amp;nbsp;&amp;nbsp;&amp;nbsp;&amp;nbsp;&amp;nbsp;&amp;nbsp;&amp;nbsp; Die Türcken/ Tartern/ auch wird Gott aus deinem Land&amp;nbsp;&amp;nbsp;&amp;nbsp;&amp;nbsp;&amp;nbsp;&amp;nbsp;&amp;nbsp;&amp;nbsp;&amp;nbsp;&amp;nbsp;&amp;nbsp;&amp;nbsp;&amp;nbsp;&amp;nbsp; Vertreiben allesampt durch seine starcke Hand.S. 8Alsdenn zu Felde wird der Melibäus singen/Und auch der Corydon den Flegen lassen schwingen/&amp;nbsp;&amp;nbsp;&amp;nbsp;&amp;nbsp;&amp;nbsp;&amp;nbsp;&amp;nbsp;&amp;nbsp;&amp;nbsp;&amp;nbsp;&amp;nbsp;&amp;nbsp;&amp;nbsp;&amp;nbsp; Ohn Zittern ohne Furcht: Es wird das Feld und Stall&amp;nbsp;&amp;nbsp;&amp;nbsp;&amp;nbsp;&amp;nbsp;&amp;nbsp;&amp;nbsp;&amp;nbsp;&amp;nbsp;&amp;nbsp;&amp;nbsp;&amp;nbsp;&amp;nbsp;&amp;nbsp; Mit Früchten und mit Vieh voll werden überall.Wir werden wiederumb mit Lust die schwangern AwenUnd Stadt und Dorff mit Freud und Segen trächtig schawen/&amp;nbsp;&amp;nbsp;&amp;nbsp;&amp;nbsp;&amp;nbsp;&amp;nbsp;&amp;nbsp;&amp;nbsp;&amp;nbsp;&amp;nbsp;&amp;nbsp;&amp;nbsp;&amp;nbsp;&amp;nbsp; Es wird dann unser Schiff mit gutem Winde gehn/&amp;nbsp;&amp;nbsp;&amp;nbsp;&amp;nbsp;&amp;nbsp;&amp;nbsp;&amp;nbsp;&amp;nbsp;&amp;nbsp;&amp;nbsp;&amp;nbsp;&amp;nbsp;&amp;nbsp;&amp;nbsp; Die Kinder umb uns her nach Hertzen Wundsche stehn.[…]Sprecht: Gott/ wir wollen Dir von deiner Wolthat singen/Und Dir hertz=inniglich Lob=Opffer häuffig bringen&amp;nbsp;&amp;nbsp;&amp;nbsp;&amp;nbsp;&amp;nbsp;&amp;nbsp;&amp;nbsp;&amp;nbsp;&amp;nbsp;&amp;nbsp;&amp;nbsp;&amp;nbsp;&amp;nbsp;&amp;nbsp; Zur wahren Danckbarkeit. O Dreymal grosser GOTT/&amp;nbsp;&amp;nbsp;&amp;nbsp;&amp;nbsp;&amp;nbsp;&amp;nbsp;&amp;nbsp;&amp;nbsp;&amp;nbsp;&amp;nbsp;&amp;nbsp;&amp;nbsp;&amp;nbsp;&amp;nbsp; Gieb uns gewündschten Fried! Erhör uns in der Noth!&amp;nbsp;&amp;nbsp;&amp;nbsp;&amp;nbsp;&amp;nbsp;</t>
  </si>
  <si>
    <t xml:space="preserve">Neuer Friede Friede sey! , Hist.Boruss.28,misc.1</t>
  </si>
  <si>
    <t xml:space="preserve">Neuer Friede Friede sey! </t>
  </si>
  <si>
    <t xml:space="preserve">Friedjauchzendes Danck-Fest, Das ist: Hertzliches Seufftzen, und nunmehr Göttliche Hülff, derer Friedens-Verbündnus, so in der Oliva zwischen Ihro Röm. Käis. Maj. König in Pohlen, Schweden und Chur-Brandenburg, [et]c. verglichenen und völlig-geschlossenen Frieden, welcher vollzogen worden, den 23. (3.) Maji, In dem Gnaden-Jahr 1660...</t>
  </si>
  <si>
    <t xml:space="preserve">Landesbibliothek Coburg</t>
  </si>
  <si>
    <t xml:space="preserve">Coburg</t>
  </si>
  <si>
    <t xml:space="preserve">Ta 10</t>
  </si>
  <si>
    <t xml:space="preserve">http://digital.bib-bvb.de/view/bvbmets/viewer.0.5.jsp?folder_id=0&amp;dvs=1481014484135~578&amp;pid=1877179&amp;locale=de&amp;usePid1=true&amp;usePid2=true</t>
  </si>
  <si>
    <t xml:space="preserve">38,5 x 29</t>
  </si>
  <si>
    <t xml:space="preserve">Dexiosis
</t>
  </si>
  <si>
    <t xml:space="preserve">http://friedensbilder.gnm.de/sites/default/files/Friedejauchzendes Danck-Fest.pdf
http://friedensbilder.gnm.de/sites/default/files/JPEG statt PDF für Ta 10.jpg</t>
  </si>
  <si>
    <t xml:space="preserve">Im Zentrum der grafischen Abbildung auf dem Flugblatt sieht man die Gesandten von Schweden, Polen und dem Heiligen Römischen Reich, wie sie als Zeichen für den Abschluss des Friedensvertrages von Oliva sich die rechte Hand reichen. Der am 3. Mai 1660 abgeschlossene Vertrag beendete die Streitigkeiten zwischen Polen und Schweden. Der Titel des Flugblattes summiert das Dankfest anlässlich des Friedens und verweist darauf, dass es sich bei dem Inhalt um eine Übersetzung aus dem Polnischen handelt. Neben der grafischen Darstellung gibt das Flugblatt ein Lied, bestehend aus neun Strophen, und eine gereimte Erläuterung der Abbildung mit Verweisbuchstaben wieder. Das symbolische Händereichen geschieht unter einem Band, welches von Turteltauben gehalten wird und in dessen Mitte, genau über den Köpfen der dargestellten Personen, ebenfalls ein Handschlag zu finden ist. Der Vertrag wurde, wie damals üblich, durch Gesandte verhandelt. Die Monarchen waren zu keiner Zeit persönlich in Oliva anwesend. Bereits auf römischen Münzen fungiert das Hände schütteln als Zeichen der Eintracht und bekräftigt durch den persönlichen Händedruck den erfolgreichen Abschluss eines Vertrages. Die drei Akteure sind auf diesem Blatt einheitlich dargestellt, sodass keine Hierarchisierung der Vertragsparteien erfolgt.&amp;nbsp;
FB&amp;nbsp;
</t>
  </si>
  <si>
    <t xml:space="preserve">Friedjauchzendes Danck-Fest, Ta 10</t>
  </si>
  <si>
    <t xml:space="preserve">https://friedensbilder-neu.gnm.de/sites/default/files/2019-06/Ta_10_0.png</t>
  </si>
  <si>
    <t xml:space="preserve">Friedjauchzendes Danck-Fest</t>
  </si>
  <si>
    <t xml:space="preserve">http://friedensbilder.gnm.de/content/frieden_foto_order1c4430</t>
  </si>
  <si>
    <t xml:space="preserve">Rede-Spiel Der Erlösten Germania :</t>
  </si>
  <si>
    <t xml:space="preserve">Pon Xa 4327, FK</t>
  </si>
  <si>
    <t xml:space="preserve">Riemer, Johannes
Brühl, Johann </t>
  </si>
  <si>
    <t xml:space="preserve">Weißenfels</t>
  </si>
  <si>
    <t xml:space="preserve">3:632245P</t>
  </si>
  <si>
    <t xml:space="preserve">http://digitale.bibliothek.uni-halle.de/urn/urn:nbn:de:gbv:3:1-48105</t>
  </si>
  <si>
    <t xml:space="preserve">8 Bl.</t>
  </si>
  <si>
    <t xml:space="preserve">Als das mit Krieg verwirrete Europa das Edle Friedens Kleinod Nunmehr wieder überkommen Und ... Hr. Augustus Postulirter Administrator des Primats und Ertzstiffts Magdeburg/ Herzog zu Sachsen ... In seinem Erblanden den 2. Novembr. dieses 1679. Jahres Ein allgemeines Friedens-Fest angesetzet Und ... Die ... erreichte Vollkommenheit Seiner ... Augustus-Burg Zu Weißenfels ... bestetigte ... /</t>
  </si>
  <si>
    <t xml:space="preserve">Wird mit denen alda Studirenden Zum Erstenmahl gedachten 6 November, zum Andernmahl aber den 10 dito auffgeführet werden durch Johann Riemern</t>
  </si>
  <si>
    <t xml:space="preserve">Rede-Spiel Der Erlösten Germania :, Pon Xa 4327, FK</t>
  </si>
  <si>
    <t xml:space="preserve">Margenis oder Das vergnügte bekriegte und wieder befriedigte Teutschland. </t>
  </si>
  <si>
    <t xml:space="preserve">M: Lo 402</t>
  </si>
  <si>
    <t xml:space="preserve">Birken, Sigmund von
Scheurer, Georg</t>
  </si>
  <si>
    <t xml:space="preserve">23:231819U</t>
  </si>
  <si>
    <t xml:space="preserve">http://diglib.hab.de/drucke/lo-402/start.htm</t>
  </si>
  <si>
    <t xml:space="preserve">231 S.</t>
  </si>
  <si>
    <t xml:space="preserve">Nürnberg in Verlegung Georg Scheurers Kunsthändlers. A: 1679. </t>
  </si>
  <si>
    <t xml:space="preserve">Das Schauspiel entstand bereits 1651 in Nürnberg und wurde dort unter einem anderen Namen ("Irenian") uraufgeführt. Die Charaktere wurden von jungen Patriziersöhnen gespielt. Die erste Veröffentlichung erfolgte jedoch erst im Jahr 1679 unter dem vollständigen Titel: Margenis oder Das vergnügte bekriegte und wieder befriedigte Teutschland. Birken gibt den Hinweis auf die Enstehung in seinem Vorbericht selbst. Die Veröffentlichung zu einem späteren Zeitpunkt schien aufgrund zweier Faktoren zustande gekommen zu sein. Zunächst, so Birken, habe es eine große Nachfrage nach dem Erfolg der Aufführung gegeben, das Werk in den Druck zu geben. Zum anderen boten die Friedenschlüsse der Jahre 1678 und 1679 wieder erneut Möglichkeiten für bukolische Friedensdichtung.Für das Drama existiert eine Zusammenfassung mit dem Titel: "Kurtzer Entwurf eines neuen Schauspiels/ darinnen ausgebildet wird das Vergnügte/ Bekriegte und Widerbefriedigte Teutschland". Darin enthalten sind neben einer Inhaltsangabe, ein Kommentar von Birken, Textauszüge, Lieder sowie die namentliche Auslistung der Schauspieler. Im Nachlass Birkens finden sich außerdem noch zwei weitere Epilogfassungen für das Drama.Garber 2012, S.287-291. — Jürgensen 1994, S.37. — Silber 2000, S.128-199.</t>
  </si>
  <si>
    <t xml:space="preserve">Margenis oder Das vergnügte bekriegte und wieder befriedigte Teutschland., M: Lo 402</t>
  </si>
  <si>
    <t xml:space="preserve">Margenis oder Das vergnügte bekriegte und wieder befriedigte Teutschland.</t>
  </si>
  <si>
    <t xml:space="preserve">Opera Sacra de pace recuperata</t>
  </si>
  <si>
    <t xml:space="preserve">Xb 146 (14)</t>
  </si>
  <si>
    <t xml:space="preserve">
Schmidt, Tobias</t>
  </si>
  <si>
    <t xml:space="preserve">Plön</t>
  </si>
  <si>
    <t xml:space="preserve">23:250618C</t>
  </si>
  <si>
    <t xml:space="preserve">http://diglib.hab.de/drucke/xb-146-14/start.htm</t>
  </si>
  <si>
    <t xml:space="preserve">41 S.</t>
  </si>
  <si>
    <t xml:space="preserve">Heilige Freud- und Friedens-Werke Uber den/ durch Gottes sonderbahre Gnade/ erlangten Nordischen Frieden/ Auf dem Von Seiner Königl. Majest. zu Dennemark ... allergnädigst-angestelltem allgemeinen Dank- Fried- und Freuden-Fest/ Welches war der 30 des Winter-Monaths ... des verstrichenen 1679sten Jahrs/ In der Stadt-Kirchen zu Rendesburg aus dem ordentlichen Evangelio vorgestellet/ und mit einem sonderlichen Sing-Spiel vermehret; </t>
  </si>
  <si>
    <t xml:space="preserve">Nunmehr auch ... heraus gegeben/ und mit einiger Vorrede von den Kunst-Werken/ die man sonst Opera nennet/ versehen / durch Christian von Stökken/ D. Dero Kön. Majest. zu Dennemark/ Norwegen [et]c. verordneten General-SuperIntendenten in dero Fürstentühmern Schleßwig Holstein/ und deren incorporirten Landen; auch Probsten zu Rendesburg und Segeberg.</t>
  </si>
  <si>
    <t xml:space="preserve">Gedruckt in Ploen / durch Tobias Schmidt / im 1680sten Jahre.</t>
  </si>
  <si>
    <t xml:space="preserve">Das Werk beginnt mit einer Zuschrift an Anton von Aldenburg. Danach findet sich eine Predigt von Stökkens, die mit einem Gedicht&amp;nbsp;von M.Gregorius Michael, Probst in Flensburg,&amp;nbsp;abgeschlossen wird. Anschließend erfolgt eine zweite Widmung an Christian V. von Dänemark und folgend das Singspiel von Stökken.
Die Reihenfolge der Texte kann als Hinweis auf die Abfolge bei den Feierlichkeiten in der Kirche von Rendsburg interpretiert werden.
</t>
  </si>
  <si>
    <t xml:space="preserve">Barmherzigkeit, Aufrichtigkeit, Sanftmut, Neid, Zorn treten als Tugenden auf. FB
S. 10: "In der Linken hielte es das Horn des Überflusses / in der Rechten eine brennende Fakkel/ damit der Friede die zusam[m]en-gelegte Kriegs-Waffen anzünden wolte" --&amp;gt; vgl. antike Münzen! z.B. Inv.-Nr.&amp;nbsp;MK 18640b Landesmuseum Stuttgart und Beitrag in Ausst. Kat. Stuttgart 2012.
Enthält ab S. 47 Friedesmusik. ALS
</t>
  </si>
  <si>
    <t xml:space="preserve">http://friedensbilder.gnm.de/sites/default/files/titelblatt_5.tif</t>
  </si>
  <si>
    <t xml:space="preserve">Der Druck besteht aus zwei Textbeiträgen, die im Gefolge der Feierlichkeiten anlässlich der ausgehandelten Verträge von Nimwegen in der Kirche St. Marien in Rendsburg veröffentlich worden. Zugeschrieben ist der Druck dem Reichsgrafen Anton I. von Aldenburg (1633–1680). Er beinhaltet eine Predigt, gehalten am 03.12.1679, sowie ein Singspiel, beide von Christian von Stökken (1633–1684). Der Predigt beigegeben ist ein Gedicht&amp;nbsp;von Gregorius Michael (1625–1686).&amp;nbsp;
Stökken widmet sein Werk Christian V. von Dänemark. Es kann angenommen werden, dass die Anordnung der Texte im Druck (Predigt vor Singspiel) dem Ablauf des Dankfestes entspricht. Schon in seiner Predigt bezieht sich Stökken auf das Singspiel, in dem er den lateinischen Begriff der „Opera sacra“, der Friedenswerke, mit dem der Oper verknüpft. Er gliedert den Text in drei „Aufzüge“&amp;nbsp;im Sinne von Schauplätzen: Die Stadt des Friedens, den Berg der Versöhnung und das Haus der fröhlichen Erlösung. Hierbei entfaltet er starke Naturbilder wie die Palmen-Stadt und den Öl-Garten als Sinnbilder des kommenden Friedens. Auch im zweiten Teil der Friedens-Verkündigung nimmt Stökken Bezug auf theatralische Elemente und entwirft regelrechte Szenerien der Bekanntmachung des göttlichen Friedens. Die ganze Predigt gestaltet er als lebhaftes Nebeneinander von rhetorischen Elementen und Liedstrophen.
Die Kirche als Veranstaltungsort gibt auch den Tenor des anschließenden Singspiels vor. Der Friede kann nur durch Gott hergestellt werden:„Gott sey Lob! Es ist im Norden Friede wiederum geworden!“ Und so werden die Menschen angerufen, Gott zu huldigen, ihm zu danken und die christlichen Tugenden als Lebensmaxime umzusetzen, um den Frieden als Gottes Gnade beständig zu sichern. Die Friedensassoziationen sind an die Vorstellungen des Paradieses angelegt, durch Geräusch- und Lichtmetaphorik versucht der Verfasser einen sinnlichen Eindruck der künftigen Friedenszeit zu vermitteln. Dem Singspiel angeschlossen sind zwei Danklieder an Gott und König Christian V. von Dänemark sowie ein Lied auf den Frieden.
FB / HPJ
</t>
  </si>
  <si>
    <t xml:space="preserve">Opera Sacra de pace recuperata,, Xb 146 (14)</t>
  </si>
  <si>
    <t xml:space="preserve">https://friedensbilder-neu.gnm.de/sites/default/files/2019-06/Xb-146-(14).png</t>
  </si>
  <si>
    <t xml:space="preserve">Opera Sacra de pace recuperata,</t>
  </si>
  <si>
    <t xml:space="preserve">http://friedensbilder.gnm.de/content/frieden_foto_order19c6cd</t>
  </si>
  <si>
    <t xml:space="preserve">Christianii Gryphii Poetische Wälder</t>
  </si>
  <si>
    <t xml:space="preserve">M: Lo 2375 (1)</t>
  </si>
  <si>
    <t xml:space="preserve">Gryphius, Christian
Bauch, Christian</t>
  </si>
  <si>
    <t xml:space="preserve">Leipzig
Frankfurt am Main</t>
  </si>
  <si>
    <t xml:space="preserve">http://diglib.hab.de/drucke/lo-2375-1/start.htm</t>
  </si>
  <si>
    <t xml:space="preserve">254 S.</t>
  </si>
  <si>
    <t xml:space="preserve">Franckfurt und Leipzig/ Verlegts Christian Bauch/ Anno 1707.</t>
  </si>
  <si>
    <t xml:space="preserve">Zweite Auflage, erste Veröffentlichung von 1698</t>
  </si>
  <si>
    <t xml:space="preserve">http://friedensbilder.gnm.de/content/frieden_objectb778a
http://friedensbilder.gnm.de/content/frieden_objectb77a6</t>
  </si>
  <si>
    <t xml:space="preserve">Auf das Fest der Geburt Christi 1683</t>
  </si>
  <si>
    <t xml:space="preserve">M: Lo 2375 (1) (1)</t>
  </si>
  <si>
    <t xml:space="preserve">126-128</t>
  </si>
  <si>
    <t xml:space="preserve">Auf das Fest der Geburt Christi 1683, M: Lo 2375 (1) (1)</t>
  </si>
  <si>
    <t xml:space="preserve">Seufzer unter währender Wienerischer Belagerung</t>
  </si>
  <si>
    <t xml:space="preserve">M: Lo 2375 (1) (2)</t>
  </si>
  <si>
    <t xml:space="preserve">Gryphius, Christian</t>
  </si>
  <si>
    <t xml:space="preserve">http://www.zeno.org/Literatur/M/Gryphius,+Christian/Gedichte/Gedichte/Seufzer+unter+w%C3%A4hrender+Wienerischen+Belagerung</t>
  </si>
  <si>
    <t xml:space="preserve">Seufzer unter währender Wienerischer Belagerung, M: Lo 2375 (1) (2)</t>
  </si>
  <si>
    <t xml:space="preserve">Johann-Friederich Hekels Blutiger und unglücklicher Türken-Krieg und erfreulicher Christen-Sieg :</t>
  </si>
  <si>
    <t xml:space="preserve">O 9 : 243</t>
  </si>
  <si>
    <t xml:space="preserve">Heckel, Johann Friedrich</t>
  </si>
  <si>
    <t xml:space="preserve">Mintzelsche Schriften</t>
  </si>
  <si>
    <t xml:space="preserve">Hof (Saale)</t>
  </si>
  <si>
    <t xml:space="preserve">32:694516W</t>
  </si>
  <si>
    <t xml:space="preserve">http://haab-digital.klassik-stiftung.de/viewer/epnresolver?id=161089233X</t>
  </si>
  <si>
    <t xml:space="preserve">122 S.</t>
  </si>
  <si>
    <t xml:space="preserve">nach vorweilen vor Ofen in Ungarn ... erhaltenen herrlichen Sieg und Treffen/ zu Rudolstadt in Thüringen ... durch die ... Land-Schul-Jugend ... als den 6. und 7ten April. 1687. in einem Freuden-Spiel vorgestellet .. .</t>
  </si>
  <si>
    <t xml:space="preserve">Das Schauspiel wurde am 6./7. April 1687 von der Schuljugend iin Rudolstadt aufgeführt.
</t>
  </si>
  <si>
    <t xml:space="preserve">Ordnungsvorstellung = Verhältnis zwischen Reich und Türken
&amp;nbsp;
&amp;nbsp;
</t>
  </si>
  <si>
    <t xml:space="preserve">http://friedensbilder.gnm.de/sites/default/files/EPN_229940196_0009.jpg</t>
  </si>
  <si>
    <t xml:space="preserve">Am 6. und 7. April 1687 führten die Schüler des örtlichen Gymnasiums in Rudolstadt/Thüringen anlässlich der erfolgreichen Belagerung Ofens durch die Truppen der Heiligen Liga (September 1686) ein Schauspiel auf. Erst rund zehn Jahre später veröffentlichte der Verfasser und Subrektor der Schule, Johann Friedrich Heckel (1640–1715) sein „Freudenspiel“. In sechs Akten stellt Heckel das Verhältnis zwischen dem Reich und den Osmanen dar. Der Hauptakteur ist dabei „Sultan Achmet“, der die bekannten Stereotypen in sich vereint und als „Barbar“, „Feind der Christen“, „blinder/ grober und verstokter Heyde“ und „Tyrann“ charakterisiert wird. Heckel folgt dem Konsens, dass der kürzlich errungene Sieg über die Osmanen auf den rechten Glauben der Christen zurückzuführen sei. Im Umkehrschluss resultiert für ihn die Niederlage der Türken aus ihrem falschen Glauben. Zudem wird der Sultan als Verweigerer eines dauerhaften, im christlichen Sinne „ewigen Friedens“ dargestellt, womit das Feindbild einmal mehr manifestiert wird: „Mit denen Christen aber/ die ich biß auf das Blut verfolgen dem Mahomet selbst geschworen habe/ einen ewigen Frieden zu machen/ wird nimmermehr kommen in meinen Kopff.“ Im Verlauf des Schauspiels durchläuft er jedoch einen Erkenntnisprozess an dessen Ende die Wahrheit des Christentums steht und betont wird: „Vnd dieses ist auch die Ursache/ daß/ weil du einen Glauben nachfolgest/ und die Christen/ so an den waaren/ DreyEinigen/ Ewigen und Allmächtigen Gott glauben/ so Tyrannischer weise verfolgest/ du hier keinen Sieg mehr mit deiner grosen Macht alhier auf dieser Welt haben wirst.“&amp;nbsp;Heckel stellt, dem allgemeinen Konsens folgend, das Reich als überlegen und das Christentum als „wahre Religion“ dar.&amp;nbsp;
FB
</t>
  </si>
  <si>
    <t xml:space="preserve">Johann-Friederich Hekels Blutiger und unglücklicher Türken-Krieg und erfreulicher Christen-Sieg :, O 9 : 243</t>
  </si>
  <si>
    <t xml:space="preserve">https://friedensbilder-neu.gnm.de/sites/default/files/2019-06/O-9_243.png</t>
  </si>
  <si>
    <t xml:space="preserve">http://friedensbilder.gnm.de/content/frieden_foto_order1b8f78</t>
  </si>
  <si>
    <t xml:space="preserve">Nachdenckliche Baur-Freude, über den Von dem Aller-Gütigsten Gott unverhofft bescherten und längst gewünschten Frieden, Zwischen Beyde Königl. Majestäten Carolo XII. der Schweden Und Frider. Augusto der Pohlen Königen</t>
  </si>
  <si>
    <t xml:space="preserve">Hist.Suec.404,misc.5</t>
  </si>
  <si>
    <t xml:space="preserve">Perspektive eines Bauern, geschrieben in Volkssprache </t>
  </si>
  <si>
    <t xml:space="preserve">Nachdenckliche Baur-Freude, über den Von dem Aller-Gütigsten Gott unverhofft bescherten und längst gewünschten Frieden, Zwischen Beyde Königl. Majestäten Carolo XII. der Schweden Und Frider. Augusto der Pohlen Königen, Hist.Suec.404,misc.5</t>
  </si>
  <si>
    <t xml:space="preserve">AUGUSTUS der Friedens-Mehrer, An dessen 19. Tage, als dem Jährlichen Friedens-Feste des Hoblöbl. Fürstenthums Weimar, Welches dieses 1708. Jahr ... für die von GOtt annoch gnädig gegönnete Friedens-Freude ... celebriret wurde Solte dem ... Fürsten und Herrn, HERRN Wilhelm Ernsten, Herzogen zu Sachsen, Jülich, Cleve und Berg ... Seinem ... Landes-Fürsten und Herrn ... in geringen Reim-Zeilen gratuliren, Jhro ... Durchl. ... Knecht und Vorbitter bey GOtt M. Johann Christian Otto, Käyserl. gekröhnter Poet wie auch Pfarrer und Adjunctus zu Guthmannshausen</t>
  </si>
  <si>
    <t xml:space="preserve">Huld C 103</t>
  </si>
  <si>
    <t xml:space="preserve">Otto, Johann Christian
Mumbach, Johann Leonhard</t>
  </si>
  <si>
    <t xml:space="preserve">http://haab-digital.klassik-stiftung.de/viewer/epnresolver?id=1609829913</t>
  </si>
  <si>
    <t xml:space="preserve">Die Jahreszahl wird als Chronogramm angegeben.
</t>
  </si>
  <si>
    <t xml:space="preserve">http://friedensbilder.gnm.de/sites/default/files/HAAB1.jpg
http://friedensbilder.gnm.de/sites/default/files/HAAB2.jpg
http://friedensbilder.gnm.de/sites/default/files/HAAB3.jpg
http://friedensbilder.gnm.de/sites/default/files/HAAB4.jpg</t>
  </si>
  <si>
    <t xml:space="preserve">Am 19. August 1708 findet in Weimar das alljährliche Friedensfest zum Gedenken an den Westfälischen Frieden und den erfolgreichen Abschluss der Nürnberger Verhandlungen statt. Der Pfarrer und Poet Johann Christian Otto verfasste dafür ein Gedicht und widmete es Herzog Wilhelm Ernst von Sachsen-Weimar (1662–1728). In sieben Strophen huldigt er den Frieden und beschreibt seine Auswirkungen auf das alltägliche Leben der Menschen. Dabei knüpft er zu Beginn an die Zeit des römischen Kaisers Augustus an, dessen Regierungszeit durch eine langanhaltende Friedensphase im Römischen Reich geprägt war, welche als Pax Augusta bezeichnet wird. Auch der Titel der Dichtung verweist auf die Bedeutung und Rolle des römischen Kaisers in der Friedenstradition. Otto bezieht sich im Text durchgängig auf Bibelstellen, die durch Verweisbuchstaben gekennzeichnet und am Ende des Textes genannt werden. Daneben gibt der Text keine Hinweise auf das Jubiläum oder das zugrunde liegende Ereignis, lediglich der Titel erläutert den Entstehungskontext des Drucks.
FB
&amp;nbsp;
</t>
  </si>
  <si>
    <t xml:space="preserve">AUGUSTUS der Friedens-Mehrer, Huld C 103</t>
  </si>
  <si>
    <t xml:space="preserve">https://friedensbilder-neu.gnm.de/sites/default/files/2019-06/Huld-C-103.png</t>
  </si>
  <si>
    <t xml:space="preserve">AUGUSTUS der Friedens-Mehrer</t>
  </si>
  <si>
    <t xml:space="preserve">http://friedensbilder.gnm.de/content/frieden_foto_order1b8f66</t>
  </si>
  <si>
    <t xml:space="preserve"> 	 Der bey dem allgemeinen Welt-Frieden/ Von dem Grossen Augustus Geschlossene Tempel Des Janus : </t>
  </si>
  <si>
    <t xml:space="preserve">41 in: Mus. T 4</t>
  </si>
  <si>
    <t xml:space="preserve">Komponist
Drucker
Verfasser</t>
  </si>
  <si>
    <t xml:space="preserve">Keiser, Reinhard
Greflinger, Friedrich Conrad
Postel, Christian Heinrich</t>
  </si>
  <si>
    <t xml:space="preserve">http://digital.staatsbibliothek-berlin.de/werkansicht?PPN=PPN685297624&amp;PHYSID=PHYS_0001&amp;DMDID=DMDLOG_0001&amp;view=overview-info</t>
  </si>
  <si>
    <t xml:space="preserve">[19] Bl.</t>
  </si>
  <si>
    <t xml:space="preserve">Auf dem Lang-gewünschten Friedens-Feste/ Welches im Jahr 1698. in Hamburg gefeyret ward/ In einem Singe-Spiel vorgestellet</t>
  </si>
  <si>
    <t xml:space="preserve">Der bey dem allgemeinen Welt-Frieden/ Von dem Grossen Augustus Geschlossene Tempel Des Janus : , 41 in: Mus. T 4</t>
  </si>
  <si>
    <t xml:space="preserve">Der bey dem allgemeinen Welt-Frieden/ Von dem Grossen Augustus Geschlossene Tempel Des Janus : </t>
  </si>
  <si>
    <t xml:space="preserve">Schreiben Aus dem Himmel nach Londen, Oder: </t>
  </si>
  <si>
    <t xml:space="preserve">Hist.Suec.421.m,misc.3</t>
  </si>
  <si>
    <t xml:space="preserve">Onnekink 2000
Metzdorf 2000
Smid 2011</t>
  </si>
  <si>
    <t xml:space="preserve">60-69</t>
  </si>
  <si>
    <t xml:space="preserve">1037826X </t>
  </si>
  <si>
    <t xml:space="preserve">http://digital.slub-dresden.de/werkansicht/dlf/19518/3/</t>
  </si>
  <si>
    <t xml:space="preserve">Scha BS 1 A 05528</t>
  </si>
  <si>
    <t xml:space="preserve">http://haab-digital.klassik-stiftung.de/viewer/epnresolver?id=1444843915</t>
  </si>
  <si>
    <t xml:space="preserve">[4] Bl.</t>
  </si>
  <si>
    <t xml:space="preserve">König Wilhelms des IIIten in England. Zuschrifft aus der andern Welt An die Königin Anna In England, Den Frieden betreffend </t>
  </si>
  <si>
    <t xml:space="preserve">http://friedensbilder.gnm.de/sites/default/files/Schreiben aus dem Himmel.pdf
http://friedensbilder.gnm.de/sites/default/files/Hist.Suec_.421.m,misc.3.jpg</t>
  </si>
  <si>
    <t xml:space="preserve">Am 11. April 1713 wurde der Frieden von Utrecht geschlossen. Er markiert den Beginn der europäischen Gleichgewichtspolitik. Vor allem Großbritannien war bemüht, das Mächtegleichgewicht nach dem Spanischen Erbfolgekrieg (1701–1714) wiederherzustellen. Anlässlich der Verhandlungen in Utrecht wurde das poetische „Schreiben aus dem Himmel“ anonym veröffentlicht, in dem vorgeblich der verstorbene Wilhelm III. von Oranien-Nassau (1650–1702) sich an die amtierende Königin Anne Stuart (1665–1714) richtet. Wilhelm regierte Großbritannien und die Niederlande in Personalunion seit 1689 bis zu seinem Tod. Der Text gibt sich als ein Brief Wilhelms aus dem Jenseits an seine Nachfolgerin. Er betont direkt zu Beginn die unterschiedlichen Meinungen der beiden Potentaten zum Frieden: auf der hierarchischen Ebene sind sie gleich, „doch in dem übrigen sind wir so unterschieden/ in unsern Meynungen von dem vermeynten Frieden“. Weiter klagt er über den Pyrenäenfrieden (1659), die Hochzeit von Maria Teresa von Spanien (1638–1683) und Ludwig XIV. (1638–1715) und die Auswirkungen beider Ereignisse auf das Mächtegleichgewicht in Europa. Wilhelm übt außerdem deutliche Kritik an Anne: „Du solst Beschützerin von Treu und Glauben seyn/ der Titul sagt es zwar; die Sache trifft nicht ein.“ Darüber hinaus stellt er ihre Politik in Frage und prophezeit: „Du ruinirest dich/ und mit dir deine Freund.“ Auch dem Frieden, der gerade in Utrecht verhandelt wird, steht er kritisch gegenüber: „Wo ist die Sicherheit vor Holl und Engel-Land? Sie seynd die Nächsten ja bey Frankreich wie bekandt.“ Abschließend fordert er Anne auf, aktiv gegen Frankreich vorzugehen: „Mach doch/ daß Frankreich nicht mit Spanien wird vereint, und daß des Erstern macht werd mehr und mehr verkleint.“ Der Autor ließ Wilhelm in Frankreich die einzige Gefahr für Großbritannien sehen. Über die Umstände der Veröffentlichung, den Verfasser und seine Motivation sind keine Informationen bekannt. Denkbar wäre, dass es sich um eine Übersetzung eines englischen Pamphlets handelt. Die Schrift ist somit weniger eine Friedensdichtung, als eine polemische Stellungnahme in einer umstrittenen politischen Situation.
Durch den im Vertrag vom Utrecht festgeschriebenen Verzicht Philipps V. von Spanien auf sein französisches Erbe wurde die Union zwischen Spanien und Frankreich verhindert. Fortan etablierte sich eine Pentarchie in Europa, die bis in das 19. Jahrhundert andauern sollte.&amp;nbsp;
FB
</t>
  </si>
  <si>
    <t xml:space="preserve">Schreiben Aus dem Himmel nach Londen, Hist.Suec.421.m,misc.3</t>
  </si>
  <si>
    <t xml:space="preserve">https://friedensbilder-neu.gnm.de/sites/default/files/2019-06/Hist.Suec_.421.m,misc.3.png</t>
  </si>
  <si>
    <t xml:space="preserve">Schreiben Aus dem Himmel nach Londen</t>
  </si>
  <si>
    <t xml:space="preserve">http://friedensbilder.gnm.de/content/frieden_foto_order1c4491</t>
  </si>
  <si>
    <t xml:space="preserve">Staatsbibliothek zu Berlin - Preußischer Kulturbesitz, Musikabteilung mit Mendelssohn-Archiv</t>
  </si>
  <si>
    <t xml:space="preserve">32 in: Mus. T 4</t>
  </si>
  <si>
    <t xml:space="preserve">Komponist
Verfasser
Drucker</t>
  </si>
  <si>
    <t xml:space="preserve">Keiser, Reinhard
Greflinger, Friedrich Conrad</t>
  </si>
  <si>
    <t xml:space="preserve">10447822 </t>
  </si>
  <si>
    <t xml:space="preserve">http://digital.staatsbibliothek-berlin.de/werkansicht?PPN=PPN68517154X&amp;PHYSID=PHYS_0001&amp;DMDID=DMDLOG_0001&amp;view=overview-info</t>
  </si>
  <si>
    <t xml:space="preserve">Franziska Bauer / Sabine Ehrmann-Herfort</t>
  </si>
  <si>
    <t xml:space="preserve">Vorhin Bey dem Von einem Hoch-Edlen und Hochweisen Raht Der Stadt Hamburg über den geschlossenen Reichs-Frieden angestellten Freuden-Mahl In einer Serenata; Nun auch auf dem Hamburgischen Schau-Platz vorgestellt</t>
  </si>
  <si>
    <t xml:space="preserve">http://friedensbilder.gnm.de/sites/default/files/PPN68517154X_00000001.tif
http://friedensbilder.gnm.de/sites/default/files/PPN68517154X_00000002.tif
http://friedensbilder.gnm.de/sites/default/files/PPN68517154X_00000005.tif
http://friedensbilder.gnm.de/sites/default/files/PPN68517154X_00000007.tif
http://friedensbilder.gnm.de/sites/default/files/PPN68517154X_00000011.tif
http://friedensbilder.gnm.de/sites/default/files/PPN68517154X_00000013.tif
http://friedensbilder.gnm.de/sites/default/files/PPN68517154X_00000014.tif
http://friedensbilder.gnm.de/sites/default/files/PPN68517154X_00000015.tif</t>
  </si>
  <si>
    <t xml:space="preserve">In Hamburg werden zahlreiche Festveranstaltungen zur Feier des Friedens von Baden zelebriert. Einen Monat nach Reinhard Keisers (1674–1739) „Friedens-Post“ und anlässlich eines vom Rat der Stadt initiierten Freuden-Mahls führt man&amp;nbsp;Keisers Serenata „Triumph des Friedens“ auf. Der Text stammt vom Hamburger Dichter Johann Ulrich König (1688–1744), mindestens zwei Stücke der „Kayserlichen Friedens-Post“ finden in die Serenata Eingang.In dieser Serenata tritt der Frieden in der Personifikation von Irene auf und verkündet die „güldenen Zeiten“. Tauben, Schäfer und sanfte Flöten symbolisieren die neue Friedenszeit, der Serenaten-Text wendet sich diesmal gleichermaßen an Karl VI. und an Ludwig XIV. Eine italienisch-französisch-deutsche Textmischung illustriert auf der sprachlichen Ebene das ersehnte friedliche Miteinander.Bereits der Text präsentiert ein weiteres Mal die ganze bekannte Fülle der Bilder und Topoi des Friedens, so den „Regen-Bogen“, das Bild des Kusses, das „Friedens-Band“ der Irene und die Aufforderung, eine Instrumentierung ohne Pauken und Trompeten zu wählen, weil diese ja die eingeführten Zeichen des Krieges seien.&amp;nbsp;Dementsprechend nutzt das Stück sanfte Flöten, süße Harmonien und angenehme Melodien. Außerdem finden sich Wendungen wie Friedens-Oel, Schwerter in Sicheln und Schäfer-Stöck verkehrt, Olive, Tauben, Adler mit Frieden-Flügeln.Außerdem übernimmt der Chor in seiner Funktion als Kollektiv ebenfalls die Rolle eines Friedenssymbols. Abschließend wird auch Hamburg selbst in die Friedensvision einbezogen. Hier deutet sich eine spezifische Öffnung von Kantate und Serenata hin zu bürgerlichen Funktionen an, wenn am Schluss des Stück eben nicht das Fürstenlob steht, sondern der generelle Friedenswunsch für Hamburg.Am 1. März 1715 erreicht dann die Friedensthematik mit der szenischen Aufführung der Serenata in der Hamburger Oper vollends die Hamburger Öffentlichkeit.SEH</t>
  </si>
  <si>
    <t xml:space="preserve">Friedenszeit
Natur
Herrscherrepräsentation</t>
  </si>
  <si>
    <t xml:space="preserve">Triumph des Friedens : , 32 in: Mus. T 4</t>
  </si>
  <si>
    <t xml:space="preserve">https://friedensbilder-neu.gnm.de/sites/default/files/2019-06/32-in-Mus.-T-4_01_0.png
https://friedensbilder-neu.gnm.de/sites/default/files/2019-06/32-in-Mus.-T-4_02_0.png
https://friedensbilder-neu.gnm.de/sites/default/files/2019-06/32-in-Mus.-T-4_03_0.png
https://friedensbilder-neu.gnm.de/sites/default/files/2019-06/32-in-Mus.-T-4_04_0.png
https://friedensbilder-neu.gnm.de/sites/default/files/2019-06/32-in-Mus.-T-4_05_0.png
https://friedensbilder-neu.gnm.de/sites/default/files/2019-06/32-in-Mus.-T-4_06_0.png
https://friedensbilder-neu.gnm.de/sites/default/files/2019-06/32-in-Mus.-T-4_07_0.png
https://friedensbilder-neu.gnm.de/sites/default/files/2019-06/32-in-Mus.-T-4_08_0.png</t>
  </si>
  <si>
    <t xml:space="preserve">Triumph des Friedens : </t>
  </si>
  <si>
    <t xml:space="preserve">http://friedensbilder.gnm.de/content/frieden_foto_order1e2f21</t>
  </si>
  <si>
    <t xml:space="preserve">Als Herren Herolds Eh-Gemahl Sich selbst ein rechter Herold war, Nach der Kriegs- und Leydens-Zeit, Verhiesz ein frohes Friedens-Jahr, So hat Ein unverfälschter Freund Dieselbe Worte aufgefangen, So dazumahl, am fremden Ort, Aus Ihrem Bunde sind gegangen.</t>
  </si>
  <si>
    <t xml:space="preserve">LP Q 4° I, 00035 (10,04)</t>
  </si>
  <si>
    <t xml:space="preserve">Herold, Johann Christoph</t>
  </si>
  <si>
    <t xml:space="preserve">http://archive.thulb.uni-jena.de/ufb/receive/ufb_cbu_00006900</t>
  </si>
  <si>
    <t xml:space="preserve">http://friedensbilder.gnm.de/sites/default/files/Als Herren Herolds.pdf</t>
  </si>
  <si>
    <t xml:space="preserve">Als Herren Herolds Eh-Gemahl Sich selbst ein rechter Herold war, LP Q 4° I, 00035 (10,04)</t>
  </si>
  <si>
    <t xml:space="preserve">Als Herren Herolds Eh-Gemahl Sich selbst ein rechter Herold war</t>
  </si>
  <si>
    <t xml:space="preserve">Lob- und Strafschriften in zeitlicher Folge</t>
  </si>
  <si>
    <t xml:space="preserve">GE 44-0110:283</t>
  </si>
  <si>
    <t xml:space="preserve">Herausgeber
Verfasser</t>
  </si>
  <si>
    <t xml:space="preserve">Krämer, Wilhelm
</t>
  </si>
  <si>
    <t xml:space="preserve">Hiersemann</t>
  </si>
  <si>
    <t xml:space="preserve">358 S.</t>
  </si>
  <si>
    <t xml:space="preserve">Johann Christian Günthers sämtliche Werke</t>
  </si>
  <si>
    <t xml:space="preserve">http://friedensbilder.gnm.de/content/frieden_objectb7a4e
http://friedensbilder.gnm.de/content/frieden_objectc6508</t>
  </si>
  <si>
    <t xml:space="preserve">[Eugen ist fort. Ihr Musen, nach!]</t>
  </si>
  <si>
    <t xml:space="preserve">GE 44-0110:283 (1)</t>
  </si>
  <si>
    <t xml:space="preserve">http://www.zeno.org/Literatur/M/G%C3%BCnther,+Johann+Christian/Gedichte/Gedichte/Lob-+und+Strafschriften/%28Frankfurt%29+Wittenberg+November+1715+-+Dresden+Anfang+September+1719/%5BEugen+ist+fort.+Ihr+Musen,+nach!%5D?hl=frieden</t>
  </si>
  <si>
    <t xml:space="preserve"> Auf den zwischen ihro Kayserl. Majestät und der Pforte An. 1718. geschloszenen Frieden</t>
  </si>
  <si>
    <t xml:space="preserve">Friedenszeit
Herrscherrepräsentation</t>
  </si>
  <si>
    <t xml:space="preserve">[Eugen ist fort. Ihr Musen, nach!], GE 44-0110:283 (1)</t>
  </si>
  <si>
    <t xml:space="preserve">Des Zwölff-Jährigen Friederichs von Hagedorn Gedancken Uber den jetzigen Nordischen Frieden Bey Gelegenheit Des am 14. Nov. 1720. celebrirten Danck-Festes, Jn allen Landen und Königreicheu [!] Sr. Maj. zu Dennemarck, Norwegen. [et]c. [et]c. </t>
  </si>
  <si>
    <t xml:space="preserve">Hist.Suec.406,misc.53</t>
  </si>
  <si>
    <t xml:space="preserve">Hagedorn, Friedrich von
Baak, Jobst Heinrich</t>
  </si>
  <si>
    <t xml:space="preserve">Altona</t>
  </si>
  <si>
    <t xml:space="preserve">12767352 </t>
  </si>
  <si>
    <t xml:space="preserve">http://digital.slub-dresden.de/werkansicht/dlf/71784/1/</t>
  </si>
  <si>
    <t xml:space="preserve"> A/31344</t>
  </si>
  <si>
    <t xml:space="preserve">[2] Bl.</t>
  </si>
  <si>
    <t xml:space="preserve">http://friedensbilder.gnm.de/sites/default/files/Hist.Suec_.406,misc.53.jpg
http://friedensbilder.gnm.de/sites/default/files/Hagedorn.pdf</t>
  </si>
  <si>
    <t xml:space="preserve">Mit nur 12 Jahren verfasste Friedrich von Hagedorn (1708–1754) seine panegyrische Dichtung auf Friedrich IV. von Dänemark-Norwegen (1671–1730). Anlass gab ihm der am 14. Juli 1720 geschlossene Friede von Frederiksborg, der zwischen den beiden Streitmächten Dänemark-Norwegen und Schweden geschlossen wurde und als Teil einer Vertragsreihe den Großen Nordischen Krieg beendete. Um den Frieden zu feiern, wurden am 14. November 1720 im gesamten Königreich Dänemark Dankfeste veranstaltet, wie dem Titelblatt des Druckes zu entnehmen ist. Nachdem die Schweden 1713 die dänischen Herzogtümer Schleswig und Holstein besetzt hatten, ging Schleswig nun vertraglich ganz an Dänemark. Und so schreibt Hagedorn den Frieden seinem Landesherrn zu, wenn er schreibt: „[…] daß da mit Frieden uns heut Friderich erfreut“. Der dänische König habe die Bevölkerung „von Sorgen befreyt“ und daher wiederholt der Autor: „Es lebe Friderich!“&amp;nbsp;Auch die königliche Familie wird in die Huldigung einbezogen. Friedrichs Frau Louise, Herzogin von Mecklenburg (1667–1721), sein erstgeborener Sohn Christian IV. von Dänemark-Norwegen (1699–1746) sowie die Geschwister des Königs, Prinz Karl (1680-1729) und Sophia Hedwig von Dänemark (1677–1735) werden huldigend genannt.&amp;nbsp;
FB
</t>
  </si>
  <si>
    <t xml:space="preserve">Des Zwölff-Jährigen Friederichs von Hagedorn Gedancken Uber den jetzigen Nordischen Frieden Bey Gelegenheit Des am 14. Nov. 1720. celebrirten Danck-Festes, Hist.Suec.406,misc.53</t>
  </si>
  <si>
    <t xml:space="preserve">https://friedensbilder-neu.gnm.de/sites/default/files/2019-06/Hist.Suec_.406,misc.53_0.png</t>
  </si>
  <si>
    <t xml:space="preserve">Des Zwölff-Jährigen Friederichs von Hagedorn Gedancken Uber den jetzigen Nordischen Frieden Bey Gelegenheit Des am 14. Nov. 1720. celebrirten Danck-Festes</t>
  </si>
  <si>
    <t xml:space="preserve">http://friedensbilder.gnm.de/content/frieden_foto_order1ea0ff</t>
  </si>
  <si>
    <t xml:space="preserve">Frolockende Zeilen, Welche Wegen des Friedens, So zwischen dem Könige in Dennemarck Norwegen &amp;c. &amp;c. Friderico dem IV. Und dem Könige in Schweden &amp;c. &amp;c. Friderico I.</t>
  </si>
  <si>
    <t xml:space="preserve">Hist.Suec.406,misc.54.b</t>
  </si>
  <si>
    <t xml:space="preserve">Hagedorn, Christian Ludwig von</t>
  </si>
  <si>
    <t xml:space="preserve">http://digital.slub-dresden.de/werkansicht/dlf/71787/1/</t>
  </si>
  <si>
    <t xml:space="preserve">Den 14. Novemb. Anno 1720. Jn schuldigster Pflicht sind abgefasset worden /</t>
  </si>
  <si>
    <t xml:space="preserve"> Von dem Acht-Jährigen Christ. Ludew. von Hagedorn </t>
  </si>
  <si>
    <t xml:space="preserve">http://friedensbilder.gnm.de/sites/default/files/Frolockende Zeilen_Hagedorn.pdf</t>
  </si>
  <si>
    <t xml:space="preserve">Frolockende Zeilen, Welche Wegen des Friedens, So zwischen dem Könige in Dennemarck Norwegen &amp;c. &amp;c. Friderico dem IV. Und dem Könige in Schweden &amp;c. &amp;c. Friderico I., Hist.Suec.406,misc.54.b</t>
  </si>
  <si>
    <t xml:space="preserve">Relazione della presentazione della Chinea </t>
  </si>
  <si>
    <t xml:space="preserve">Biblioteca di Archeologia e Storia dell'arte</t>
  </si>
  <si>
    <t xml:space="preserve">ROMA. X 422</t>
  </si>
  <si>
    <t xml:space="preserve">Relazione della presentazione della Chinea, ROMA. X 422</t>
  </si>
  <si>
    <t xml:space="preserve">Relazione della presentazione della Chinea</t>
  </si>
  <si>
    <t xml:space="preserve">Il mondo riparato</t>
  </si>
  <si>
    <t xml:space="preserve">VOL. MISC. 1210 1</t>
  </si>
  <si>
    <t xml:space="preserve">Stamperia della reverenda camera apostolica</t>
  </si>
  <si>
    <t xml:space="preserve">Concerto musicale a 5 voci da cantarsi nel Palazzo Apostolico la notte del santissimo Natale</t>
  </si>
  <si>
    <t xml:space="preserve">Il mondo riparato, VOL. MISC. 1210 1</t>
  </si>
  <si>
    <t xml:space="preserve">La pace degli elementi in ossequio al Natale del Redentore</t>
  </si>
  <si>
    <t xml:space="preserve">VOL. MISC. 1210 10</t>
  </si>
  <si>
    <t xml:space="preserve">Giubilei, Pietro
Pacieri, Giuseppe</t>
  </si>
  <si>
    <t xml:space="preserve">Nella stamperia della Reverenda Camera Apostolica</t>
  </si>
  <si>
    <t xml:space="preserve">https://books.google.it/books?id=g7PQTLFR5b4C&amp;lpg=PA9&amp;ots=fPJ0Kq5Dj6&amp;dq=la%20pace%20degli%20elementi%20i%20ossequio%20al%20natale%20del%20redentore&amp;hl=it&amp;pg=PA1#v=onepage&amp;q&amp;f=false</t>
  </si>
  <si>
    <t xml:space="preserve">Componimento per musica a cinque voci, con istrumenti da cantarsi per la Notte del Santissimo Natale nel Palazzo Apostolico.</t>
  </si>
  <si>
    <t xml:space="preserve">La pace degli elementi in ossequio al Natale del Redentore , VOL. MISC. 1210 10</t>
  </si>
  <si>
    <t xml:space="preserve">La pace degli elementi in ossequio al Natale del Redentore </t>
  </si>
  <si>
    <t xml:space="preserve">La terra tributaria con le quattro stagioni al Presepe di Nostro Signore.</t>
  </si>
  <si>
    <t xml:space="preserve">VOL. MISC. 1924 17</t>
  </si>
  <si>
    <t xml:space="preserve">https://books.google.it/books?id=YiiuymGW7eEC&amp;pg=PP3&amp;dq=la+terra+tributaria&amp;hl=it&amp;sa=X&amp;redir_esc=y#v=onepage&amp;q&amp;f=false</t>
  </si>
  <si>
    <t xml:space="preserve">MISC. VAL.695.7</t>
  </si>
  <si>
    <t xml:space="preserve">Componimento genetliaco per musica a 5 voci. Di Gaetano Monaci da cantarsi nel palazzo Vaticano la Notte del SS.mo Natale.</t>
  </si>
  <si>
    <t xml:space="preserve">La terra tributaria con le quattro stagioni al Presepe di Nostro Signore, VOL. MISC. 1924 17</t>
  </si>
  <si>
    <t xml:space="preserve">La terra tributaria con le quattro stagioni al Presepe di Nostro Signore</t>
  </si>
  <si>
    <t xml:space="preserve">Libretto per musica</t>
  </si>
  <si>
    <t xml:space="preserve">L'unione della Pace e di Marte, serenata a tre voci</t>
  </si>
  <si>
    <t xml:space="preserve">Fondo Racc. Dramm. Corniani Algarotti - 5810</t>
  </si>
  <si>
    <t xml:space="preserve">Mora, Antonio</t>
  </si>
  <si>
    <t xml:space="preserve">http://cantataitaliana.it/query_bid.php?id=4091</t>
  </si>
  <si>
    <t xml:space="preserve">http://bibliotecaestense.beniculturali.it/info/img/lib/i-mo-beu-70.i.2.6.pdf</t>
  </si>
  <si>
    <t xml:space="preserve">Biblioteca  Estense Universitaria</t>
  </si>
  <si>
    <t xml:space="preserve">Modena</t>
  </si>
  <si>
    <t xml:space="preserve">70.i.2.6</t>
  </si>
  <si>
    <t xml:space="preserve">Serenata</t>
  </si>
  <si>
    <t xml:space="preserve">In Venezia, presso Antonio Mora</t>
  </si>
  <si>
    <t xml:space="preserve">L'unione della Pace e di Marte, Fondo Racc. Dramm. Corniani Algarotti - 5810</t>
  </si>
  <si>
    <t xml:space="preserve">L'unione della Pace e di Marte</t>
  </si>
  <si>
    <t xml:space="preserve">Componimento a 5 voci</t>
  </si>
  <si>
    <t xml:space="preserve">VOL. MISC. 1360</t>
  </si>
  <si>
    <t xml:space="preserve">Bussotti, Giovanni Battista</t>
  </si>
  <si>
    <t xml:space="preserve">Nella stamperia di Gio: Battista Bussotti</t>
  </si>
  <si>
    <t xml:space="preserve">Da cantarsi la notte del SS.mo Natale nel Palazzo Apostolico</t>
  </si>
  <si>
    <t xml:space="preserve">Componimento a 5 voci, VOL. MISC. 1360</t>
  </si>
  <si>
    <t xml:space="preserve">La fede Consolata.</t>
  </si>
  <si>
    <t xml:space="preserve">VOL. MISC. 1923 14</t>
  </si>
  <si>
    <t xml:space="preserve">Cantata</t>
  </si>
  <si>
    <t xml:space="preserve">Componimento per musica da cantarsi al notte del Santissimo Natale nel Palazzo Apostolico. Parole dell’abate Pompeo Figari, musica di Flavio Lanciani virtuoso dell’eminentissimo Signor  Cardinale Ottoboni vicecancelliere &amp;c.</t>
  </si>
  <si>
    <t xml:space="preserve">La fede Consolata, VOL. MISC. 1923 14</t>
  </si>
  <si>
    <t xml:space="preserve">La fede Consolata</t>
  </si>
  <si>
    <t xml:space="preserve">Li pastori di Bettelemme annunziati dall'angelo.</t>
  </si>
  <si>
    <t xml:space="preserve">VOL. MISC. 1923 13</t>
  </si>
  <si>
    <t xml:space="preserve">https://books.google.it/books?vid=IBNR:CR000438405&amp;redir_esc=y</t>
  </si>
  <si>
    <t xml:space="preserve">34. 4.F.22.15</t>
  </si>
  <si>
    <t xml:space="preserve">Concerto musicale da cantarsi nel Palazzo Apostolico la notte del Santissimo Natale.</t>
  </si>
  <si>
    <t xml:space="preserve">Li pastori di Bettelemme annunziati dall'angelo, VOL. MISC. 1923 13</t>
  </si>
  <si>
    <t xml:space="preserve">Li pastori di Bettelemme annunziati dall'angelo</t>
  </si>
  <si>
    <t xml:space="preserve">Vaticini di Pace. </t>
  </si>
  <si>
    <t xml:space="preserve">VOL. MISC. 615 1</t>
  </si>
  <si>
    <t xml:space="preserve">Chracas, Luca Antonio</t>
  </si>
  <si>
    <t xml:space="preserve">https://books.google.it/books?id=c_5DAAAAcAAJ&amp;printsec=frontcover&amp;dq=vaticini+di+pace&amp;hl=it&amp;sa=X&amp;redir_esc=y#v=onepage&amp;q=vaticini%20di%20pace&amp;f=false</t>
  </si>
  <si>
    <t xml:space="preserve">VOL. MISC. 1645 21</t>
  </si>
  <si>
    <t xml:space="preserve">Componimento per musica da cantarsi nel palazzo Apostolico la notte del Santissimo Natale</t>
  </si>
  <si>
    <t xml:space="preserve">In Roma per Luca Antonio Chracas MDCC III</t>
  </si>
  <si>
    <t xml:space="preserve">Vaticini di pace., VOL. MISC. 615 1</t>
  </si>
  <si>
    <t xml:space="preserve">Vaticini di pace.</t>
  </si>
  <si>
    <t xml:space="preserve">Cantata da recitarsi la Notte del Santissimo Natale nel palazzo Apostolico.</t>
  </si>
  <si>
    <t xml:space="preserve">Rar. Libr. Orat. 18. Jh. 164</t>
  </si>
  <si>
    <t xml:space="preserve">Autor</t>
  </si>
  <si>
    <t xml:space="preserve">Gini, Paolo</t>
  </si>
  <si>
    <t xml:space="preserve">http://daten.digitale-sammlungen.de/bsb00049909/image_1</t>
  </si>
  <si>
    <t xml:space="preserve">L'anno MDCCXIII. Parole del dott. Paolo Gini, Musica del Signor Antonio Caldara</t>
  </si>
  <si>
    <t xml:space="preserve">In Roma. Nella stamperia della Reverenda Camera Apostolica MDCCXIII</t>
  </si>
  <si>
    <t xml:space="preserve">http://friedensbilder.gnm.de/sites/default/files/bsb00049909_00001.jpg</t>
  </si>
  <si>
    <t xml:space="preserve">Cantata, Rar. Libr. Orat. 18. Jh. 164</t>
  </si>
  <si>
    <t xml:space="preserve">http://friedensbilder.gnm.de/content/frieden_foto_order1df589</t>
  </si>
  <si>
    <t xml:space="preserve">Die An Jhro Kayserl. Majestät bey denen den 17., 18. und 19. Sept. von der Schul-Jugend vor Schweidnitz vorgestellten DRAMATJBUS</t>
  </si>
  <si>
    <t xml:space="preserve">GE 44-0110:283 (2)</t>
  </si>
  <si>
    <t xml:space="preserve">Günther, Johann Christian
Ockel, Christian</t>
  </si>
  <si>
    <t xml:space="preserve">104-108</t>
  </si>
  <si>
    <t xml:space="preserve">Abgesungene Unterthänugste GRATULATION</t>
  </si>
  <si>
    <t xml:space="preserve">Die An Jhro Kayserl. Majestät bey denen den 17., 18. und 19. Sept. von der Schul-Jugend vor Schweidnitz vorgestellten DRAMATJBUS, GE 44-0110:283 (2)</t>
  </si>
  <si>
    <t xml:space="preserve">La Fede e l'Amore in pace</t>
  </si>
  <si>
    <t xml:space="preserve">Fondo Racc. Dramm. Corniani Algarotti - 3337</t>
  </si>
  <si>
    <t xml:space="preserve">In Brescia, M.DCCXIX. Per Gio: Maria Rizzardi</t>
  </si>
  <si>
    <t xml:space="preserve">http://www.urfm.braidense.it/rd/03337.pdf</t>
  </si>
  <si>
    <t xml:space="preserve">Festa pastorale</t>
  </si>
  <si>
    <t xml:space="preserve">Nel ritorno delle milizie cresciane dopo le campagne terminate in Levante contro il Turco.</t>
  </si>
  <si>
    <t xml:space="preserve">La lettera al lettore fa riferimento ad una precedente accademia o festa pastorale tenuta nel 1716 dal titolo La Fede, e l'Amore in armi della quale non ho trovato altra notizia o fonti.Le due Accademia devono essere collegate anche con una prima intitolata la lega degli affetti (vedi) tenuta nel 1716 sempre a Brescia nello stesso Collegio dei Nobili ad opera di convittori e altri accademici bresciani.La fede e l'Amore in pace, si compone di 10 egloghe, ma il libretto ricorda che "Prima d'ogni altra recita, ed esercizio Cavalleresco [fu] premesso un ben inteso concerto di musicali stromenti" seguito da una breve prefazione da parte del sig. Francesco Gambara, dell'Accademia dei Formati, nella quale fu spiegato tutto il disegno dell'Accademia.Non ho potuto finora rinvenire le partiture dei balli, dei cori e degli interventi strumentali.Per gli interpreti rimando al libretto, mentre poco posso aggiungere sugli strumentisti e cantanti che vi furono impiegati. Probabilmente le sezioni corali, come i balli, furono eseguite dagli stessi convittori.&amp;nbsp;</t>
  </si>
  <si>
    <t xml:space="preserve">La Fede e l'Amore in pace, Fondo Racc. Dramm. Corniani Algarotti - 3337</t>
  </si>
  <si>
    <t xml:space="preserve">Te Deum. Relazione </t>
  </si>
  <si>
    <t xml:space="preserve">Cc 67</t>
  </si>
  <si>
    <t xml:space="preserve">Becket</t>
  </si>
  <si>
    <t xml:space="preserve">[Rome]September 24 [1770].There was a grand Funzione at the Santi Apostoli, on the account of the reconciliation of the Pope and the King of Portugal.It was at this church that I first saw his Holiness, and a great number of Cardinals, and heard Te Deum.There were two large bands of music, and an immense crowd. The music was composed by Signor Mosi. Cristofero sung charmingly; the airs were pretty, but the choruses poor.In the evening the outside of cupola, church, and colonnade of St. Peter, together with the Vatican palace, were finely illuminated, which affords a spectacle to the inhabitants of Rome, not to be equaled in the universe.And in the balconies, next to the street, at the palaces of most of the Cardinals, besides illuminations, there were concerts of very numerous bands of instrumental performers; but chiefly at the residence of the Portuguese Ambassador,where the hands employed amounted to above a hundred, and these continued their performance all night. However, this music, though in the open air, was too noisy for me, and I retreated from it early, in order to have my ears foothedwith more placid founds at the Duke of Dorset’s concert.</t>
  </si>
  <si>
    <t xml:space="preserve">Wort-Wechsel des Krieges mit dem Frieden über die gegenwärtigen Zeiten / bey Gelegenheit Des von neuem glücklich erlebten Hohen Geburths-Fests Sr. Excell. Des Königl. Pohl. und Churfürstl. Sächß. Hochbestalten General-Lieutenants bey der Infanterie und Hochverdienten Commendantes auff der Vestung Königstein, ... Herrn Friedrich Willhelms, Freiherrns von Kyau</t>
  </si>
  <si>
    <t xml:space="preserve">Hist.Sax.D.180,48</t>
  </si>
  <si>
    <t xml:space="preserve">Ludwig, Georg Balthasar</t>
  </si>
  <si>
    <t xml:space="preserve">Pirna</t>
  </si>
  <si>
    <t xml:space="preserve">http://digital.slub-dresden.de/werkansicht/dlf/76062/1/</t>
  </si>
  <si>
    <t xml:space="preserve">2 Bl. </t>
  </si>
  <si>
    <t xml:space="preserve">frolockend besungen am 6. Maji Anno 1726 </t>
  </si>
  <si>
    <t xml:space="preserve">Wort-Wechsel des Krieges mit dem Frieden über die gegenwärtigen Zeiten , Hist.Sax.D.180,48</t>
  </si>
  <si>
    <t xml:space="preserve">Wort-Wechsel des Krieges mit dem Frieden über die gegenwärtigen Zeiten </t>
  </si>
  <si>
    <t xml:space="preserve">Carl, Der Friedensstifter</t>
  </si>
  <si>
    <t xml:space="preserve">Universitätsbibliothek Rostock</t>
  </si>
  <si>
    <t xml:space="preserve">Cf-3449/4</t>
  </si>
  <si>
    <t xml:space="preserve">Gottsched, Johann Christoph
Breitkopf, Bernhard Christoph</t>
  </si>
  <si>
    <t xml:space="preserve">6 Bl.</t>
  </si>
  <si>
    <t xml:space="preserve">in einer Ode gepriesen </t>
  </si>
  <si>
    <t xml:space="preserve">15357898X </t>
  </si>
  <si>
    <t xml:space="preserve">Karl IV. wird als Friedensbringer dargestellt (Titel!), außerdem ausführliche Beschreibung/ Vorstellung der zukünftigen Friedenszeit</t>
  </si>
  <si>
    <t xml:space="preserve">Carl, der Friedensstifter, Cf-3449/4</t>
  </si>
  <si>
    <t xml:space="preserve">Carl, der Friedensstifter</t>
  </si>
  <si>
    <t xml:space="preserve">Das edle Kleinod Des Fridens,</t>
  </si>
  <si>
    <t xml:space="preserve">Österreichische Nationalbibliothek</t>
  </si>
  <si>
    <t xml:space="preserve">Wien</t>
  </si>
  <si>
    <t xml:space="preserve">220732-B</t>
  </si>
  <si>
    <t xml:space="preserve">Fritz, Gregor Sebastian
Präxl, Ignaz Anton</t>
  </si>
  <si>
    <t xml:space="preserve">Krems</t>
  </si>
  <si>
    <t xml:space="preserve">http://digital.onb.ac.at/OnbViewer/viewer.faces?doc=ABO_%2BZ203321200</t>
  </si>
  <si>
    <t xml:space="preserve">11 Bl.</t>
  </si>
  <si>
    <t xml:space="preserve">In kurtzer Lob-und Danck-Rede vorgestellt:</t>
  </si>
  <si>
    <t xml:space="preserve">Als eine Lands-Fürstliche Stadt Stein Gott dem himmlichen Fridens-Fürsten, wegen glücklich errichteten Friden, zwischen Ihro Röm. Kayserl. und Königl. Catholischen Majestät, und der Crone Frankreich mit einem Herzlichen Lob- und Danck-Fest verehrete. Den 8ten Sonntag nach Pfingsten im Jahr 1739. Abgeredet in St. Nicolai Stadt-Pfarr-Kirchen allda...</t>
  </si>
  <si>
    <t xml:space="preserve">Crembs, gedruckt bey Ignatz Anton Präxl, Wiennerisch Univ. Buchdr.</t>
  </si>
  <si>
    <t xml:space="preserve">Neben den Vorstellungen eines göttliches Friedens sind hier vor allem die Nennungen der einzelnen "Friedenskategorien" interessant.
</t>
  </si>
  <si>
    <t xml:space="preserve">http://friedensbilder.gnm.de/sites/default/files/Fritz.jpg</t>
  </si>
  <si>
    <t xml:space="preserve">Die vorliegende Predigt&amp;nbsp;von Gregor Sebastian Fritz (gest. 1767) ist durch zwei Besonderheiten ausgezeichnet: Zum einen ist sie eine der relativ wenigen gedruckt überlieferten katholischen Friedenspredigten, zum anderen bietet sie eine ungewöhnliche Typologisierung des Friedens. In der nachstehenden Reihenfolge werden die Friedenstypen abgehandelt. Dabei wird jeweils kurz umrissen, was sie bedeuten und warum sie im gesamtgesellschaftlichen Kontext für die Wiederherstellung und den Bestand des allgemeinen Friedens von Nutzen sind. Fritz erläutert hierzu einleitend den Haus- oder Ehefrieden, gefolgt vom bürgerlichen Frieden, dem Landfrieden, dem Kirchenfrieden und dem Gewissensfrieden. Ausgehend vom privaten Bereich, dem er den Haus- und Ehefrieden zuordnet, überträgt er die Begrifflichkeiten auf die Ebene des Gemeinwohls, wie etwa im Land- und Kirchenfrieden. Diese Hierarchisierung geht folglich von der kleinsten gesellschaftlichen Einheit, der Familie, aus, deren Eintracht erst ein friedliches Zusammenleben in der Gemeinschaft ermöglicht. Im Umkehrschluss resultieren daraus die oben genannten Land- und Kirchenfrieden, in dem die konfessionellen Unterschiede überwunden werden und in dem Gewissensfrieden als höchste Stufe enden. Diese Typologisierung ist geleitet von der Annahme, dass der Friede ernährt und Wohlstand bringt. Veröffentlicht wurde die Predigt im Zuge des Wiener Friedens von 1739 zwischen dem Kaiser und Frankreich, der den Polnischen Erbfolgekrieg beendete.
FB/HPJ
</t>
  </si>
  <si>
    <t xml:space="preserve">Friedenszeit
Ordnungsvorstellungen</t>
  </si>
  <si>
    <t xml:space="preserve">Das edle Kleinod des Friedens, 220732-B</t>
  </si>
  <si>
    <t xml:space="preserve">https://friedensbilder-neu.gnm.de/sites/default/files/2019-06/220732-B_0.png</t>
  </si>
  <si>
    <t xml:space="preserve">Das edle Kleinod des Friedens</t>
  </si>
  <si>
    <t xml:space="preserve">http://friedensbilder.gnm.de/content/frieden_foto_order1b7fc8</t>
  </si>
  <si>
    <t xml:space="preserve">Ode auf das Friedens-Fest Welches Ihro Kayserl. Maj. Anna Joannowna Kayserin und Selbst-Herrscherin aller Reussen [et]c. [et]c. [et]c. wegen des von Höchst-Denenselben mit der Ottomannischen Pforte den 7. Septembr. 1739. glücklich geschlossenen Friedens prächtigst feyren ließ / zum allerunterthänigsten Glückwunsch entrichtet von der Kayserl. Academie </t>
  </si>
  <si>
    <t xml:space="preserve">2 H RUSS 304/3 (6)</t>
  </si>
  <si>
    <t xml:space="preserve">St. Petersburg</t>
  </si>
  <si>
    <t xml:space="preserve">http://gdz.sub.uni-goettingen.de/dms/load/img/?PID=PPN626182190</t>
  </si>
  <si>
    <t xml:space="preserve">http://friedensbilder.gnm.de/sites/default/files/Ode auf das Friedens-Fest.jpg</t>
  </si>
  <si>
    <t xml:space="preserve">Ode auf das Friedens-Fest, 2 H RUSS 304/3 (6)</t>
  </si>
  <si>
    <t xml:space="preserve">Ode auf das Friedens-Fest</t>
  </si>
  <si>
    <t xml:space="preserve">Gott und Friedrich schenkt uns Friede vor Die Kirch und vor das Land; Drumb küßt auch Kleinknignitz heute Gottes Und des Koenigs Hand :</t>
  </si>
  <si>
    <t xml:space="preserve">Mb 3802 a (11)</t>
  </si>
  <si>
    <t xml:space="preserve">Baumann, Georg</t>
  </si>
  <si>
    <t xml:space="preserve">http://digitale.bibliothek.uni-halle.de/urn/urn:nbn:de:gbv:3:1-134754</t>
  </si>
  <si>
    <t xml:space="preserve">An dem allerhöchstverordneten Dankfeste als dem Achten Sonntage nach dem Feste der Allerheiligsten Dreyeinigkeit, oder den 15. Jul. 1742</t>
  </si>
  <si>
    <t xml:space="preserve">Breßlau, In der Baumannis. Erben Buchdr. druckts Joh. Theoph. Straubel, Factor. </t>
  </si>
  <si>
    <t xml:space="preserve">http://friedensbilder.gnm.de/sites/default/files/Gott und Friedrich schenkt uns Friede.jpg</t>
  </si>
  <si>
    <t xml:space="preserve">Bereits der Titel dieser Ode zeigt eine grundlegend andere Perspektive auf die Rollen von Gott und weltlichem Herrscher im Friedensprozess. In den Texten zur Zeit des Dreißigjährigen Kriegs erschien Gott der alleinige Akteur, die Herrscher kamen kaum über eine Rolle als Erfüllungsgehilfen göttlichen Willens hinaus. Hier hingegen sind Gott und Herrscher schon allein sprachlich komplett gleichgeordnet und agieren gleichsam&amp;nbsp; im Duett. Nicht allein der Landesherr Friedrich II. von Preußen ist für den Friedensvertrag von Berlin 1742 verantwortlich, sondern Gott. Der Frieden von Berlin beendete den Ersten Schlesischen Krieg, den der Preußenkönig 1740 mit dem Einmarsch in Schlesien begonnen hatte. Er beanspruchte das habsburgische Gebiet für sich und sollte 1742 diesen Anspruch auch durchsetzen können. Die vorliegende Ode wurde zum Dankfest in Klein Knignitz (Niederschlesien) am 15. Juli 1742 geschrieben und veröffentlicht. Es sind noch weitere Friedensfeste in Schlesien für diesen Tag nachweisbar. Die schlesischen Protestanten begrüßten den Sieg der Preußen, weil sie unter der Habsburger Herrschaft ihren Glauben nur unter Repressalien ausüben konnten und in Friedrich II. daher eher einen Befreier als einen Eroberer sahen.
Klagen über den Krieg werden in den ersten beiden Strophen behandelt. Die Friedenszeit ist hingegen kennzeichnet durch Stabilität, Eintracht und Frömmigkeit: „Haltet Friede mit den Brüdern/ […] steht im Glauben, flieht die Laster! Treibt mit GOTT und Schrifft nicht spott!“.&amp;nbsp;
FB
</t>
  </si>
  <si>
    <t xml:space="preserve">Gott und Friedrich schenkt uns Friede vor Die Kirch und vor das Land; Drumb küßt auch Kleinknignitz heute Gottes Und des Koenigs Hand :, Mb 3802 a (11)</t>
  </si>
  <si>
    <t xml:space="preserve">https://friedensbilder-neu.gnm.de/sites/default/files/2019-06/Mb-3802-a-11.png</t>
  </si>
  <si>
    <t xml:space="preserve">http://friedensbilder.gnm.de/content/frieden_foto_order1c5427</t>
  </si>
  <si>
    <t xml:space="preserve">Patriotisches Schreiben Des Teutschen Friedens Aus Dem unbekannten Sud-Land an seinen Landsmann den teutschen Heldenmuth, Und dessen Antwort hierauf, die Verwirrungen, und wunderliche Avanturen der Frantzosen in Teutschland betreffend</t>
  </si>
  <si>
    <t xml:space="preserve">DD91 A 33891 (1)</t>
  </si>
  <si>
    <t xml:space="preserve">Kirchberger, Franz Andreas</t>
  </si>
  <si>
    <t xml:space="preserve">http://gdz.sub.uni-goettingen.de/dms/load/img/?PID=PPN616620918</t>
  </si>
  <si>
    <t xml:space="preserve">10 Bl.</t>
  </si>
  <si>
    <t xml:space="preserve">http://friedensbilder.gnm.de/sites/default/files/patriotisches Schreiben.jpg</t>
  </si>
  <si>
    <t xml:space="preserve">Patriotisches Schreiben Des Teutschen Friedens Aus Dem unbekannten Sud-Land an seinen Landsmann den teutschen Heldenmuth, DD91 A 33891 (1)</t>
  </si>
  <si>
    <t xml:space="preserve">Patriotisches Schreiben Des Teutschen Friedens Aus Dem unbekannten Sud-Land an seinen Landsmann den teutschen Heldenmuth</t>
  </si>
  <si>
    <t xml:space="preserve">Des Herrn von Königs Gedichte</t>
  </si>
  <si>
    <t xml:space="preserve"> 23.8.6572</t>
  </si>
  <si>
    <t xml:space="preserve">Herausgeber
Verfasser
Verleger</t>
  </si>
  <si>
    <t xml:space="preserve">Rost, Johann Leonhard
König, Johann Ulrich von
Walther, Georg Conrad</t>
  </si>
  <si>
    <t xml:space="preserve">11406941 </t>
  </si>
  <si>
    <t xml:space="preserve">http://digital.slub-dresden.de/werkansicht/dlf/24751/9/0/</t>
  </si>
  <si>
    <t xml:space="preserve">645 S.</t>
  </si>
  <si>
    <t xml:space="preserve">62641086X</t>
  </si>
  <si>
    <t xml:space="preserve">http://friedensbilder.gnm.de/sites/default/files/König.png</t>
  </si>
  <si>
    <t xml:space="preserve">http://friedensbilder.gnm.de/content/frieden_objectca81c</t>
  </si>
  <si>
    <t xml:space="preserve">Der befriedigte Elbe-Strohm durch die abermalige glückliche Geburt eines Chur-Sächß. Prinzen, in Pillnitz, 1721</t>
  </si>
  <si>
    <t xml:space="preserve"> 23.8.6572 (1)</t>
  </si>
  <si>
    <t xml:space="preserve">König, Johann Ulrich von</t>
  </si>
  <si>
    <t xml:space="preserve">http://digital.slub-dresden.de/werkansicht/dlf/24751/680/0/</t>
  </si>
  <si>
    <t xml:space="preserve">74-84</t>
  </si>
  <si>
    <t xml:space="preserve">Der befriedigte Elbe-Strohm durch die abermalige glückliche Geburt eines Chur-Sächß. Prinzen, in Pillnitz, 1721,  23.8.6572 (1)</t>
  </si>
  <si>
    <t xml:space="preserve">Der Sieg, Ein Vater des Friedens und der Glückseligkeit, Ein Vorspiel, welches ... und der ... Schönemannischen Schaubühne aufgeführet worden</t>
  </si>
  <si>
    <t xml:space="preserve">Yr 906</t>
  </si>
  <si>
    <t xml:space="preserve">Krüger, Johann Christian</t>
  </si>
  <si>
    <t xml:space="preserve">Der Sieg, Ein Vater des Friedens und der Glückseligkeit, Yr 906</t>
  </si>
  <si>
    <t xml:space="preserve">Der Sieg, Ein Vater des Friedens und der Glückseligkeit</t>
  </si>
  <si>
    <t xml:space="preserve">Der Zwischen Sr. Königl. Majestät in Preussen; Ihro Maj. der Kayserin, und Königin von Ungarn und Böhmen, und Sr. Königl. Majestät in Pohlen, den 25. Decembr. zu Dresden Glücklich geschlossene Friede Ward in gegenwärtiger Ode besungen / von Gottfried Ephraim Scheibel, Gymn. Elis. Collega in Breslau</t>
  </si>
  <si>
    <t xml:space="preserve">3 in: Yk 8661</t>
  </si>
  <si>
    <t xml:space="preserve">Scheibel, Gottfried Ephraim</t>
  </si>
  <si>
    <t xml:space="preserve">http://friedensbilder.gnm.de/sites/default/files/00000001.tif</t>
  </si>
  <si>
    <t xml:space="preserve">Der Friede von Dresden beendete im Dezember 1745 den Zweiten Schlesischen Krieg, wodurch Schlesien endgültig preußisches Territorium wurde. Der aus Breslau stammende Gottfried Ephraim Scheibel (1669–1759) schrieb zu diesem Anlass eine panegyrische Ode auf Friedrich II. Gleich zu Beginn wird das Gerücht eines bevorstehenden Friedensschlusses angesprochen: „Höret, höret doch erstaunt […] was die Fama ausposaunt?“Die Figur der Fama wird bei Vergil geflügelt und über und über mit Zungen, Mündern und Ohren bedeckt beschrieben, die alle Ereignisse auf der Welt beobachtet. Seit dem Mittelalter steht sie für das Gerücht. Trompete oder Posaune sind ihre Attribute, mit denen sie die Gerüchte verkündet. Je nach Art der Nachricht kann es eine Fama bona und eine Fama mala geben.Im Verlauf der Ode wird die Nachricht vom Frieden gefestigt. „Doch wie wird mir? Hör ich nicht da die schnelle Posten eilen und mit Blasen den Bericht von dem Frieden dir ertheilen […]“. Zur Rolle des Herolds bzw. Postreiters siehe&amp;nbsp;Xb 10318 (5).&amp;nbsp;Die Benachrichtigung durch einen Herold bedeutete den sicheren Abschluss eines Friedens im Gegensatz zur Erscheinung der Fama.&amp;nbsp;FB&amp;nbsp;</t>
  </si>
  <si>
    <t xml:space="preserve">Der Zwischen Sr. Königl. Majestät in Preussen; Ihro Maj. der Kayserin, und Königin von Ungarn und Böhmen, und Sr. Königl. Majestät in Pohlen, den 25. Decembr. zu Dresden Glücklich geschlossene Friede, 3 in: Yk 8661</t>
  </si>
  <si>
    <t xml:space="preserve">https://friedensbilder-neu.gnm.de/sites/default/files/2019-06/3-in-Yk-8661.png</t>
  </si>
  <si>
    <t xml:space="preserve">Der Zwischen Sr. Königl. Majestät in Preussen; Ihro Maj. der Kayserin, und Königin von Ungarn und Böhmen, und Sr. Königl. Majestät in Pohlen, den 25. Decembr. zu Dresden Glücklich geschlossene Friede</t>
  </si>
  <si>
    <t xml:space="preserve">http://friedensbilder.gnm.de/content/frieden_foto_order1b3b0e</t>
  </si>
  <si>
    <t xml:space="preserve">Die rühmliche Zurückkunft des Königes aus Böhmen, der Sächsische Feldzug, nebst dem Siege bey Kesselsdorf, und dem darauf erfolgten Frieden, als die lezte Fortsetzung des befreyten Schlesiens /</t>
  </si>
  <si>
    <t xml:space="preserve">4 in: Yk 8661</t>
  </si>
  <si>
    <t xml:space="preserve">Stoeckel, Christian Gottlob</t>
  </si>
  <si>
    <t xml:space="preserve">königliche Hofdruckerei</t>
  </si>
  <si>
    <t xml:space="preserve">Königsberg</t>
  </si>
  <si>
    <t xml:space="preserve">entworfen durch Christian Gottlob Stöckeln. D.R.A. der deutschen Gesellschaft zu Frankfurt an der Oder Mitglied</t>
  </si>
  <si>
    <t xml:space="preserve">http://friedensbilder.gnm.de/sites/default/files/00000001_0.tif
http://friedensbilder.gnm.de/sites/default/files/00000002.tif</t>
  </si>
  <si>
    <t xml:space="preserve">Der Jurist Christian Gottlob Stoeckel (1722-1774) veröffentliche 1746 einen Druck, der drei titellose Dichtungen enthält. Thematisch sind die drei Teile gegliedert in den Einzug Friedrichs II. in Berlin nach dem Sieg bei Kesselsdorf, alle bisherigen Kampfhandlungen in Sachsen und die Schlacht bei Kesselsdorf selbst. Dort besiegten die preußischen Truppen unter Leopold von Dessau am 15.12.1745 die Truppen Österreichs und Sachsens. Die Schlacht entschied den Ausgang des Zweiten Schlesischen Kriegs zugunsten Preußens.
In erster Linie huldigt die erste Dichtung dem König. Als Lobgedicht auf Friedrich II. stellt sie die militärischen Fähigkeiten des Monarchen heraus. Wiederholt bezeichnet Stoeckel ihn als „Helden“. Beim Einzug in seine Residenzstadt, so der Autor, jubeln ihm die Bürger zu: „Es lebe Friedrich!“ 
Weiter bezeichnet Stoeckel den König als „Deutschlands Alexander“ und beschreibt detailliert den Einzug: „Ein jeder schmükt den Hut, mit grünen Tannenzweigen, und stolz, dem Könige sein kriegerisch Herz zu zeigen […]“. Der Einzug wird musikalisch begleitet durch Pauken und Trompeten. Die Verwendung dieser militärisch konnotierten Instrumente unterstreicht Friedrichs militärisches Geschick musikalisch.
</t>
  </si>
  <si>
    <t xml:space="preserve">Die rühmliche Zurückkunft des Königes aus Böhmen, 4 in: Yk 8661</t>
  </si>
  <si>
    <t xml:space="preserve">https://friedensbilder-neu.gnm.de/sites/default/files/2019-06/4-in-Yk-8661_0.png</t>
  </si>
  <si>
    <t xml:space="preserve">Die rühmliche Zurückkunft des Königes aus Böhmen</t>
  </si>
  <si>
    <t xml:space="preserve">http://friedensbilder.gnm.de/content/frieden_foto_order1b3b12</t>
  </si>
  <si>
    <t xml:space="preserve">Schlesiens freudenvolles Danckopfer vor die unsterbliche Großmuth ihres Lorbeerreichen Friedenstifters mit allerunterthänigster Ehrfurcht wiederhohlet /</t>
  </si>
  <si>
    <t xml:space="preserve">5 in: Yk 8661</t>
  </si>
  <si>
    <t xml:space="preserve">Langenau, Ludwig Wilhelm von</t>
  </si>
  <si>
    <t xml:space="preserve">durch Ludwig Wilhelm von Langnau und Wandritsch Königl. Preuß Oberamts-Regierungs- und Ober-Consistorial. Rath</t>
  </si>
  <si>
    <t xml:space="preserve">Schlesiens freudenvolles Danckopfer vor die unsterbliche Großmuth ihres Lorbeerreichen Friedenstifters mit allerunterthänigster Ehrfurcht wiederhohlet, 5 in: Yk 8661</t>
  </si>
  <si>
    <t xml:space="preserve">Schlesiens freudenvolles Danckopfer vor die unsterbliche Großmuth ihres Lorbeerreichen Friedenstifters mit allerunterthänigster Ehrfurcht wiederhohlet</t>
  </si>
  <si>
    <t xml:space="preserve">Sendschreiben eines sächsischen Cavaliers, an einen vornehmen Preussl. General, in gebundener Rede, die letztere Schlacht bey Kesselsdorf und den Frieden betreffend</t>
  </si>
  <si>
    <t xml:space="preserve">AB 155182 (9)</t>
  </si>
  <si>
    <t xml:space="preserve">http://dfg-viewer.de/show/?id=8071&amp;tx_dlf%5Bid%5D=http%3A%2F%2Fdigitale.bibliothek.uni-halle.de%2Foai%2F%3Fverb%3DGetRecord%26metadataPrefix%3Dmets%26identifier%3D5410733&amp;tx_dlf%5Bpage%5D=1</t>
  </si>
  <si>
    <t xml:space="preserve">http://friedensbilder.gnm.de/sites/default/files/Sendschreiben.png</t>
  </si>
  <si>
    <t xml:space="preserve">Sendschreiben eines sächsischen Cavaliers, an einen vornehmen Preussl. General, AB 155182 (9)</t>
  </si>
  <si>
    <t xml:space="preserve">Sendschreiben eines sächsischen Cavaliers, an einen vornehmen Preussl. General</t>
  </si>
  <si>
    <t xml:space="preserve">Zufällige Gedanken über den Von Sr. Königl. Majestät in Preussen Mit Dero ehemaligen Feinden den 25ten December 1745. Glücklich getroffenen Frieden eröfnet von einem Friedliebenden </t>
  </si>
  <si>
    <t xml:space="preserve">Yk 8832</t>
  </si>
  <si>
    <t xml:space="preserve">http://digital.staatsbibliothek-berlin.de/werkansicht?PPN=PPN729965317&amp;PHYSID=PHYS_0004&amp;DMDID=DMDLOG_0001&amp;view=overview-info</t>
  </si>
  <si>
    <t xml:space="preserve">http://ngcs.staatsbibliothek-berlin.de/?action=metsImage&amp;format=jpg&amp;metsFile=PPN729965317&amp;divID=PHYS_0005&amp;width=1200</t>
  </si>
  <si>
    <t xml:space="preserve">Zufällige Gedanken über den Von Sr. Königl. Majestät in Preussen Mit Dero ehemaligen Feinden den 25ten December 1745. Glücklich getroffenen Frieden, Yk 8832</t>
  </si>
  <si>
    <t xml:space="preserve">Zufällige Gedanken über den Von Sr. Königl. Majestät in Preussen Mit Dero ehemaligen Feinden den 25ten December 1745. Glücklich getroffenen Frieden</t>
  </si>
  <si>
    <t xml:space="preserve">Die vollkommene Freude Preußischer Unterthanen, wie über die Grose Siege und viele Eroberungen vom December 1740. bis Ianuarius 1746. Seiner Königlichen Majestät, Allerdurchlauchtigsten, Großmächtigsten Fürsten und Herrn, Friderich II, Königs in Preussen, Marggraffen zu Brandenburg, des Heil. Röm. Reichs Ertz-Cämmerern und Churfürsten ... So ins besondere über den Herrlichen Frieden, welchen dieser Allgnädigste Monarch mit den Allerdurchlauchtigsten, Großmächtigsten Häusern, dem Kaiserlich-Königlich-Ungarisch-Böhmisch-Ertz-Hertzoglich-Oesterreichischen und dem Königlich-Chur-Sächsischen Hause, den 23. Decemb. 1745. getroffen</t>
  </si>
  <si>
    <t xml:space="preserve">4" Yk 8730</t>
  </si>
  <si>
    <t xml:space="preserve">Schmid, Andreas</t>
  </si>
  <si>
    <t xml:space="preserve">Vries, Jakob de, Witwe</t>
  </si>
  <si>
    <t xml:space="preserve">Kleve</t>
  </si>
  <si>
    <t xml:space="preserve">http://digital.staatsbibliothek-berlin.de/werkansicht?PPN=PPN735644683&amp;PHYSID=PHYS_0003&amp;DMDID=DMDLOG_0001&amp;view=overview-info</t>
  </si>
  <si>
    <t xml:space="preserve"> an dem desfals den [ ] Ianuar. 1746. zu Cleve ungemein fröhlich gefeyerten Danck- und Freudenfest, in allertiefster Ehrfurcht allerunterthänigst-gehorsamst nur einiger massen ausgedrücket von Andreas Schmid, I.U.C. Phil. &amp; Math. C.</t>
  </si>
  <si>
    <t xml:space="preserve">http://ngcs.staatsbibliothek-berlin.de/?action=metsImage&amp;format=jpg&amp;metsFile=PPN735644683&amp;divID=PHYS_0003&amp;width=1200</t>
  </si>
  <si>
    <t xml:space="preserve">Die vollkommene Freude Preußischer Unterthanen, 4" Yk 8730</t>
  </si>
  <si>
    <t xml:space="preserve">Die vollkommene Freude Preußischer Unterthanen</t>
  </si>
  <si>
    <t xml:space="preserve">Die Von der Vorsicht nach Sachsen abgeschickte Irene oder Göttin des Friedens :</t>
  </si>
  <si>
    <t xml:space="preserve">Pon Vd 2369 , QK</t>
  </si>
  <si>
    <t xml:space="preserve">Baumeister, Friedrich Christian
Richter, Sigmund Ehrenfried</t>
  </si>
  <si>
    <t xml:space="preserve">Görlitz</t>
  </si>
  <si>
    <t xml:space="preserve">http://digitale.bibliothek.uni-halle.de/urn/urn:nbn:de:gbv:3:1-180406</t>
  </si>
  <si>
    <t xml:space="preserve">16 Bl.</t>
  </si>
  <si>
    <t xml:space="preserve">In einem Gedichte an dem Friedens-Feste, So in dem Gymnasio zu Görlitz 1746. d. 31. Januar feyerlich begangen wurde /</t>
  </si>
  <si>
    <t xml:space="preserve">Vorgestellet von M. Friedrich Christian Baumeister, Rect. Gymnasii.</t>
  </si>
  <si>
    <t xml:space="preserve">http://friedensbilder.gnm.de/sites/default/files/Baumeister.jpg</t>
  </si>
  <si>
    <t xml:space="preserve">Die Von der Vorsicht nach Sachsen abgeschickte Irene oder Göttin des Friedens, Pon Vd 2369 , QK</t>
  </si>
  <si>
    <t xml:space="preserve">Die Von der Vorsicht nach Sachsen abgeschickte Irene oder Göttin des Friedens</t>
  </si>
  <si>
    <t xml:space="preserve">Ode auf den Frieden, Zwischen Sachsen und Preussen </t>
  </si>
  <si>
    <t xml:space="preserve">Lit.Germ.rec.B.201,12 </t>
  </si>
  <si>
    <t xml:space="preserve">Heermann, Gottlieb Ephraim
Richter, Sigmund Ehrenfried</t>
  </si>
  <si>
    <t xml:space="preserve">1151664X</t>
  </si>
  <si>
    <t xml:space="preserve">http://digital.slub-dresden.de/werkansicht/dlf/68054/1/</t>
  </si>
  <si>
    <t xml:space="preserve">16434005X</t>
  </si>
  <si>
    <t xml:space="preserve">http://friedensbilder.gnm.de/sites/default/files/Hermann.tif
http://friedensbilder.gnm.de/sites/default/files/Herrmann.tif</t>
  </si>
  <si>
    <t xml:space="preserve">Am 25. Dezember 1745 beendete der Friedensvertrag von Dresden den Zweiten Schlesischen Krieg. Aus diesem Anlass verfasste Gottlieb Ephraim Heermann (1727–1815) seine „Ode auf den Frieden zwischen Sachsen und Preußen“. Orts- und Zeitangabe auf dem Titelblatt, Görlitz, 31. Januar 1746, lassen Spekulationen über ein Friedensfest anlässlich der jüngsten Ereignisse zu. Das Kurfürstentum Sachsen, zu dieser Zeit in Personalunion mit Polen regiert, befand sich während des Krieges in einer Allianz mit Österreich und war immer wieder Kriegsschauplatz in der Auseinandersetzung zwischen Österreich und Preußen um die Provinz Schlesien. Neben Kriegs- und Friedensbeschreibungen vermittelt Heermann auch den Moment der konkreten Zustandsänderung: die Verkündigung des Friedens. So heißt es über die Ausrufung auf dem Marktplatz: „[…] Kaum wird der Platz die Leute fassen, es drückt und quätscht sich klein und groß ja vor dem häufigen Gedränge wird fast der weite Markt zu enge.“ In dem regen Andrang spiegelt sich die Friedenssehnsucht wieder, die die Menschen bei jeder Nachricht auf ein baldiges Ende des Krieges hoffen lässt. Die Verkündigung erfolgt durch den Friedensherold, und auch von den unmittelbaren Reaktionen seiner Mitbürger weiß Heermann zu berichten: „Fast ist der Friedensherold müde des Zurufs und Erzählens satt. Man forscht und jauchzt, und fragt wieder. Man hört! Und singet Jubellieder.“ Die anfängliche Unsicherheit und Ungläubigkeit weicht, als die Nachricht bestätigt wird, der Freude über die künftige Friedenszeit und der Erleichterung über das Ende der Kampfhandlungen.
FB
</t>
  </si>
  <si>
    <t xml:space="preserve">Ode auf den Frieden, Zwischen Sachsen und Preussen, Lit.Germ.rec.B.201,12 </t>
  </si>
  <si>
    <t xml:space="preserve">https://friedensbilder-neu.gnm.de/sites/default/files/2019-06/Lit-Germ-rec-B.png</t>
  </si>
  <si>
    <t xml:space="preserve">Ode auf den Frieden, Zwischen Sachsen und Preussen</t>
  </si>
  <si>
    <t xml:space="preserve">http://friedensbilder.gnm.de/content/frieden_foto_order1c446c</t>
  </si>
  <si>
    <t xml:space="preserve">Der am achtzehenten des Weinmonats im Jahr 1748. in der Kayserlichen freyen Reichs-Stadt Aacken unterzeichnete und geschlossene Allgemeine Friede;</t>
  </si>
  <si>
    <t xml:space="preserve">Yf 9996</t>
  </si>
  <si>
    <t xml:space="preserve">Pape, Siegmund Claudius
Schütze, Johann Jakob</t>
  </si>
  <si>
    <t xml:space="preserve">http://digital.staatsbibliothek-berlin.de/werkansicht?PPN=PPN638369037&amp;PHYSID=PHYS_0013&amp;DMDID=DMDLOG_0001</t>
  </si>
  <si>
    <t xml:space="preserve">in einer Ode besungen / von Siegmund Claudius Pape, S. Minist. Candid. und Mitgliede der Deutschen Gesellschaft zu Franckfurt an der Oder</t>
  </si>
  <si>
    <t xml:space="preserve">Berlin, gedruckt bey Johann Jacob Schütze.</t>
  </si>
  <si>
    <t xml:space="preserve">http://ngcs.staatsbibliothek-berlin.de/?action=metsImage&amp;format=jpg&amp;metsFile=PPN638369037&amp;divID=PHYS_0005&amp;width=1200
http://friedensbilder.gnm.de/sites/default/files/PPN638369037_00000005.tif</t>
  </si>
  <si>
    <t xml:space="preserve">Der Friede von Aachen beendete 1748 den Österreichischen Erbfolgekrieg. Obwohl Preußen bereits 1745 aus dem Krieg ausgetreten war, wurde der Abschluss des Vertrags auch in den preußisch-brandenburgischen Landen wahrgenommen. Siegmund Claudius Pape schrieb zu diesem Anlass die Ode und thematisiert darin vor allem die unmittelbaren Folgen des neuen Friedens. Den in die „Friedens-Stille“ wieder zu ihren Familien heimkehrenden Soldaten sind mehrere Strophen gewidmet. Weiterhin greift Pape die Segnungen des Friedens auf und verknüpft das Aufblühen der Künste insbesondere mit der Dichtung, in der „Apollens Feder-Kiel“ wieder blühen kann.
FB
</t>
  </si>
  <si>
    <t xml:space="preserve">Der am achtzehenten des Weinmonats im Jahr 1748. in der Kayserlichen freyen Reichs-Stadt Aacken unterzeichnete und geschlossene Allgemeine Friede, Yf 9996</t>
  </si>
  <si>
    <t xml:space="preserve">https://friedensbilder-neu.gnm.de/sites/default/files/2019-06/Yf-9996_0.png</t>
  </si>
  <si>
    <t xml:space="preserve">Der am achtzehenten des Weinmonats im Jahr 1748. in der Kayserlichen freyen Reichs-Stadt Aacken unterzeichnete und geschlossene Allgemeine Friede</t>
  </si>
  <si>
    <t xml:space="preserve">http://friedensbilder.gnm.de/content/frieden_foto_order1c4365</t>
  </si>
  <si>
    <t xml:space="preserve">Jubelode zum Gedächtniß des Religionsfriedens / verfertiget von Herrn M. Samuel Benjamin Reicheln, und aus dem Lateinischen ins Deutsche übersetzt von J. F. H.</t>
  </si>
  <si>
    <t xml:space="preserve">P 4° 00495 (087)</t>
  </si>
  <si>
    <t xml:space="preserve">Reichel, Samuel Benjamin</t>
  </si>
  <si>
    <t xml:space="preserve">Richterische Buchhandlung</t>
  </si>
  <si>
    <t xml:space="preserve">Altenburg</t>
  </si>
  <si>
    <t xml:space="preserve">Bei dem Text handelt es sich um eine deutsche Übersetzung der Ode von Reichel, die ursprünglich auf Latein verfasst worden war. Der Übersetzer ist nur mit den Initialien I.F.H. angegeben.Sowohl der lateinischte Text als auch die deutsche Übersetzung finden sich im "Denkmaal der Altenburgischen Jubelfreude".Titel des lateinischen Textes: Carmen Seculare Memoriae Pacis Augustanae Consecratum et in Illustri Gymnasio Fridericiano recitatum</t>
  </si>
  <si>
    <t xml:space="preserve">http://friedensbilder.gnm.de/sites/default/files/P-4-00495-87_001.tif</t>
  </si>
  <si>
    <t xml:space="preserve">Denkmal der Altenburgischen Jubelfreude anlegen</t>
  </si>
  <si>
    <t xml:space="preserve">Jubelode zum Gedächtniß des Religionsfriedens, P 4° 00495 (087)</t>
  </si>
  <si>
    <t xml:space="preserve">Jubelode zum Gedächtniß des Religionsfriedens</t>
  </si>
  <si>
    <t xml:space="preserve">Der Krieg und der Friede :</t>
  </si>
  <si>
    <t xml:space="preserve">8" Yr 3174</t>
  </si>
  <si>
    <t xml:space="preserve">Leipzig
Köln</t>
  </si>
  <si>
    <t xml:space="preserve">72 S.</t>
  </si>
  <si>
    <t xml:space="preserve">Ein Lustspiel über die jetzigen Zeitläufte, Wie es auf dem grossen Theater In Wien, Dresden, [B... und andern Orten mit vielem Beyfall] ist aufgeführet worden</t>
  </si>
  <si>
    <t xml:space="preserve">382418026 </t>
  </si>
  <si>
    <t xml:space="preserve">Schneider als Drucker/Verleger angegeben, jedoch keine genaueren Angaben</t>
  </si>
  <si>
    <t xml:space="preserve">Der Krieg und der Friede:, 8" Yr 3174</t>
  </si>
  <si>
    <t xml:space="preserve">Der Krieg und der Friede:</t>
  </si>
  <si>
    <t xml:space="preserve">Karl Wilhelm Ramlers poetische Werke</t>
  </si>
  <si>
    <t xml:space="preserve">Dd 3812</t>
  </si>
  <si>
    <t xml:space="preserve">Verfasser
Herausgeber
Verleger</t>
  </si>
  <si>
    <t xml:space="preserve">Ramler, Karl Wilhelm
Sander, Johann Daniel</t>
  </si>
  <si>
    <t xml:space="preserve">http://digitale.bibliothek.uni-halle.de/vd18/content/pageview/3231188</t>
  </si>
  <si>
    <t xml:space="preserve">276 S.</t>
  </si>
  <si>
    <t xml:space="preserve">Erster Theil: Lyrische Gedichte</t>
  </si>
  <si>
    <t xml:space="preserve">Berlin, bey Johann Daniel Sander. </t>
  </si>
  <si>
    <t xml:space="preserve">http://digitale.bibliothek.uni-halle.de/vd18/image/view/3231195?w=1000</t>
  </si>
  <si>
    <t xml:space="preserve">http://friedensbilder.gnm.de/content/frieden_objectcb525</t>
  </si>
  <si>
    <t xml:space="preserve">An den Frieden</t>
  </si>
  <si>
    <t xml:space="preserve">Dd 3812(1)</t>
  </si>
  <si>
    <t xml:space="preserve">Ramler, Karl Wilhelm</t>
  </si>
  <si>
    <t xml:space="preserve">http://digitale.bibliothek.uni-halle.de/vd18/content/pageview/3231193</t>
  </si>
  <si>
    <t xml:space="preserve">41-42</t>
  </si>
  <si>
    <t xml:space="preserve">http://digitale.bibliothek.uni-halle.de/vd18/image/view/3231263?w=1000
http://digitale.bibliothek.uni-halle.de/vd18/content/pageview/3231264</t>
  </si>
  <si>
    <t xml:space="preserve">An den Frieden, Dd 3812(1)</t>
  </si>
  <si>
    <t xml:space="preserve">Das unter den Kriegs Flammen nach Frieden seufzende Teutschland /</t>
  </si>
  <si>
    <t xml:space="preserve">Hist.Germ.D.361,34</t>
  </si>
  <si>
    <t xml:space="preserve">Pfeiffer, Christoph Ludwig
Camerarius, Johann Dietrich Michael</t>
  </si>
  <si>
    <t xml:space="preserve">Erlangen</t>
  </si>
  <si>
    <t xml:space="preserve">http://digital.slub-dresden.de/werkansicht/dlf/74826/1/</t>
  </si>
  <si>
    <t xml:space="preserve">Ode bey seinem Eintritte in die Erlangische teutsche Gesellschaft abgelesen </t>
  </si>
  <si>
    <t xml:space="preserve">Die Ode wurde zweimal unter verschiedenen Namen herausgegeben. Dabei sind beide Texte nahezu identisch. In der Veröffentlichung von 1759 gibt es jedoch noch zwei Strophen mehr.Erlangen 1759: Das bedrängte Teutschland: Ode auf den sehnlich wünschenden und zukünftig hoffenden Frieden (1759) Sig: 999/4Hist.pol.506 angeb.37 [zusätzliche Strophen, Strophe 2-3]Wo ist der Sieger grosse Schaar,Die bey erfochtnen Lorbeergränzen,Die Vorschrift teutscher Musen war,Um nun ihr Loblied zu ergänzen!Wo kämpft ein Broun: wo schlägt Schwerin:Wo ficht ein Winterfeld jetzt kühn?Wo sammelt Keith des Sieges Früchte?Vielleicht war Ihr gerühmter Muth,Ihr Lorbeer = Ihr verspritztes Blut =Ein Traum = ein falsches Lobgedichte!&amp;nbsp;Doch nein; die Welt kennt Ihren Ruhm,Bewundernd sah man Ihre Thaten!De Lorbeer war Ihr Eigenthum,Und Ihr Verdienst das Wohl der Staaten.Wo sind sie nun = ? Ach! daß ein HeldSo leicht = so früh = so blutig fällt!Noch, deucht mich, seh ich Ihre Wunden,Ja, ja; dort lagen Sie gestreckt =Dort = wo Sie Blut und Sand bedeckt,Hat jeder schon sein Grab gefunden.&amp;nbsp;Für die restlichen Strophen konnte nur kleine Wortänderungen an wenigen Stellen festgestellt werden:"serbend blasser / bleicher Mund""Dort seh ich, ihn sich blutig strecken." / "Dort seh ich ihm sein Blut bedecken."&amp;nbsp;</t>
  </si>
  <si>
    <t xml:space="preserve">http://friedensbilder.gnm.de/sites/default/files/Pfeiffer.tif.pdf</t>
  </si>
  <si>
    <t xml:space="preserve">Das unter den Kriegs Flammen nach Frieden seufzende Teutschland /, Hist.Germ.D.361,34</t>
  </si>
  <si>
    <t xml:space="preserve">Das mit Friede und Freude von Gott begnadigte Preussen und Pommern, an dem von Sr. Königl. Majest. in Preussen wegen des mit dem Kayserlich-Rußischen und Königl. Schwedischen Höfen geschlossenen Friedens am 27ten des Mai-Monats 1762. allergnädigst verordneten feierlichen Dank-Feste </t>
  </si>
  <si>
    <t xml:space="preserve">MK-1932</t>
  </si>
  <si>
    <t xml:space="preserve">Bluhm, Johann Carl Gottfried</t>
  </si>
  <si>
    <t xml:space="preserve">Adlerische Schriften</t>
  </si>
  <si>
    <t xml:space="preserve">http://purl.uni-rostock.de/rosdok/ppn862203775</t>
  </si>
  <si>
    <t xml:space="preserve">20 S.</t>
  </si>
  <si>
    <t xml:space="preserve">gehalten auf dem Hopfenmarkt zu Rostock von Johann Carl Gottfried Bluhm, Königl. Preuß. Feld-Prediger bei dem Hochlöbl. Bellingschen Husaren-Regiment</t>
  </si>
  <si>
    <t xml:space="preserve">Das mit Friede und Freude von Gott begnadigte Preussen und Pommern, MK-1932</t>
  </si>
  <si>
    <t xml:space="preserve">Das mit Friede und Freude von Gott begnadigte Preussen und Pommern</t>
  </si>
  <si>
    <t xml:space="preserve">Auserlesene Gedichte von Anna Louisa Karschin</t>
  </si>
  <si>
    <t xml:space="preserve">M: Lo 3568</t>
  </si>
  <si>
    <t xml:space="preserve">Verfasserin
Herausgeber
Drucker</t>
  </si>
  <si>
    <t xml:space="preserve">Karsch, Anna Luise
Gleim, Johann Wilhelm Ludwig
Winter, Georg Ludwig</t>
  </si>
  <si>
    <t xml:space="preserve">http://diglib.hab.de/drucke/lo-3568/start.htm</t>
  </si>
  <si>
    <t xml:space="preserve">363 S.</t>
  </si>
  <si>
    <t xml:space="preserve">13466728X</t>
  </si>
  <si>
    <t xml:space="preserve">Sammelausgabe gewidmet an Rudolf Gotthard von Kottwitz (erster Gönner)Texte zusammengestellt durch Gleim und Heinrich Wilhelm Bachmann jun. aus Magdeburg (Kaufmann und Kunstmäzen)Vorwort von Johann Georg SulzerEntzeitlichungsarbeit: Auswahl der&amp;nbsp; Texte bereits während des Krieges, jedoch bei Veröffentlichung nach dem Krieg, wurden die Oden auf Siege von Friedrich II. wieder entfernt, "[...] der Gesamtbestand der Gedichte thematisch segmentiert und nach den berechenbaren Bedingungen des Literaturmarktes und seiner etablierten Wahrnehmungsweisen eingerichtet." (S.143)</t>
  </si>
  <si>
    <t xml:space="preserve">http://diglib.hab.de/drucke/lo-3568/00005.jpg</t>
  </si>
  <si>
    <t xml:space="preserve">http://friedensbilder.gnm.de/content/frieden_objectcb620</t>
  </si>
  <si>
    <t xml:space="preserve">An die Königin.</t>
  </si>
  <si>
    <t xml:space="preserve">M: Lo 3568(1)</t>
  </si>
  <si>
    <t xml:space="preserve">Verfasserin</t>
  </si>
  <si>
    <t xml:space="preserve">Karsch, Anna Luise</t>
  </si>
  <si>
    <t xml:space="preserve">http://diglib.hab.de/wdb.php?distype=img&amp;dir=drucke%2Flo-3568
http://www.deutschestextarchiv.de/book/view/karsch_gedichte_1764/?hl=Frieden&amp;p=115</t>
  </si>
  <si>
    <t xml:space="preserve">71-73</t>
  </si>
  <si>
    <t xml:space="preserve">Guido Heinrich, 2007:Karsch Ende Oktober 1761 von Halberstadt nach Magdeburgbereits Person des öffentlichen Interesseskönigliche Familie, Mitglieder des preußischen Hofes, Berliner Ministerien hielten sich seit 1760 in Magdeburg auf (aufgrund unsicherer Kriegslage in Berlin)</t>
  </si>
  <si>
    <t xml:space="preserve">http://diglib.hab.de/drucke/lo-3568/00005.jpg
http://friedensbilder.gnm.de/sites/default/files/karsch_gedichte_1764_0115_800px.jpg
http://friedensbilder.gnm.de/sites/default/files/karsch_gedichte_1764_0116_800px.jpg
http://friedensbilder.gnm.de/sites/default/files/karsch_gedichte_1764_0117_800px.jpg</t>
  </si>
  <si>
    <t xml:space="preserve">An die Königin., M: Lo 3568(1)</t>
  </si>
  <si>
    <t xml:space="preserve">Der Friede zwischen Rußland und Preussen in einer Ode </t>
  </si>
  <si>
    <t xml:space="preserve">Biogr.erud.D.732,misc.2</t>
  </si>
  <si>
    <t xml:space="preserve">http://digital.slub-dresden.de/werkansicht/dlf/31849/3/</t>
  </si>
  <si>
    <t xml:space="preserve">Verfasser: H.A.H.&amp;nbsp;
</t>
  </si>
  <si>
    <t xml:space="preserve">http://friedensbilder.gnm.de/sites/default/files/Biogr erud D732 Dummy.jpg</t>
  </si>
  <si>
    <t xml:space="preserve">Am 24. Mai 1762 wurde der Separatfrieden von St. Petersburg zwischen Preußen und Russland ausgerufen. Der wenige Tage zuvor geschlossene Frieden markierte einen Wendepunkt für Friedrich II. (1712–1786) im Verlauf des Siebenjährigen Krieges. Nach Einmarsch der preußischen Truppen in Sachsen 1756 hatten die Kampfhandlungen im Reich begonnen. Russland trat wenig später in einer Allianz mit Frankreich und Österreich in den Krieg ein. Vor Abschluss des Vertrags von St. Petersburg fand sich Preußen von den Alliierten eingekesselt. Die Wende brachte der plötzliche Tod der Zarin Elisabeth I. (1709–1761), denn ihr Nachfolger Zar Peter III. (1728–1762) war sofort bereit, Frieden mit Preußen zu schließen.Die Zeitgenossen deuteten das Ereignis als Zeichen von Gottes Gnade. Die hier vorliegende, nur mit den Initialen des Autors bezeichnete Ode spricht Friedrich II. zugleich das (praktische) Verdienst am geschlossenen Frieden zu. Der „tapfer[e] Kämpfer“ Friedrich sehe sich der „halb[en] Welt“ gegenüber. Der Friedensvertrag zwischen den beiden Großmächten wird im Text als „Freundschaftsband“ bezeichnet, welches durch das „Götter-Paar“ Friedrich II. und Peter III. wiederhergestellt wurde. Neben dem preußischen und dem russischen Monarchen spricht die Ode auch Georg III. von Großbritannien (1738–1820) und Maria Theresia (1717–1780) direkt an. Letztere wird angerufen Frieden zu schließen, ersterer wird in seiner Funktion als Verbündeter Preußens genannt. Neben kurzen Beschreibungen des Kriegsverlaufs, Friedenseinzuges und Vorstellungen der Friedenszeit handelt es sich bei dem Text in erster Linie um eine panegyrische Ode auf Friedrich II.FB</t>
  </si>
  <si>
    <t xml:space="preserve">Der Friede zwischen Rußland und Preussen in einer Ode , Biogr.erud.D.732,misc.2</t>
  </si>
  <si>
    <t xml:space="preserve">https://friedensbilder-neu.gnm.de/sites/default/files/2019-06/Biogr_erud_D_732_misc_2_0.png</t>
  </si>
  <si>
    <t xml:space="preserve">http://friedensbilder.gnm.de/content/frieden_foto_order1c434b</t>
  </si>
  <si>
    <t xml:space="preserve">Friedenslied</t>
  </si>
  <si>
    <t xml:space="preserve">Dd 957 (14)</t>
  </si>
  <si>
    <t xml:space="preserve">Lappenberg, Samuel Christian
Förster, Georg Ludwig</t>
  </si>
  <si>
    <t xml:space="preserve">Bremen</t>
  </si>
  <si>
    <t xml:space="preserve">1118891X</t>
  </si>
  <si>
    <t xml:space="preserve">http://digitale.bibliothek.uni-halle.de/urn/urn:nbn:de:gbv:3:1-490632</t>
  </si>
  <si>
    <t xml:space="preserve">Yf 6653 (74)</t>
  </si>
  <si>
    <t xml:space="preserve">http://digital.staatsbibliothek-berlin.de/werkansicht?PPN=PPN752406485&amp;PHYSID=PHYS_0001&amp;DMDID=DMDLOG_0001&amp;view=overview-toc</t>
  </si>
  <si>
    <t xml:space="preserve">Jm Jahre 1762 d. 29. d. Wintermon. / von Sam. Christ. Lappenberg</t>
  </si>
  <si>
    <t xml:space="preserve">183349814 </t>
  </si>
  <si>
    <t xml:space="preserve">Im Titel kein Verweis auf Umstände der Aufführung bzw. Veröffentlichung, keine Informationen zu Friedensfeierlichkeiten zu den beiden Separatfrieden gefundenAus dem Titel keine eindeutige Zuordnung möglich; kann sich auf beide Verträge aus dem Jahr 1762 beziehen oder bereits auf die Verhandlungen für Paris und/oder Hubertusburg&amp;nbsp;</t>
  </si>
  <si>
    <t xml:space="preserve">http://digitale.bibliothek.uni-halle.de/vd18/image/view/7679414?w=1000</t>
  </si>
  <si>
    <t xml:space="preserve">Herrscherrepräsentation
Frieden durch göttliches Handeln</t>
  </si>
  <si>
    <t xml:space="preserve">Friedenslied, Dd 957 (14)</t>
  </si>
  <si>
    <t xml:space="preserve">Ode bei dem Friedensfeste:</t>
  </si>
  <si>
    <t xml:space="preserve">Dd 957 (3)</t>
  </si>
  <si>
    <t xml:space="preserve">http://digitale.bibliothek.uni-halle.de/urn/urn:nbn:de:gbv:3:1-490613</t>
  </si>
  <si>
    <t xml:space="preserve">Berlin am 24sten May 1762.</t>
  </si>
  <si>
    <t xml:space="preserve">http://digitale.bibliothek.uni-halle.de/vd18/image/view/7679566?w=1000</t>
  </si>
  <si>
    <t xml:space="preserve">Ode bei dem Friedensfeste, Dd 957 (3)</t>
  </si>
  <si>
    <t xml:space="preserve">Ode bei dem Friedensfeste</t>
  </si>
  <si>
    <t xml:space="preserve">Das in Frieden Jauchzende Sachsen, Als derselbe den 15. Febr. 1763. zu Hubertusburg glücklich wieder hergestellet wurde </t>
  </si>
  <si>
    <t xml:space="preserve">Dd 957 (18)</t>
  </si>
  <si>
    <t xml:space="preserve">Rumpf, Gottlob Friedrich</t>
  </si>
  <si>
    <t xml:space="preserve">10407219 </t>
  </si>
  <si>
    <t xml:space="preserve">http://digitale.bibliothek.uni-halle.de/urn/urn:nbn:de:gbv:3:1-256039</t>
  </si>
  <si>
    <t xml:space="preserve">29 Bl.</t>
  </si>
  <si>
    <t xml:space="preserve">Entworfen Von einer patriotischen Feder</t>
  </si>
  <si>
    <t xml:space="preserve">67645352X</t>
  </si>
  <si>
    <t xml:space="preserve">http://digitale.bibliothek.uni-halle.de/vd18/image/view/3805652?w=1000</t>
  </si>
  <si>
    <t xml:space="preserve">Das in Frieden Jauchzende Sachsen, Dd 957 (18)</t>
  </si>
  <si>
    <t xml:space="preserve">Das in Frieden Jauchzende Sachsen</t>
  </si>
  <si>
    <t xml:space="preserve">Das über den beglückten Hubertusburger Frieden hocherfreute Sachsen dargestellt von Einem gerührten Bewunderer der Göttlichen Güte</t>
  </si>
  <si>
    <t xml:space="preserve">Hist.Sax.C.1094,misc.21</t>
  </si>
  <si>
    <t xml:space="preserve">Brehme, Ernst Gottfried</t>
  </si>
  <si>
    <t xml:space="preserve">Pon Vd 3097, QK</t>
  </si>
  <si>
    <t xml:space="preserve">11 S.</t>
  </si>
  <si>
    <t xml:space="preserve">Vorstellungen der zukünftigen Friedenszeit konkret auf Sachsen bezogen</t>
  </si>
  <si>
    <t xml:space="preserve">Das über den beglückten Hubertsburger Frieden hocherfreute Sachsen, Hist.Sax.C.1094,misc.21</t>
  </si>
  <si>
    <t xml:space="preserve">Das über den beglückten Hubertsburger Frieden hocherfreute Sachsen</t>
  </si>
  <si>
    <t xml:space="preserve">Das Vergnügen beym Frieden</t>
  </si>
  <si>
    <t xml:space="preserve">240924 - A</t>
  </si>
  <si>
    <t xml:space="preserve">Nicolai</t>
  </si>
  <si>
    <t xml:space="preserve">http://haab-digital.klassik-stiftung.de/viewer/epnresolver?id=160980032X</t>
  </si>
  <si>
    <t xml:space="preserve">2 x 2</t>
  </si>
  <si>
    <t xml:space="preserve">32 Bl.</t>
  </si>
  <si>
    <t xml:space="preserve">85689740X</t>
  </si>
  <si>
    <t xml:space="preserve">pro Seite ein Satz
&amp;nbsp;
&amp;nbsp;
</t>
  </si>
  <si>
    <t xml:space="preserve">http://friedensbilder.gnm.de/sites/default/files/EPN_1427928835_0013.jpg</t>
  </si>
  <si>
    <t xml:space="preserve">1763 erschien dieser Druck, der vor allem durch eine äußere Besonderheit heraussticht: Das gebundene Buch ist nur 2x2 cm groß, auf jeder Doppelseite steht ein Satz. Der Text gibt weder Hinweise zu den Veröffentlichungsumständen noch zum Entstehungsort, und auch Angaben zum Autor oder Drucker sind nicht überliefert. Inhaltlich beschreibt die Dichtung zunächst den Frieden allgemein, die Freude unter den Menschen über friedliche Zeiten und spricht dann im Verlauf alle „Vergnügen“ des Friedens an. So wird unter anderem auch das Trinken und Feiern beschrieben, aber auch die Wiederherstellung der Gerechtigkeit, symbolisiert durch das Bild einer Waage, die wieder justiert wird. Das Gedicht teilt sich in Abschnitte, die separat betitelt werden. Einer dieser Abschnitte richtet sich „An den Frühling“ und geht auf das Erblühen der Natur in Friedenszeiten ein. Außerdem soll sich auch das Füllhorn der Friedensgöttin auf die Erde ergießen, damit sogar „die Wüste grünet vor [ihrem] Fuß“.
Inhalt und Veröffentlichungsdatum lassen darauf schließen, dass das Buch anlässlich des Friedensvertrages von Hubertusburg veröffentlicht wurde, doch ein unmittelbarer Bezug findet sich im Text nicht.&amp;nbsp;
FB
</t>
  </si>
  <si>
    <t xml:space="preserve">Das Vergnügen beym Frieden, 240924 - A</t>
  </si>
  <si>
    <t xml:space="preserve">http://friedensbilder.gnm.de/content/frieden_foto_order1b8f6e</t>
  </si>
  <si>
    <t xml:space="preserve">Der Glorreiche Friede im Jahre 1763 / besungen von Samuel Gotthold Langen</t>
  </si>
  <si>
    <t xml:space="preserve">Dd 957 (10)</t>
  </si>
  <si>
    <t xml:space="preserve">Lange, Samuel Gotthold
Gebauer, Johann Justinus</t>
  </si>
  <si>
    <t xml:space="preserve">10343423 </t>
  </si>
  <si>
    <t xml:space="preserve">http://digitale.bibliothek.uni-halle.de/urn/urn:nbn:de:gbv:3:1-399792</t>
  </si>
  <si>
    <t xml:space="preserve">14 S.</t>
  </si>
  <si>
    <t xml:space="preserve">738495085 </t>
  </si>
  <si>
    <t xml:space="preserve">http://digitale.bibliothek.uni-halle.de/vd18/image/view/7679436?w=1000
http://friedensbilder.gnm.de/sites/default/files/Der Glorreiche Friede.jpg</t>
  </si>
  <si>
    <t xml:space="preserve">Der Pfarrer und Pietist Samuel Gotthold Lange (1711–1781) schrieb anlässlich des Friedens von Hubertusburg 1763 seine panegyrische Ode über Friedrich II. (1712–1786), in der er den Monarchen Gott gleich darstellt, wenn er schreibt, dass jeder, der für den Frieden kämpft: „wie Gott, ein Fürst des Friedens sey“. Krieg als Mittel zur Wiederherstellung und/oder Sicherung des Friedens wird dadurch als legitim. „So gern als er [Friedrich II.] den Krieg vermieden, so willig schenkt er auch den Frieden. So handelt Gott und Friederich.“ Vor dem Hintergrund der politischen Ereignisse scheinen diese Verse äußert ironisch. Preußen war 1756 als Reaktion auf die Angriffspläne Russlands und Österreichs in Sachsen einmarschiert und hatte so den Siebenjährigen Krieg begonnen. Lange beschreibt den Preußenkönig jedoch als Friedensbringer und stellt ihn dafür mit traditionellen Friedenssymbolen dar: „Die Fackel in der linken zündet, was Er von Waffen vor sich findet, Auf die Er trit. Nur dis wolt Er.“Der Verfasser geht in seiner Ode nicht auf die Verhandlungen auf Hubertusburg oder das Zusammenspiel verschiedener Mächte ein. Der Krieg hatte sich mit den Jahren nicht zu Preußens Vorteil entwickelt. 1762 lag es eingekesselt zwischen seinen Feinden. Erst der plötzliche Tod der russischen Zarin Elisabeth I. brachte die Wende. Nachdem ihr Nachfolger Peter III. sofort bereit war mit Preußen Frieden zu schließen, willigte auch Österreich 1762 ein entsprechende Verhandlungen mit dem preußischen Kurfürsten aufzunehmen. Lange spricht Friedrich II. allerdings den alleinigen Verdienst am Ende des Siebenjährigen Krieges und dem erfolgreichen Abschluss des Vertrages zu. Preußen hatte sich nach dem Siebenjährigen Krieg zwar als fünfte europäische Großmacht etabliert, die historische Forschung betont jedoch, dass Friedrich II. keines seiner eigentlichen Kriegsziele erreicht habe.FB</t>
  </si>
  <si>
    <t xml:space="preserve">Der Glorreiche Friede im Jahre 1763, Dd 957 (10)</t>
  </si>
  <si>
    <t xml:space="preserve">Der Glorreiche Friede im Jahre 1763</t>
  </si>
  <si>
    <t xml:space="preserve">http://friedensbilder.gnm.de/content/frieden_foto_order1c4353</t>
  </si>
  <si>
    <t xml:space="preserve">Die patriotischen Bemühung zur Wiederherstellung der Ruhe Deutschlandes :</t>
  </si>
  <si>
    <t xml:space="preserve">8 H GERM IX, 317:10 (7)</t>
  </si>
  <si>
    <t xml:space="preserve">Roennberg, Jacob Friedrich
Fickelscher, Felix</t>
  </si>
  <si>
    <t xml:space="preserve">10887555 </t>
  </si>
  <si>
    <t xml:space="preserve">http://gdz.sub.uni-goettingen.de/dms/load/img/?PID=PPN727571575</t>
  </si>
  <si>
    <t xml:space="preserve">24 S.</t>
  </si>
  <si>
    <t xml:space="preserve">eine Jubel-Rede, gehalten in der Pauliner oder Kollegen Kirche am Friedens-Feste, welches von der ganzen Akademie am 2. Mai gefeiert wurde /</t>
  </si>
  <si>
    <t xml:space="preserve">von Jacob Friderich Roennberg d. W. W. und B. R. B. aus Parchim in Meklenburg Schwerin</t>
  </si>
  <si>
    <t xml:space="preserve">http://gdz-srv1.sub.uni-goettingen.de/content/PPN727571575/800/0/00000001.jpg</t>
  </si>
  <si>
    <t xml:space="preserve">Die patriotischen Bemühung zur Wiederherstellung der Ruhe Deutschlandes :, 8 H GERM IX, 317:10 (7)</t>
  </si>
  <si>
    <t xml:space="preserve">Die Schuldigkeit der Menschen bey dem wiederhergestellten Frieden, wenn der GOtt des Friedens mit ihnen sein soll.</t>
  </si>
  <si>
    <t xml:space="preserve">Bb, 4:37 (2) (a)</t>
  </si>
  <si>
    <t xml:space="preserve">König, Johann Ludwig
Schill, Johann Andreas</t>
  </si>
  <si>
    <t xml:space="preserve">Arnstadt</t>
  </si>
  <si>
    <t xml:space="preserve">http://haab-digital.klassik-stiftung.de/viewer/epnresolver?id=1609795431</t>
  </si>
  <si>
    <t xml:space="preserve">wurde an dem Friedensfeste, welches am Sonntage Cantate im Jahr 1763 in denen Weimar- und Eisenachischen Landen, auf Hochfürstl. Obervormundschaftl. Befehl, gefeyret worden, aus dem gnädigst vorgeschriebenen Texte, Philipp. 4. v. 8. 9. Nachmittags in der Stadtkirche zu Ilmenau vorgestellt und nebst einer kurzen Nachricht von den Anstalten, die zur Feyer daselbst gemacht worden sind, auf Verlangen dem Druck übergeben / von Johann Ludwig König, Diacono daselbst und der vertrauten Rednergesellschaft in Thüringen Mitgliede.</t>
  </si>
  <si>
    <t xml:space="preserve">Arnstadt, gedruckt bey dem Fürstl. Schwarzb. Hofbuchdr. Joh. Andreas Schill. </t>
  </si>
  <si>
    <t xml:space="preserve">http://friedensbilder.gnm.de/sites/default/files/EPN_259308471_0012.jpg</t>
  </si>
  <si>
    <t xml:space="preserve">Im Herzogtum Sachsen-Weimar wurde am 1.Mai 1763 ein Friedensfest anlässlich des Hubertusburger Friedens ausgerufen. Diese poetische Festbeschreibung für Ilmenau erschien nachträglich. Sie enthält eine genaue Beschreibung der Feierlichkeiten inklusive der vorgetragenen Gedichte und Reden. Die Gedichte wurden allesamt von ortansässigen Schülern vorgetragen. Besonders der kurze Beitrag von Dorothea Henrietta Königin thematisiert die zukünftige Friedenszeit. Neue Assoziationen finden sich dabei jedoch nicht. „Die Länder soll Ruhe und Segen nun decken“ und Wohlstand soll sich einstellen. Besonders betont wird das Erblühen der Künste und Wissenschaft. In diesem Zusammenhang ist auch die Widmung der Festbeschreibung bemerkenswert, die sich an die kunstliebende Anna Amalia von Sachsen-Weimar und ihre Familie richtete. Auch im Gedicht wird die Herzogsfamilie direkt angesprochen. Am Ende des Textes steht der Wunsch, dass der Friede nun bleiben möge.
Als Herausgeber der Festbeschreibung firmiert Diakon Johann Ludwig König (1720–1773). Sie gehört zu den wenigen Beschreibungen, die durch die wortgetreue Wiedergabe der Festbeiträge erlauben, Aussagen über den Umgang mit Friedensdichtungen zu treffen. Denn oftmals ist nicht überliefert, ob Dichtungen tatsächlich vorgetragen wurden, und wenn ja, in welcher Reihenfolge und von wem. Die Forschung geht davon aus, dass diese Art der Gelegenheitsdichtungen in der Mehrzahl als Beigabe oder Geschenk dem Landesherrn oder Patron überreicht wurden; ob sie öffentlich verlesen wurden, bleibt dabei unklar.
FB
</t>
  </si>
  <si>
    <t xml:space="preserve">Die Schuldigkeit der Menschen bey dem wiederhergestellten Frieden, wenn der GOtt des Friedens mit ihnen sein soll., Bb, 4:37 (2) (a)</t>
  </si>
  <si>
    <t xml:space="preserve">https://friedensbilder-neu.gnm.de/sites/default/files/2019-06/Bb-4-37-2-a_0.png</t>
  </si>
  <si>
    <t xml:space="preserve">http://friedensbilder.gnm.de/content/frieden_foto_order1d9ce7</t>
  </si>
  <si>
    <t xml:space="preserve">Eine Unterredung welche bey der wegen des Hubertsburgischen Friedens-Schlusses den 23. Märtz auf dem Saal der Real-Schule angestellten Rede-Uebung und Illumination von einigen Scholaren gehalten worden:</t>
  </si>
  <si>
    <t xml:space="preserve">8 H GERM IX, 321 (7)</t>
  </si>
  <si>
    <t xml:space="preserve">Verlag der Buchhandlung der Real-Schule</t>
  </si>
  <si>
    <t xml:space="preserve">http://gdz.sub.uni-goettingen.de/dms/load/img/?PID=PPN616668155</t>
  </si>
  <si>
    <t xml:space="preserve">nebst dem Text zu der dabey aufgeführten Musick</t>
  </si>
  <si>
    <t xml:space="preserve">http://gdz-srv1.sub.uni-goettingen.de/content/PPN616668155/800/0/00000001.jpg</t>
  </si>
  <si>
    <t xml:space="preserve">Eine Unterredung welche bey der wegen des Hubertsburgischen Friedens-Schlusses den 23. Märtz auf dem Saal der Real-Schule angestellten Rede-Uebung und Illumination von einigen Scholaren gehalten worden:, 8 H GERM IX, 321 (7)</t>
  </si>
  <si>
    <t xml:space="preserve">Friedens-Hymne</t>
  </si>
  <si>
    <t xml:space="preserve">Dd 957 (22)</t>
  </si>
  <si>
    <t xml:space="preserve">Bock, Michael Christian</t>
  </si>
  <si>
    <t xml:space="preserve">http://digitale.bibliothek.uni-halle.de/urn/urn:nbn:de:gbv:3:1-289192</t>
  </si>
  <si>
    <t xml:space="preserve">http://digitale.bibliothek.uni-halle.de/vd18/image/view/7679653?w=1000</t>
  </si>
  <si>
    <t xml:space="preserve">Friedens-Hymne, Dd 957 (22)</t>
  </si>
  <si>
    <t xml:space="preserve"> 	 Shir shalom Friedens-Lied ... auf den großen Tag, an welchem zwischen Sr. Majestät, dem Allerdurchlauchtigsten ... Herrn Friedrich dem Großen, Könige in Preußen, ... und der Kayserin, Königin von Ungarn, ... wie auch dem Könige von Pohlen und Churfürsten zu Sachsen, ... den 15ten Februarii 1763. auf dem Schloße Hubertsburg, in Sachsen, ein glücklicher Frieden geschlossen wurde .../</t>
  </si>
  <si>
    <t xml:space="preserve">CIc-4701.6</t>
  </si>
  <si>
    <t xml:space="preserve">Leo, Hartog</t>
  </si>
  <si>
    <t xml:space="preserve">http://purl.uni-rostock.de/rosdok/ppn86220562X</t>
  </si>
  <si>
    <t xml:space="preserve">Componirt in Hebräischer Poesie und zugleich in teutscher Sprache in Prosa übersetzet durch Hartog Leo</t>
  </si>
  <si>
    <t xml:space="preserve">86220562X</t>
  </si>
  <si>
    <t xml:space="preserve">http://rosdok.uni-rostock.de/mcrviewer/recordIdentifier/rosdok_ppn86220562X/iview2/phys_0005.iview2?logicalDiv=log_0002</t>
  </si>
  <si>
    <t xml:space="preserve">Shir shalom Friedens-Lied , CIc-4701.6</t>
  </si>
  <si>
    <t xml:space="preserve">Shir shalom Friedens-Lied </t>
  </si>
  <si>
    <t xml:space="preserve">Lobgesang der Mecklenburg Schwerinschen Judenschaft bey froher Landes-Friedens-Feyer, den 2ten und 3ten des Monats Julius 1763 in denen Synagogen zu Schwerin und zu Güstrow ... in Hebräischer Sprache abgesungen / verfasset von dem Ober-Rabbiner Herrn Jeremias Israel zu Schwerin und ins Deutsche, mit Beyfügung einiger erläuternden Anmerkungen auf Verlangen übersetzt von P. T. C.</t>
  </si>
  <si>
    <t xml:space="preserve">MK-55.11</t>
  </si>
  <si>
    <t xml:space="preserve">Israel, Jeremias
Bärensprung, Wilhelm</t>
  </si>
  <si>
    <t xml:space="preserve">Schwerin</t>
  </si>
  <si>
    <t xml:space="preserve">http://purl.uni-rostock.de/rosdok/ppn862211433</t>
  </si>
  <si>
    <t xml:space="preserve">Text ist enthalten in einem Sammelband; es gibt darin zwei Exemplare des Drucks, beide sind identisch</t>
  </si>
  <si>
    <t xml:space="preserve">Lobgesang der Mecklenburg Schwerinschen Judenschaft bey froher Landes-Friedens-Feyer, MK-55.11</t>
  </si>
  <si>
    <t xml:space="preserve">Lobgesang der Mecklenburg Schwerinschen Judenschaft bey froher Landes-Friedens-Feyer</t>
  </si>
  <si>
    <t xml:space="preserve">An dem Friedens-Dank-Feste, den 21sten Mertz, 1763. dancket Gott vor, und freuet sich über den erlangten Land-Frieden, Friedersdorf bey der Lands-Crone</t>
  </si>
  <si>
    <t xml:space="preserve">Hist.Sax.F.65,misc.5</t>
  </si>
  <si>
    <t xml:space="preserve">Fickelscherrische Schriften</t>
  </si>
  <si>
    <t xml:space="preserve">http://digital.slub-dresden.de/werkansicht/dlf/78241/3/</t>
  </si>
  <si>
    <t xml:space="preserve">http://friedensbilder.gnm.de/sites/default/files/An dem Friedens-Dank-Feste.tif.pdf</t>
  </si>
  <si>
    <t xml:space="preserve">An dem Friedens-Dank-Feste, den 21sten Mertz, 1763. dancket Gott vor, und freuet sich über den erlangten Land-Frieden, Friedersdorf bey der Lands-Crone, Hist.Sax.F.65,misc.5</t>
  </si>
  <si>
    <t xml:space="preserve"> Bey der Friedens-Feyer in der Stadt Hamburg wurde Das Frohlocken im Tempel des Friedens über die glückselige Veränderung in Europa 1763 in einem Vorspiele vorgestellet </t>
  </si>
  <si>
    <t xml:space="preserve">Cf-7370(3).6</t>
  </si>
  <si>
    <t xml:space="preserve">Schauspieler
Verfasser
Drucker</t>
  </si>
  <si>
    <t xml:space="preserve">Koch, Heinrich Gottfried
Dreyer, Johann Matthias
Spiering, Konrad Jakob</t>
  </si>
  <si>
    <t xml:space="preserve">http://rosdok.uni-rostock.de/resolve/id/rosdok_document_0000007825</t>
  </si>
  <si>
    <t xml:space="preserve"> von den hier anwesenden Königl. Pohlnischen und Churfürstl. Sächsischen Hof-Comödianten. Heinrich Gottfried Koch</t>
  </si>
  <si>
    <t xml:space="preserve">Friedenfest in Hamburg</t>
  </si>
  <si>
    <t xml:space="preserve">Intro</t>
  </si>
  <si>
    <t xml:space="preserve">Bey der Friedens-Feyer in der Stadt Hamburg wurde Das Frohlocken im Tempel des Friedens über die glückselige Veränderung in Europa 1763 in einem Vorspiele vorgestellet , Cf-7370(3).6</t>
  </si>
  <si>
    <t xml:space="preserve">Bey der Friedens-Feyer in der Stadt Hamburg wurde Das Frohlocken im Tempel des Friedens über die glückselige Veränderung in Europa 1763 in einem Vorspiele vorgestellet </t>
  </si>
  <si>
    <t xml:space="preserve">http://friedensbilder.gnm.de/content/frieden_foto_order17f89f</t>
  </si>
  <si>
    <t xml:space="preserve">Der Friede geschlossen zu Hubertsburg den 15ten Februar. 1763.</t>
  </si>
  <si>
    <t xml:space="preserve">Hist.Sax.C.1142,34</t>
  </si>
  <si>
    <t xml:space="preserve">Beulwitz, Carl Wilhelm Ludwig von</t>
  </si>
  <si>
    <t xml:space="preserve">http://digital.slub-dresden.de/werkansicht/dlf/122264/1/</t>
  </si>
  <si>
    <t xml:space="preserve">Besungen von einem treuen Sachsen </t>
  </si>
  <si>
    <t xml:space="preserve">Frieden wird in erster Linie den politischen Akteuren (Friedrich II und August III) zugeschrieben; Wieso?</t>
  </si>
  <si>
    <t xml:space="preserve">http://friedensbilder.gnm.de/sites/default/files/Beulwitz.tif.pdf</t>
  </si>
  <si>
    <t xml:space="preserve">Herrscherrepräsentation
Natur
Friedenszeit</t>
  </si>
  <si>
    <t xml:space="preserve">Der Friede geschlossen zu Hubertsburg den 15ten Februar. 1763., Hist.Sax.C.1142,34</t>
  </si>
  <si>
    <t xml:space="preserve">An das Publicum bey der Feyer das allgemeinen Friedens ... : Hamburg, den 15ten May, 1763.</t>
  </si>
  <si>
    <t xml:space="preserve">Dd 957 (23)</t>
  </si>
  <si>
    <t xml:space="preserve">http://digitale.bibliothek.uni-halle.de/urn/urn:nbn:de:gbv:3:1-490560</t>
  </si>
  <si>
    <t xml:space="preserve">http://digitale.bibliothek.uni-halle.de/vd18/image/view/7679675?w=1000</t>
  </si>
  <si>
    <t xml:space="preserve">An das Publicum bey der Feyer das allgemeinen Friedens ... :, Dd 957 (23)</t>
  </si>
  <si>
    <t xml:space="preserve">An das Publicum bey der Feyer das allgemeinen Friedens ... :</t>
  </si>
  <si>
    <t xml:space="preserve">http://friedensbilder.gnm.de/content/frieden_foto_order1c4304</t>
  </si>
  <si>
    <t xml:space="preserve">Bey dem, in der Königlichen Residentz-Stadt Dreßden, Anno 1763. am 8. September, als nach glücklich wieder hergestellten Frieden, und zum erstenmahle wiederum angestellten solennen Schützen-Convivio, Wollte einer ... Schützen-Compagnie, unter hertzlicher Anwünschung alles Vergnügens, seine Hochachtung .. in einigen gebundenen Zeilen contestiren und vorstellig machen</t>
  </si>
  <si>
    <t xml:space="preserve">Hist.Sax.G.60</t>
  </si>
  <si>
    <t xml:space="preserve">Pelargus, Johann
Harpeter, Johann Wilhelm</t>
  </si>
  <si>
    <t xml:space="preserve">1058997X</t>
  </si>
  <si>
    <t xml:space="preserve">http://digital.slub-dresden.de/werkansicht/dlf/78633/1/</t>
  </si>
  <si>
    <t xml:space="preserve">Johann Pelargus, einer Hochlöbl. Schützen-Gesellschaft bestallter Schreiber</t>
  </si>
  <si>
    <t xml:space="preserve">http://friedensbilder.gnm.de/sites/default/files/Pelargus.pdf</t>
  </si>
  <si>
    <t xml:space="preserve">Bey dem, in der Königlichen Residentz-Stadt Dreßden, Anno 1763. am 8. September, als nach glücklich wieder hergestellten Frieden, Hist.Sax.G.60</t>
  </si>
  <si>
    <t xml:space="preserve">Bey dem, in der Königlichen Residentz-Stadt Dreßden, Anno 1763. am 8. September, als nach glücklich wieder hergestellten Frieden</t>
  </si>
  <si>
    <t xml:space="preserve"> Da Friederich der größte Held nun aus dem Felde zieht, und zwischen Oestreich und Berlin der Friede wieder blüht: So legt die Demuth dies Gedicht zu dieses Königs Füssen und opffert das entfernte Herz des demuthsvollen Spießen </t>
  </si>
  <si>
    <t xml:space="preserve">Res/4 P.o.germ. 124 h</t>
  </si>
  <si>
    <t xml:space="preserve">Mizler, Johann Gottlieb</t>
  </si>
  <si>
    <t xml:space="preserve">Schwabach</t>
  </si>
  <si>
    <t xml:space="preserve">11829796 </t>
  </si>
  <si>
    <t xml:space="preserve">http://reader.digitale-sammlungen.de/resolve/display/bsb10056996.html</t>
  </si>
  <si>
    <t xml:space="preserve">8 S.</t>
  </si>
  <si>
    <t xml:space="preserve">418857598 </t>
  </si>
  <si>
    <t xml:space="preserve">Da Friederich der größte Held nun aus dem Felde zieht, Res/4 P.o.germ. 124 h</t>
  </si>
  <si>
    <t xml:space="preserve">Da Friederich der größte Held nun aus dem Felde zieht</t>
  </si>
  <si>
    <t xml:space="preserve">Dank-Lied bey dem den 13ten März 1763. in Oels wegen des glücklich geschlossenen Friedens angestelltem öffentlichem Dankfeste </t>
  </si>
  <si>
    <t xml:space="preserve">Hist.Germ.D.367,40</t>
  </si>
  <si>
    <t xml:space="preserve">Heyl, Johann Carl</t>
  </si>
  <si>
    <t xml:space="preserve">Oels</t>
  </si>
  <si>
    <t xml:space="preserve">10555579 </t>
  </si>
  <si>
    <t xml:space="preserve">http://digital.slub-dresden.de/werkansicht/dlf/74793/1/</t>
  </si>
  <si>
    <t xml:space="preserve">http://friedensbilder.gnm.de/sites/default/files/Dank-Lied.tif.pdf</t>
  </si>
  <si>
    <t xml:space="preserve">Dank-Lied bey dem den 13ten März 1763. in Oels wegen des glücklich geschlossenen Friedens angestelltem öffentlichem Dankfeste , Hist.Germ.D.367,40</t>
  </si>
  <si>
    <t xml:space="preserve">Das Beruhigte Deutschland:</t>
  </si>
  <si>
    <t xml:space="preserve">Dd 957 (16)</t>
  </si>
  <si>
    <t xml:space="preserve">Wehrcamp, C. P. W.</t>
  </si>
  <si>
    <t xml:space="preserve">Knoch und Esslinger</t>
  </si>
  <si>
    <t xml:space="preserve">http://digitale.bibliothek.uni-halle.de/urn/urn:nbn:de:gbv:3:1-490532</t>
  </si>
  <si>
    <t xml:space="preserve">16 S.</t>
  </si>
  <si>
    <t xml:space="preserve"> Auf Veranlassung des erfolgten allgemeinen Friedens vorgebildet </t>
  </si>
  <si>
    <t xml:space="preserve">von C. P. W. Wehrcamp Hochfürstl. Nassau-Usingischen Rath und Referendario</t>
  </si>
  <si>
    <t xml:space="preserve">In der Knoch= und Eßlingerischen Buchhandlung. </t>
  </si>
  <si>
    <t xml:space="preserve">Gegenüberstellung Grausamkeiten des Krieges vs. Vorstellungen des Friedens
&amp;nbsp;
</t>
  </si>
  <si>
    <t xml:space="preserve">http://friedensbilder.gnm.de/sites/default/files/Wehrcamp.jpg</t>
  </si>
  <si>
    <t xml:space="preserve">&amp;nbsp;
Ein Rat der Grafschaft Nassau-Using namens Wehrkamp verfasste die Ode anlässlich des Hubertusburger Friedens mit dem Titel&amp;nbsp;„Das beruhigte Deutschland“.&amp;nbsp;Darin setzte Wehrkamp das politische Geschehen seiner Zeit in Analogie zur römischen und germanischen Geschichte. Er beschreibt die Vielzahl der verschiedenen Völker und ihre jeweiligen Gebiete und geht auf ihr Zusammenleben ein. Besonderes Gewicht legt er auf die Erörterung der Kriege. Belagerung und Feldschlacht werden als Kriegsmittel gegenübergestellt und verglichen. Die Beschreibungen bleiben dabei unspezifisch, sodass Parallelen zum aktuellen Zeitgeschehen von den Rezipienten selbst gezogen werden können. Die Wiederherstellung des Friedens vollzieht sich durch die wechselhafte Beziehung zwischen dem Kriegsgott Mars und der Friedensgöttin Irene, die ihrem Kontrahenten symbolisch die Hand zum Frieden reicht, welche von Mars auch angenommen wird. Die Friedenszeit verknüpft der Autor mit Ruhe und Sicherheit, sowie den „Segnungen des Friedens“. Die „Künste fangen wieder an zu leben“ und Wissenschaft kann wieder in Ruhe und Sicherheit betrieben werden. „Ein neues Horn der Fülle“ wird gereicht und sorgt für den Wohlstand der Menschen. Irene wird hier das Füllhorn als Symbol für den segenbringenden Frieden an die Seite gestellt. Letzten Endes, so Wehrkamp, ist die Friedenszeit gekennzeichnet durch die Menschenliebe, die dazu führt, dass „Friede, Bund und Recht die Staaten sicher macht.“ Dieser Zustand soll auch bei Wehrkamp ewig herrschen. Im letzten Vers verweist der Verfasser noch auf den Anbruch der „Augustens Zeit“. Hier stellt Wehrkamp einen direkten Bezug zu Kaiser Augustus und seiner Pax Augusta her. Eine mögliche Interpretation bezieht sich auf die Zeitvorstellung des Augustinus, der Vergangenheit und Zukunft als subjektive Erinnerungen der Gegenwart begreift. Im Zusammenhang der Ode wäre die Vergangenheit ebenso wie die zukünftige Friedenszeit eine Imagination des Menschen, Krieg und Frieden also Erinnerungen. Eine weitere Deutungsmöglichkeit besteht im dem Bezug auf Kaiser Augustus und seiner Pax Augusta.&amp;nbsp;
FB
</t>
  </si>
  <si>
    <t xml:space="preserve">Das Beruhigte Deutschland:, Dd 957 (16)</t>
  </si>
  <si>
    <t xml:space="preserve">https://friedensbilder-neu.gnm.de/sites/default/files/2019-06/Dd-957-(16)_0.png</t>
  </si>
  <si>
    <t xml:space="preserve">http://friedensbilder.gnm.de/content/frieden_foto_order1c431e</t>
  </si>
  <si>
    <t xml:space="preserve">Das durch den herrlichen Frieden berühmt gewordene Schloß Hubertsburg:</t>
  </si>
  <si>
    <t xml:space="preserve">Dd 957 (15)</t>
  </si>
  <si>
    <t xml:space="preserve">Gesler, Johann Georg
Bartholomäi, Daniel</t>
  </si>
  <si>
    <t xml:space="preserve">http://digitale.bibliothek.uni-halle.de/urn/urn:nbn:de:gbv:3:1-283359</t>
  </si>
  <si>
    <t xml:space="preserve">12 S.</t>
  </si>
  <si>
    <t xml:space="preserve">bey Gelegenheit einer im Schwäbischen Crayse 1763. vergnüglichst celebrirten Friedens-Feyer in etlichen Strophen ... betrachtet von Geßler, aus Memmingen</t>
  </si>
  <si>
    <t xml:space="preserve">Anmerkungen zur zweiten Auflage des Textes, erste Auflage erschien scheinbar anonym, denn in der Anmerkung wird der Verfasser namentlich hervorgehoben</t>
  </si>
  <si>
    <t xml:space="preserve">http://digitale.bibliothek.uni-halle.de/vd18/image/view/7677576?w=1000</t>
  </si>
  <si>
    <t xml:space="preserve">Das durch den herrlichen Frieden berühmt gewordene Schloß Hubertsburg, Dd 957 (15)</t>
  </si>
  <si>
    <t xml:space="preserve">Das durch den herrlichen Frieden berühmt gewordene Schloß Hubertsburg</t>
  </si>
  <si>
    <t xml:space="preserve">Das nach dem Frieden seufzende Chur-sächßische Land:</t>
  </si>
  <si>
    <t xml:space="preserve">Einbl. XI,576</t>
  </si>
  <si>
    <t xml:space="preserve">Richter, Peter</t>
  </si>
  <si>
    <t xml:space="preserve">Stolpe</t>
  </si>
  <si>
    <t xml:space="preserve">http://digitale.bibliothek.uni-halle.de/urn/urn:nbn:de:gbv:3:1-727649</t>
  </si>
  <si>
    <t xml:space="preserve">32 x 21</t>
  </si>
  <si>
    <t xml:space="preserve">Pon Vd 3104, Fk</t>
  </si>
  <si>
    <t xml:space="preserve">Friede zum Neuen Jahr 1763</t>
  </si>
  <si>
    <t xml:space="preserve">Die Beischrift des Kupferstiches (Siehe Transkription) erläutert das Dargestellte sehr treffend, daher bedarf es keiner zusätzlichen Erfassung des Bildgegenstandes. Die von Bild und Text getroffene Aussage allerdings offenbart sich erst bei genauerem Hinsehen.Nach dem Bittgedicht für Frieden an Gottvater wird das Titelkupfer mit der Zeile "Friede zum Neuen Jahr 1763" überschrieben. Der Titel legt nahe, dass es sich bei dem Flugblatt um ein Neujahrsblatt handelt, welches zum Jahreswechsel 1762/63 gedruckt wurde und das einen baldigen Frieden ersehnt. In der Tat standen die Vorzeichen gut, dass sich die Beziehungen zwischen Sachsen, Preußen und Österreich bald entspannen sollten.&amp;nbsp;Die Schlacht bei Freiberg&amp;nbsp;am 29. Oktober 1762&amp;nbsp;war die letzte militärische Auseinandersetzung zwischen den Beteiligten, in welcher Preußen unter der Führung von Prinz Heinrich siegte und Sachsen von Österreich befreien konnte.Doch wie der Stich zeigt, sind noch nicht alle Gebiete befriedet und die Regionen, in denen der Krieg gewütet hat, sind verwüstet und von Ruinen gekennzeichnet, außerdem befand sich Sachsen weiterhin unter Preußischer Besatzung. Während erste Friedensanzeichen auf der rechten Bildseite leise hoffen lassen, ziehen links im Bild die letzten Truppen ab, unter denen vereinzelt noch Kampfwütige zu sein scheinen. Wehmütig sitzt Pax daher mit ihrem Ölzweig auf den zerstörten Waffen und sehnt sich nach einer offiziellen Friedenserklärung der Konfliktparteien, damit das Land zu alter Prosperität zurückfindet. Sie hofft dabei auch auf die Hilfe durch den König, der dem Land "Beständigen Frieden und blühenden Stand" gönnen soll. Unklar bleibt dabei, ob der König in Preußen Friedrich II. oder der polnische König und Kurfürst von Sachsen Friedrich August gemeint ist.MATW</t>
  </si>
  <si>
    <t xml:space="preserve">Das nach dem Frieden seufzendeChur-Sächßische Land.O ihr Götter! in der Höhe,Dringt denn unser Klagen nicht,Und Chur-Sachsens ängstlich WeheVor ein heiligs Angesicht?Ach! ich bitte, hört das FlehenVon mir sehr Gebeugten an,Bald ist es um mich geschehen,Und um Sachsen gar gethan.Friede, Friede gieb von obenVater der Barmherzigkeit,Herrlich wird dich Sachsen loben,Und die ganze Christenheit.Steure ferner Blutvergiessen,Hemme unsre grose Noth,Und laß uns doch endlich wissen,Daß du noch bist unser Gott.________________________________________Genug, ach Vater! genug hast du Europa verheeret,Und dessen schüchterne Völker geschreckt;Genug die Fürsten gebeugt, Städte und Länder zerstöret,Und unsere Strassen mit Leichen gedeckt.O schau doch gnädig herab, daß die Gewitter verziehen!Entreiß die hinkenden Schwerdter der Hand!Es müsse der schwangere Lenz auf ruhigen Fluren verblühen,Und Eintracht führe die Pflugschaar durchs Land___________________________________________&amp;nbsp;Friede zum Neuen Jahr 1763Es lebe der König und gönne dem LandBestsendigen Frieden und blühenden StandErklärung des Kupfers.Der Friede, welcher seit mehr als sechs Jahren sein Angesicht vor dem größten Theil Deutschlands verhuellet gehabt, wird hier in der gewoehnlichen Gestalt eines Frauenzimmers mit dem Ölzweig in der Hand vorgestellt, Sie ist im Begriff ihr Angesicht aufzudecken, um nach dem Auge der allweisesten Vorsicht zu sehen; sie scheinet gleichsam anzufragen: Ob es Zeit wäre, nach dem sehnlichen Verlangen so vieler tausend Menschen ihr angenehmes Angesicht wieder sehen zu lassen? Sie sitzt auf einer umgefallenen unbrauchbaren Canone. Unter ihren Füssen und der vor ihr auf den erhabnen Vorgrund liegen zerbrochne Waffen, und Kriegszeichen; zu ihrer rechten Seite eilen zwischen den Fahnen und umgekehrten Paucken einige Soldaten hervor, welche sie in ihren guten Vorhaben verhindern wollen, dessen ohngeachtet aber zeigen sich in der Ferne einige im Abmarsch begriffene Völker. Ferner siehet man zur linken Seite die traurigsten Früchte des Kriegs, Ruinen von Gebäuden, und hinter denenselben abgebrannte und verarmte Leute, welche nach den Frieden aus vollen Halse schreyen. In der Ferne zeigt sich eine in Ruh und Frieden lebende Gegend, über dieser schwingt sich ein Genius durch eine angenehme Luft, mit einem Ölzweig in der rechten Hand, und einem Horn des Überflusses vor alle Stände unter dem rechten Arm, wodurch die Gott gebe bald folgende glückliche Zeiten vorgestellet werden.Stolpen, verlegt und zu finden bey Peter Richtern.MATW</t>
  </si>
  <si>
    <t xml:space="preserve">http://digitale.bibliothek.uni-halle.de/vd18/image/view/12622584?w=1000</t>
  </si>
  <si>
    <t xml:space="preserve">Das nach dem Frieden seufzende Chur-sächßische Land, Text, Einbl. XI,576
Das nach dem Frieden seufzende Chur-sächßische Land, Bild, Einbl. XI,576</t>
  </si>
  <si>
    <t xml:space="preserve">Das nach dem Frieden seufzende Chur-sächßische Land, Text
Das nach dem Frieden seufzende Chur-sächßische Land, Bild</t>
  </si>
  <si>
    <t xml:space="preserve">Der von Sr. Maiestät, dem Größesten Könige in Preussen mit Oesterreich und Sachsen im Hornung 1763. geschlossene Friede</t>
  </si>
  <si>
    <t xml:space="preserve">Dd 957 (9)</t>
  </si>
  <si>
    <t xml:space="preserve">Wegener, Karl Friedrich
Birnstiel, Friederich Wilhelm</t>
  </si>
  <si>
    <t xml:space="preserve">http://digitale.bibliothek.uni-halle.de/urn/urn:nbn:de:gbv:3:1-490542</t>
  </si>
  <si>
    <t xml:space="preserve">besungen von Carl Friedrich Wegener. Hofprediger, und Jnspectore zu Königes Wusterhausen</t>
  </si>
  <si>
    <t xml:space="preserve">738495077 </t>
  </si>
  <si>
    <t xml:space="preserve">http://digitale.bibliothek.uni-halle.de/vd18/image/view/7681462?w=1000</t>
  </si>
  <si>
    <t xml:space="preserve">Der von Sr. Maiestät, dem Größesten Könige in Preussen mit Oesterreich und Sachsen im Hornung 1763. geschlossene Friede, Dd 957 (9)</t>
  </si>
  <si>
    <t xml:space="preserve">Die Ankunft des Friedes:</t>
  </si>
  <si>
    <t xml:space="preserve">Dd 957 (21)</t>
  </si>
  <si>
    <t xml:space="preserve">Verfasser
Komponist
Drucker</t>
  </si>
  <si>
    <t xml:space="preserve">Alers, Christian Wilhelm
Graf, Friedrich Hartmann
Spiering, Konrad Jakob</t>
  </si>
  <si>
    <t xml:space="preserve">http://digitale.bibliothek.uni-halle.de/urn/urn:nbn:de:gbv:3:1-490585</t>
  </si>
  <si>
    <t xml:space="preserve">Ein Singgedicht / Bey Gelegenheit der öffentlichen Friedens-Feyer in Hamburg entworfen von C. W. Alers, des Hamb. Minist. Cand. comp. und aufgeführt von Friedrich Hartman Graf</t>
  </si>
  <si>
    <t xml:space="preserve">http://digitale.bibliothek.uni-halle.de/vd18/image/view/7679380?w=1000</t>
  </si>
  <si>
    <t xml:space="preserve">Die Ankunft des Friedes, Dd 957 (21)</t>
  </si>
  <si>
    <t xml:space="preserve">Die Ankunft des Friedes</t>
  </si>
  <si>
    <t xml:space="preserve">http://friedensbilder.gnm.de/content/frieden_foto_order1c4377</t>
  </si>
  <si>
    <t xml:space="preserve">Die Freude über den wieder hergestellten Frieden / wurde den 30. May 1763. von der studierenden Jugend in Freyberg vorstellig gemacht, und dazu gehorsamst eingeladen </t>
  </si>
  <si>
    <t xml:space="preserve">Pon Vd 3124, QK</t>
  </si>
  <si>
    <t xml:space="preserve">Biedermann, Johann Gottlieb
Barthel, Samuel Friedrich</t>
  </si>
  <si>
    <t xml:space="preserve">Freiberg</t>
  </si>
  <si>
    <t xml:space="preserve">http://digitale.bibliothek.uni-halle.de/urn/urn:nbn:de:gbv:3:1-156183</t>
  </si>
  <si>
    <t xml:space="preserve">63615632X </t>
  </si>
  <si>
    <t xml:space="preserve">Friedensherold verkündet den Frieden</t>
  </si>
  <si>
    <t xml:space="preserve">http://digitale.bibliothek.uni-halle.de/vd18/image/view/2359689?w=1000</t>
  </si>
  <si>
    <t xml:space="preserve">Die Freude über den wieder hergestellten Frieden , Pon Vd 3124, QK</t>
  </si>
  <si>
    <t xml:space="preserve">Die Freude über den wieder hergestellten Frieden </t>
  </si>
  <si>
    <t xml:space="preserve">Feierliche Rede, welche an dem hohen Geburts-Tag des durchlauchtigsten Fuersten und Herrn, Herrn Christian Friedrich Carl Alexander, Marggrafens zu Brandenburg-Onolzbach etc. etc. am 24. Febr. 1763 ... öffentlich abgeleget, und zugleich der geschlossene Frieden zwischen Preussen und Oestreich ... besungen worden</t>
  </si>
  <si>
    <t xml:space="preserve">4 Diss. 3612,22 </t>
  </si>
  <si>
    <t xml:space="preserve">Vetter, Johann Jakob</t>
  </si>
  <si>
    <t xml:space="preserve">http://reader.digitale-sammlungen.de/resolve/display/bsb10969877.html</t>
  </si>
  <si>
    <t xml:space="preserve">Yl 6681</t>
  </si>
  <si>
    <t xml:space="preserve">von einem aus der dasigen Conrectorats-Classe, Namens Johann Jacob Vetter, aus Schwabach gebürtig</t>
  </si>
  <si>
    <t xml:space="preserve">419851704 </t>
  </si>
  <si>
    <t xml:space="preserve">Feierliche Rede, welche an dem hohen Geburts-Tag des durchlauchtigsten Fuersten und Herrn, Herrn Christian Friedrich Carl Alexander, Marggrafens zu Brandenburg-Onolzbach etc. etc. am 24. Febr. 1763 ... öffentlich abgeleget, 4 Diss. 3612,22 </t>
  </si>
  <si>
    <t xml:space="preserve">Feierliche Rede, welche an dem hohen Geburts-Tag des durchlauchtigsten Fuersten und Herrn, Herrn Christian Friedrich Carl Alexander, Marggrafens zu Brandenburg-Onolzbach etc. etc. am 24. Febr. 1763 ... öffentlich abgeleget</t>
  </si>
  <si>
    <t xml:space="preserve">Feyerliche Dankrede auf die wiederhergestellte Ruhe des bestürzten Deutschlandes,</t>
  </si>
  <si>
    <t xml:space="preserve">Res/2 Hom. 442,VIII,1</t>
  </si>
  <si>
    <t xml:space="preserve">Sailer, Sebastian
</t>
  </si>
  <si>
    <t xml:space="preserve">15229882-001</t>
  </si>
  <si>
    <t xml:space="preserve">http://reader.digitale-sammlungen.de/resolve/display/bsb10868506.html</t>
  </si>
  <si>
    <t xml:space="preserve">2 Hom. 63-6 </t>
  </si>
  <si>
    <t xml:space="preserve">66 S.</t>
  </si>
  <si>
    <t xml:space="preserve">oder den allgemeinen Frieden zu Gott dem Allerhöchsten und seine anvertraute Pfarrgemeinde an dem Tag der heiligen Kirchweyhe den ersten Sonntag nach Ostern, in Albis genannt, </t>
  </si>
  <si>
    <t xml:space="preserve">gesprochen von P. Sebastian Sailer ... Pfarrer zu Dietrichskirchen, in einer etwas erhabnern Redensart in Druk gegeben Anno 1763.</t>
  </si>
  <si>
    <t xml:space="preserve">Augspurg, verlegts Matthäus Rieger, Buchhändler.</t>
  </si>
  <si>
    <t xml:space="preserve">chronologische Beschreibung des Kriegsverlaufes mit Schlachten und Belagerungen (Daten am Rand)
Erwähnung verschiedener vorher gegangener Verträge (Bsp. Breslau, Dresden)
Verweis auf Amerika
Kritik an Handlung der Fürsten
</t>
  </si>
  <si>
    <t xml:space="preserve">Die&amp;nbsp;Embleme&amp;nbsp;auf S. 5 f stammen aus&amp;nbsp;M. Laurentii Wolfgangi Woyttens Emblematischer Parnassus (Augsburg; Jeremias Wolffs Seel. Erben, 1727),&amp;nbsp;
- Kraniche, die sich zusammen for Raubvögeln schützen:&amp;nbsp;http://emblematica.grainger.illinois.edu/detail/emblem/E007681&amp;nbsp;
- Schwäne, die sich vor Adlern schützen:&amp;nbsp;http://emblematica.grainger.illinois.edu/detail/emblem/E007681
- Schiffsbretter fest am Schiff, sodass ihm der Sturm nichts anhaben kann: evtl.&amp;nbsp;http://emblematica.grainger.illinois.edu/detail/emblem/E007167
- Eintracht der Bienen, da ihr Königreich sonst von den Wespen zerstört würde: Bienenkorb mit Wespen (erstes Emblem im Emblematischen Parnassus) in der Predigt angelehnt an&amp;nbsp;http://emblematica.grainger.illinois.edu/detail/emblem/A50a148&amp;nbsp;
</t>
  </si>
  <si>
    <t xml:space="preserve">http://friedensbilder.gnm.de/sites/default/files/bsb10868506_00005.jpg</t>
  </si>
  <si>
    <t xml:space="preserve">Feyerliche Dankrede auf die wiederhergestellte Ruhe des bestürzten Deutschlandes,, Res/2 Hom. 442,VIII,1</t>
  </si>
  <si>
    <t xml:space="preserve">https://friedensbilder-neu.gnm.de/sites/default/files/2019-06/Res_2-Hom_0.png</t>
  </si>
  <si>
    <t xml:space="preserve">http://friedensbilder.gnm.de/content/frieden_foto_order19e4d3</t>
  </si>
  <si>
    <t xml:space="preserve"> 	Friedens-Lieder auf den Einzug und die Wiederkunft des Königs zu Berlin den 30. Martii 1763</t>
  </si>
  <si>
    <t xml:space="preserve">74 in: Yf 6653</t>
  </si>
  <si>
    <t xml:space="preserve">Lappenberg, Samuel Christian
Ramler, Karl Wilhelm
Mizler, Johann Gottlieb</t>
  </si>
  <si>
    <t xml:space="preserve">Berlin
Schwabach</t>
  </si>
  <si>
    <t xml:space="preserve">http://digital.staatsbibliothek-berlin.de/werkansicht?PPN=PPN752406485&amp;PHYSID=PHYS_0001&amp;DMDID=DMDLOG_0001&amp;view=overview-info</t>
  </si>
  <si>
    <t xml:space="preserve">darin enthalten das Objekt Dd 957 (14) </t>
  </si>
  <si>
    <t xml:space="preserve">http://ngcs.staatsbibliothek-berlin.de/?action=metsImage&amp;format=jpg&amp;metsFile=PPN752406485&amp;divID=PHYS_0001&amp;width=1200</t>
  </si>
  <si>
    <t xml:space="preserve">http://friedensbilder.gnm.de/content/frieden_objectcc434</t>
  </si>
  <si>
    <t xml:space="preserve">Ode auf die Wiederkunft des Königs.</t>
  </si>
  <si>
    <t xml:space="preserve">74 in: Yf 6653 (1)</t>
  </si>
  <si>
    <t xml:space="preserve">http://digital.staatsbibliothek-berlin.de/werkansicht?PPN=PPN752406485&amp;PHYSID=PHYS_0007&amp;DMDID=DMDLOG_0001&amp;view=overview-info</t>
  </si>
  <si>
    <t xml:space="preserve">Berlin, den 30. März, 1763</t>
  </si>
  <si>
    <t xml:space="preserve">http://ngcs.staatsbibliothek-berlin.de/?action=metsImage&amp;format=jpg&amp;metsFile=PPN752406485&amp;divID=PHYS_0007&amp;width=1200</t>
  </si>
  <si>
    <t xml:space="preserve">Ode auf die Wiederkunft des Königs., 74 in: Yf 6653 (1)</t>
  </si>
  <si>
    <t xml:space="preserve">Memmingens Freude über den von Gott dem deutschen Vaterlande geschenkten Frieden zu Hubertusburg vom 15. Februar. 1763.</t>
  </si>
  <si>
    <t xml:space="preserve">Res/Bavar. 5199 a</t>
  </si>
  <si>
    <t xml:space="preserve">Mayer, Johann Valentin</t>
  </si>
  <si>
    <t xml:space="preserve">Memmingen</t>
  </si>
  <si>
    <t xml:space="preserve">http://bavarica.digitale-sammlungen.de/de/fs1/object/display/bsb10915126_00003.html</t>
  </si>
  <si>
    <t xml:space="preserve">76 S.</t>
  </si>
  <si>
    <t xml:space="preserve">Franziska Bauer/Henning Jürgens, Sabine Ehrmann-Herfort / Kathrin Fischeidl</t>
  </si>
  <si>
    <t xml:space="preserve">http://friedensbilder.gnm.de/sites/default/files/bsb10915126_00003.jpg</t>
  </si>
  <si>
    <t xml:space="preserve">Dieser Sammelband von 76 Seiten Umfang dokumentiert die Feierlichkeiten am 27./28. April 1763 in der schwäbischen Reichsstadt Memmingen&amp;nbsp;aus Anlass des Friedens von Hubertusburg. Die Stadt und ihr Landgebiet waren vom Krieg vollständig verschont geblieben. Gleichwohl ordnete der Rat der Stadt ein Friedensdankfest an, als dessen zentrales Ereignis die Predigt des Superintendenten Johann Georg Schelhorn in der Hauptkirche St. Martin bezeichnet wird. Die für eine Friedensfeier eher kurze Festpredigt betont, wie überraschend der Frieden gekommen sei, fordert die Bevölkerung zum Dank an Gott als dem Urheber des Friedens auf und mahnt zur Zurückhaltung bei den Feierlichkeiten. Sie schließt mit einem Katalog der Verhaltensanweisungen für die kommende Friedenszeit. Zusätzlich enthält der Band ein Dankgebet, die Libretti zweier Friedensmusiken, mehrere Oden auf den Frieden und historische Reden der Schüler und Lehrer der Lateinschule sowie eine abschließende Beschreibung der Feierlichkeiten. Sie endeten mit einem Scheibenschießen am 9. Mai. Die Scheibe wies dabei ein besonderes Motiv auf: Als man im Zuge der Feierlichkeiten am Nachmittag des 27. April Salut schoss, explodierte eine der Kanonen. Ein 103 Pund schweres Metallteil wurde dabei auf den Vorplatz der Martinskirche geschleudert, als die Gemeinde gerade die Kirche verließ. Wie durch ein Wunder wurde bei dem Unglück niemand verletzt. Auf der Schießscheibe für den 9. Mai wurde die geborstene Kanone mit lateinischen Sinnsprüchen abgebildet.HPJ</t>
  </si>
  <si>
    <t xml:space="preserve">https://friedensbilder-neu.gnm.de/sites/default/files/2019-06/Res-Bavar.png</t>
  </si>
  <si>
    <t xml:space="preserve">http://friedensbilder.gnm.de/content/frieden_object1aca4d
http://friedensbilder.gnm.de/content/frieden_object1ad03a
http://friedensbilder.gnm.de/content/frieden_object1ac9c7
http://friedensbilder.gnm.de/content/frieden_object1ae348
http://friedensbilder.gnm.de/content/frieden_object1ae368
http://friedensbilder.gnm.de/content/frieden_object1ae388
http://friedensbilder.gnm.de/content/frieden_object1ae40c
http://friedensbilder.gnm.de/content/frieden_object1ae42c</t>
  </si>
  <si>
    <t xml:space="preserve">http://friedensbilder.gnm.de/content/frieden_foto_order175a31</t>
  </si>
  <si>
    <t xml:space="preserve">Moralisches Lob- und Dankgedicht auf den in Sachsen wiederhergestellten Frieden, den 15ten Februar 1763</t>
  </si>
  <si>
    <t xml:space="preserve">Pon Vd 1771 (19) (1)</t>
  </si>
  <si>
    <t xml:space="preserve">Triller, Daniel Wilhelm</t>
  </si>
  <si>
    <t xml:space="preserve">http://reader.digitale-sammlungen.de/de/fs1/object/display/bsb10907460_00003.html</t>
  </si>
  <si>
    <t xml:space="preserve">Res/4 P.o.germ. 236,27</t>
  </si>
  <si>
    <t xml:space="preserve">Zwey moralische Gedichte auf den Gedächtniß-Tag der Wittenbergischen Belagerung den 13ten October 1760 über die Jahre 1762 und 1769</t>
  </si>
  <si>
    <t xml:space="preserve">Natur
Friedenszeit</t>
  </si>
  <si>
    <t xml:space="preserve">Moralisches Lob- und Dankgedicht auf den in Sachsen wiederhergestellten Frieden, den 15ten Februar 1763, Pon Vd 1771 (19) (1)</t>
  </si>
  <si>
    <t xml:space="preserve">Pon Vd 1771 (19)</t>
  </si>
  <si>
    <t xml:space="preserve">Triller, Daniel Wilhelm
Dürr, Carl Christian</t>
  </si>
  <si>
    <t xml:space="preserve">10592385 </t>
  </si>
  <si>
    <t xml:space="preserve">http://digital.slub-dresden.de/werkansicht/dlf/120907/1/</t>
  </si>
  <si>
    <t xml:space="preserve">Hist.Sax.H.711.b</t>
  </si>
  <si>
    <t xml:space="preserve">nebst einem andern Dank- und Lobgedichte auf den geschloßenen Frieden den 15ten Februar 1762 </t>
  </si>
  <si>
    <t xml:space="preserve">Selbst an dem Gedächtniß-Tage der Belagerung den 13ten October 1769 auf Verlangen dem Druck überlassen / von Daniel Wilhelm</t>
  </si>
  <si>
    <t xml:space="preserve">darin enthalten:erste und zweite moralische BetrachtungMoralisches Lob- und Dankgedicht</t>
  </si>
  <si>
    <t xml:space="preserve">http://friedensbilder.gnm.de/sites/default/files/Triller.tif-2.pdf</t>
  </si>
  <si>
    <t xml:space="preserve">http://friedensbilder.gnm.de/content/frieden_objectcc798</t>
  </si>
  <si>
    <t xml:space="preserve">Ode auf den Frieden</t>
  </si>
  <si>
    <t xml:space="preserve">Hist.Germ.D.86</t>
  </si>
  <si>
    <t xml:space="preserve">Schönaich, Christoph Otto von
Breitkopf, Johann Gottlob Immanuel</t>
  </si>
  <si>
    <t xml:space="preserve">1058739X</t>
  </si>
  <si>
    <t xml:space="preserve">http://digital.slub-dresden.de/werkansicht/dlf/69474/1/</t>
  </si>
  <si>
    <t xml:space="preserve">An dem hocherfreulich erschienenen Hohen Friedrichstage, welcher Seiner Kön. Maiestät Ihrem allergnädigsten Könige und Landesherrn, ... dem 5ten des Lenzmondes 1763. Von der Gesellschaft der freyen Künste zu Leipzig treugehorsamst begangen ward </t>
  </si>
  <si>
    <t xml:space="preserve">http://friedensbilder.gnm.de/sites/default/files/Schönaich.tif.pdf</t>
  </si>
  <si>
    <t xml:space="preserve">Ode auf den Frieden, Hist.Germ.D.86</t>
  </si>
  <si>
    <t xml:space="preserve">Ode, worinnen an dem höchsterfreulichen Friedensfeste welches das Hochfürstl. Gymnasium zu Eisenach den 10. May 1763 feyerlich begieng die großen Vortheile des Friedens besungen</t>
  </si>
  <si>
    <t xml:space="preserve">Dd 957 (20)</t>
  </si>
  <si>
    <t xml:space="preserve">Schumacher, Karl Wilhelm
Grießbach, Michael Gottlieb</t>
  </si>
  <si>
    <t xml:space="preserve">Eisenach</t>
  </si>
  <si>
    <t xml:space="preserve">10410384 </t>
  </si>
  <si>
    <t xml:space="preserve">http://digitale.bibliothek.uni-halle.de/urn/urn:nbn:de:gbv:3:1-414330</t>
  </si>
  <si>
    <t xml:space="preserve">M. Carl Wilhelm Schumacher des Hochfürstl. Gymnasii Subconrector …</t>
  </si>
  <si>
    <t xml:space="preserve">http://digitale.bibliothek.uni-halle.de/vd18/image/view/7679466?w=1000</t>
  </si>
  <si>
    <t xml:space="preserve">Ode, worinnen an dem höchsterfreulichen Friedensfeste welches das Hochfürstl. Gymnasium zu Eisenach den 10. May 1763 feyerlich begieng die großen Vortheile des Friedens besungen, Dd 957 (20)</t>
  </si>
  <si>
    <t xml:space="preserve">Patriotisches Vergnügen, bey dem Frieden, welcher, den 15. Febr. des 1763sten Jahres zwischen Sachsen und Preussen, auf den Königl. Schlosse zu Hubertsburg geschlossen worden</t>
  </si>
  <si>
    <t xml:space="preserve">Hist.Sax.C.1094,misc.23</t>
  </si>
  <si>
    <t xml:space="preserve">Bussius, Heinrich August</t>
  </si>
  <si>
    <t xml:space="preserve">Hofbuchdruckerei Dresden</t>
  </si>
  <si>
    <t xml:space="preserve">http://digitale.bibliothek.uni-halle.de/urn/urn:nbn:de:gbv:3:1-393950</t>
  </si>
  <si>
    <t xml:space="preserve">Pon Vd 3098, QK</t>
  </si>
  <si>
    <t xml:space="preserve">5 Bl.</t>
  </si>
  <si>
    <t xml:space="preserve">In einer Ode geschildert.</t>
  </si>
  <si>
    <t xml:space="preserve">http://digitale.bibliothek.uni-halle.de/vd18/image/view/12665262?w=1000</t>
  </si>
  <si>
    <t xml:space="preserve">Patriotisches Vergnügen, bey dem Frieden, Hist.Sax.C.1094,misc.23</t>
  </si>
  <si>
    <t xml:space="preserve">Patriotisches Vergnügen, bey dem Frieden</t>
  </si>
  <si>
    <t xml:space="preserve">Singgedicht, welches Tages nach dem Hocherfreulichen Friedensfeste den 22. März 1763. ... bey einer öffentlichen Rede, Herrn Carl August Janus, der schön. Wiss. und B. R. Beflissenen, aus Bauzen, die von einer Friedensode Herrn Heinrich Carl Gottlieb Walzens, des jüngern, aus Dresden, beyderseits Mitgl. der Gottschedischen Rednergesellschaft, abgelöset ward, im philosophischen Hörsaale zu Leipzig abgesungen worden </t>
  </si>
  <si>
    <t xml:space="preserve">Hist.Sax.C.278,16</t>
  </si>
  <si>
    <t xml:space="preserve">Komponist
Verfasser
Verleger
Drucker</t>
  </si>
  <si>
    <t xml:space="preserve">Hiller, Johann Adam
Gottsched, Johann Christoph
Breitkopf, Johann Gottlob Immanuel</t>
  </si>
  <si>
    <t xml:space="preserve">http://digital.slub-dresden.de/werkansicht/dlf/122439/1/</t>
  </si>
  <si>
    <t xml:space="preserve">Singgedicht wurde vorgetragen von Karl August Janus und Heinrich Carl Gottlieb Walz ?</t>
  </si>
  <si>
    <t xml:space="preserve">http://friedensbilder.gnm.de/sites/default/files/Gottsched.tif.pdf</t>
  </si>
  <si>
    <t xml:space="preserve">Singgedicht, welches Tages nach dem Hocherfreulichen Friedensfeste den 22. März 1763. ... bey einer öffentlichen Rede, Herrn Carl August Janus, der schön. Wiss. und B. R. Beflissenen, aus Bauzen, die von einer Friedensode Herrn Heinrich Carl Gottlieb Walzens, des jüngern, aus Dresden, beyderseits Mitgl. der Gottschedischen Rednergesellschaft, abgelöset ward, Hist.Sax.C.278,16</t>
  </si>
  <si>
    <t xml:space="preserve">Singgedicht, welches Tages nach dem Hocherfreulichen Friedensfeste den 22. März 1763. ... bey einer öffentlichen Rede, Herrn Carl August Janus, der schön. Wiss. und B. R. Beflissenen, aus Bauzen, die von einer Friedensode Herrn Heinrich Carl Gottlieb Walzens, des jüngern, aus Dresden, beyderseits Mitgl. der Gottschedischen Rednergesellschaft, abgelöset ward</t>
  </si>
  <si>
    <t xml:space="preserve">Singgedichte, welches bey der, zur Feyer des allgemeinen Friedens auf der Georg-Augustus-Universität, von Georg Christoph von Roepert, ... gehaltenen Rede, vor und nach derselben, abgesungen worden</t>
  </si>
  <si>
    <t xml:space="preserve">4.A.3697,angeb.</t>
  </si>
  <si>
    <t xml:space="preserve">Röpert, Georg Christoph von</t>
  </si>
  <si>
    <t xml:space="preserve">http://digital.slub-dresden.de/werkansicht/dlf/28233/1/</t>
  </si>
  <si>
    <t xml:space="preserve">Den 19. September 1763</t>
  </si>
  <si>
    <t xml:space="preserve">http://friedensbilder.gnm.de/sites/default/files/Röpert.tif-1.pdf</t>
  </si>
  <si>
    <t xml:space="preserve">Singgedichte, welches bey der, zur Feyer des allgemeinen Friedens auf der Georg-Augustus-Universität, von Georg Christoph von Roepert, ... gehaltenen Rede, vor und nach derselben, abgesungen worden, 4.A.3697,angeb.</t>
  </si>
  <si>
    <t xml:space="preserve">Vom Kriege und Frieden handelte an dem Dankfeste, welches die amelungsbornsche Klosterschule zu Holzmünden, zum Preise Gottes für den gnädigst geschenkten Frieden, in Höchster Gegenwart der ... Herrschaften von Braunschweig-Lüneburg-Bevern, des ... Fürsten von Corvey, und einer hochansehnlichen und zahlreichen Versammlung, den 20. May, 1763. öffentlich feyerte</t>
  </si>
  <si>
    <t xml:space="preserve">M: QuN 278.2 (5)</t>
  </si>
  <si>
    <t xml:space="preserve">Richter, Friedrich-Wilhelm</t>
  </si>
  <si>
    <t xml:space="preserve">http://publikationsserver.tu-braunschweig.de/receive/dbbs_mods_00050918</t>
  </si>
  <si>
    <t xml:space="preserve">Universitätsbibliothek Braunschweig</t>
  </si>
  <si>
    <t xml:space="preserve">2300-0388</t>
  </si>
  <si>
    <t xml:space="preserve">40 S.</t>
  </si>
  <si>
    <t xml:space="preserve">Friedrich Wilhelm Richter, Prior des Klosters Amelungsborn und Rektor der Herzogl. Klosterschule zu Holzmünden</t>
  </si>
  <si>
    <t xml:space="preserve">742457842 </t>
  </si>
  <si>
    <t xml:space="preserve">Ausführliche Schilderung einer (utopischen) Friedenszeit, Vorstellung des friedlichen Lebens auf alle Lebensbereiche bezogen
</t>
  </si>
  <si>
    <t xml:space="preserve">http://friedensbilder.gnm.de/sites/default/files/titelblatt_4.tif</t>
  </si>
  <si>
    <t xml:space="preserve">Am 20. Mai 1763 feierte die Klosterschule Holzminden den Friedensvertrag von Hubertusburg. Der Siebenjährige Krieg hatte die Stadt und ihre Umgebung besonders schwer getroffen, die seit 1757 von französischen Truppen eingenommen war. Aus Anlass des Dankfestes verfasste der damalige Rektor der Schule, Friedrich Wilhelm Richter (1721–1791), eine Ode. Der gebürtige Hallenser thematisiert darin ausführlich die künftige Friedenszeit und orientiert sich an der für Friedensdichtung typischen Dreiteilung: Nach einer Beschreibung des Krieges und seines Verlaufs erfolgt die Darlegung des Wunsches nach Frieden, die schließlich im Einzug des Friedens und einer detaillierten Wiedergabe der friedlichen Zeit&amp;nbsp;mündet, die für die nahe Zukunft erwartet wird. Richter widmet seine Ode Herzog Karl I. von Braunschweig-Lüneburg. Die Widmung an den Landesherrn ist für Friedensdichtungen typisch. Die beschriebene Friedenszeit ist zunächst gekennzeichnet durch die Wiederkehr der Gerechtigkeit, die „der Tugend zum gerechten Lohne“ verhilft und die Gesetze schützt. Dadurch herrscht gleichzeitig Sicherheit für die Bevölkerung, die dazu führt, dass der freie Handel floriert. Aufgrund des zurückkehrenden allgemeinen Wohlstands und Überflusses sei es beispielsweise den Kaufleuten möglich, wieder die Messen in Frankfurt und Leipzig zu besuchen. Aus der Perspektive eines Lehrers stellt Richter die Bedeutung des Bildungswesens für die bevorstehende Friedenszeit heraus. Abschließend plädiert der Verfasser für den Wiederaufbau der in Mitleidenschaft gezogenen Städte, womit er vor allem Holzminden, seine Wahlheimat, vor Augen hatte. Insgesamt verknüpft der Autor existentielle Vorstellungen mit der Friedenszeit, die gleichzeitig nicht nur für den Moment, sondern auch für die Zukunft der Menschen von großer Bedeutung sind, da sie Fortschritt und Verbesserung ermöglichen.&amp;nbsp;
FB
</t>
  </si>
  <si>
    <t xml:space="preserve">Vom Kriege und Frieden handelte an dem Dankfeste, welches die amelungsbornsche Klosterschule zu Holzmünden, zum Preise Gottes für den gnädigst geschenkten Frieden, M: QuN 278.2 (5)</t>
  </si>
  <si>
    <t xml:space="preserve">https://friedensbilder-neu.gnm.de/sites/default/files/2019-06/M-QuN-278_0.png</t>
  </si>
  <si>
    <t xml:space="preserve">Vom Kriege und Frieden handelte an dem Dankfeste, welches die amelungsbornsche Klosterschule zu Holzmünden, zum Preise Gottes für den gnädigst geschenkten Frieden</t>
  </si>
  <si>
    <t xml:space="preserve">http://friedensbilder.gnm.de/content/frieden_foto_order1e9f4f</t>
  </si>
  <si>
    <t xml:space="preserve">Von dem Monarchen unseres Landes, als einem Fürbilde seiner Unterthanen an dem angestellten Friedens-Feste redete an dem ... am Ein und zwanzigsten Märtz 1763. ... gefeyerten Friedens-Danck-Feste zu seiner Gemeine </t>
  </si>
  <si>
    <t xml:space="preserve">Hist.Sax.C.1110.m</t>
  </si>
  <si>
    <t xml:space="preserve">Barthold, Samuel Traugott
Schill, Johann Friedrich</t>
  </si>
  <si>
    <t xml:space="preserve">http://digital.slub-dresden.de/werkansicht/dlf/80966/1/</t>
  </si>
  <si>
    <t xml:space="preserve">28 S.</t>
  </si>
  <si>
    <t xml:space="preserve">http://friedensbilder.gnm.de/sites/default/files/Barthold.tif-1.pdf</t>
  </si>
  <si>
    <t xml:space="preserve">Von dem Monarchen unseres Landes, als einem Fürbilde seiner Unterthanen an dem angestellten Friedens-Feste redete, Hist.Sax.C.1110.m</t>
  </si>
  <si>
    <t xml:space="preserve">Von dem Monarchen unseres Landes, als einem Fürbilde seiner Unterthanen an dem angestellten Friedens-Feste redete</t>
  </si>
  <si>
    <t xml:space="preserve">Ode an das Vaterland am Friedensfeste den 21. März des 1763. Jahrs</t>
  </si>
  <si>
    <t xml:space="preserve">79 in: Yf 6653</t>
  </si>
  <si>
    <t xml:space="preserve">Neumann, Daniel</t>
  </si>
  <si>
    <t xml:space="preserve">Johann Gottlieb Stremel Erben</t>
  </si>
  <si>
    <t xml:space="preserve">Zittau</t>
  </si>
  <si>
    <t xml:space="preserve">http://digital.staatsbibliothek-berlin.de/werkansicht?PPN=PPN76793444X&amp;PHYSID=PHYS_0001&amp;DMDID=DMDLOG_0001</t>
  </si>
  <si>
    <t xml:space="preserve">76793444X</t>
  </si>
  <si>
    <t xml:space="preserve">http://friedensbilder.gnm.de/sites/default/files/Neumann.tif</t>
  </si>
  <si>
    <t xml:space="preserve">Ode an das Vaterland am Friedensfeste den 21. März des 1763. Jahrs, 79 in: Yf 6653</t>
  </si>
  <si>
    <t xml:space="preserve">Des Freyherrn Johann Friederich von Cronegk Schriften</t>
  </si>
  <si>
    <t xml:space="preserve">M: Lo 984:2</t>
  </si>
  <si>
    <t xml:space="preserve">Cronegk, Johann Friedrich von
Uz, Johann Peter
Posch, Jakob Christoph</t>
  </si>
  <si>
    <t xml:space="preserve">http://reader.digitale-sammlungen.de/resolve/display/bsb10107136.html</t>
  </si>
  <si>
    <t xml:space="preserve">P.o.germ. 255-2</t>
  </si>
  <si>
    <t xml:space="preserve">Zweyter Band</t>
  </si>
  <si>
    <t xml:space="preserve">http://friedensbilder.gnm.de/content/frieden_objecte556a</t>
  </si>
  <si>
    <t xml:space="preserve">Li pastori e le ninfe di Partenope</t>
  </si>
  <si>
    <t xml:space="preserve">Corniani Algarotti Racc.Dramm.5605</t>
  </si>
  <si>
    <t xml:space="preserve">Parrino, Domenico A.</t>
  </si>
  <si>
    <t xml:space="preserve">Parrino stampatore Arcivescovale</t>
  </si>
  <si>
    <t xml:space="preserve">Magaudda 2011</t>
  </si>
  <si>
    <t xml:space="preserve">S. 125</t>
  </si>
  <si>
    <t xml:space="preserve">http://www.urfm.braidense.it/rd/05605.pdf</t>
  </si>
  <si>
    <t xml:space="preserve">Li pastori e le ninfe di Partenope, Corniani Algarotti Racc.Dramm.5605</t>
  </si>
  <si>
    <t xml:space="preserve">Biblioteca della Fondazione Giorgio Cini</t>
  </si>
  <si>
    <t xml:space="preserve">ROL.0606.12</t>
  </si>
  <si>
    <t xml:space="preserve">Parrino</t>
  </si>
  <si>
    <t xml:space="preserve">Monferrini 2014
Ruffatti 2013</t>
  </si>
  <si>
    <t xml:space="preserve">S. 67–118
S. 49–98</t>
  </si>
  <si>
    <t xml:space="preserve">Da cantarsi nella gran Piazza del Real Palazzo la sera delli 4. Novembre 1711. Giorno, in cui si festeggia il suo Real Nome</t>
  </si>
  <si>
    <t xml:space="preserve">Amore Pace e Provvidenza</t>
  </si>
  <si>
    <t xml:space="preserve">SANT Hs 3937 (2)</t>
  </si>
  <si>
    <t xml:space="preserve">https://opac.rism.info/search?id=451023517 </t>
  </si>
  <si>
    <t xml:space="preserve">http://www.ascarlatti2010.net/main_page/al_fragor/</t>
  </si>
  <si>
    <t xml:space="preserve">Holsteinische Memorial, Das ist: Drey KriegsPredigten</t>
  </si>
  <si>
    <t xml:space="preserve">376.4 Theol. (6)</t>
  </si>
  <si>
    <t xml:space="preserve">Alard, Lamberd</t>
  </si>
  <si>
    <t xml:space="preserve">Große
Mintzel</t>
  </si>
  <si>
    <t xml:space="preserve">23:628792Y</t>
  </si>
  <si>
    <t xml:space="preserve">Vor- in- und nach Der beschwerlichen KriegsEmpörung und erfolgten Belägerung/ auch endlicher Erledigung der Veste und Stadt Crempe ... in offentlichen angesetzten Buß- und Betetagen/ zu unterschiedlichen Zeiten gehalten</t>
  </si>
  <si>
    <t xml:space="preserve">http://friedensbilder.gnm.de/sites/default/files/b5fc8211-175f-40ad-82cf-0b639a9434aa.gif</t>
  </si>
  <si>
    <t xml:space="preserve">Doxologia Davidica</t>
  </si>
  <si>
    <t xml:space="preserve">Tp. 8° 00310 (08)</t>
  </si>
  <si>
    <t xml:space="preserve">Laurentius, Christoph</t>
  </si>
  <si>
    <t xml:space="preserve">Krüger
Bergen</t>
  </si>
  <si>
    <t xml:space="preserve">14:009295D</t>
  </si>
  <si>
    <t xml:space="preserve">http://nbn-resolving.de/urn:nbn:de:gbv:3:1-28387</t>
  </si>
  <si>
    <t xml:space="preserve">[34] Bl.</t>
  </si>
  <si>
    <t xml:space="preserve">Oder Eine Christliche Dancksagungs-Predigt ... als der Allgewaltige Gott der Königlichen Majestät in Schweden und Churf. Durchl. zu Sachssen eine Herrliche und Glorwürdige Victori bey dem Dorff Breitenfeld ... am 7. Sept. des verflossenen 1631. Jahrs verliehen ..</t>
  </si>
  <si>
    <t xml:space="preserve">An dem von Churf. Durchl. zu Sachssen gnädigst angeordnetem Christlichem Lob- und Danckfest im Jahr Christi 1632. den 7. Sept. in der Churf. Schloßkirchen zu Dreßden ... gehalten</t>
  </si>
  <si>
    <t xml:space="preserve">http://friedensbilder.gnm.de/sites/default/files/390317.jpg</t>
  </si>
  <si>
    <t xml:space="preserve">Erfolgte Danck-Predigt Auff die vorgängigen Drey Fast- und Bet-Tage Predigten Uber der Fürtrefflichen Hochfrewdigen Victorien durch die Krafft auß der Höhe Ihr. Kön. Mayest. zu Schweden etc. etc. In der Blutigen Feldt-Schlacht ... den 7.17. Septembr. Anno 1631. verliehen</t>
  </si>
  <si>
    <t xml:space="preserve">400.2 Theol. (10)</t>
  </si>
  <si>
    <t xml:space="preserve">Schily, Johann</t>
  </si>
  <si>
    <t xml:space="preserve">Hertz</t>
  </si>
  <si>
    <t xml:space="preserve">14:004860G</t>
  </si>
  <si>
    <t xml:space="preserve">Pon Vc 4194, QK</t>
  </si>
  <si>
    <t xml:space="preserve">http://digitale.bibliothek.uni-halle.de/urn/urn:nbn:de:gbv:3:1-34296</t>
  </si>
  <si>
    <t xml:space="preserve">[3] Bl., 38 S., [2] Bl.</t>
  </si>
  <si>
    <t xml:space="preserve">Auß dem 4. Cap. deß ersten Buchs der Maccabeer </t>
  </si>
  <si>
    <t xml:space="preserve">Der Gemeine Gottes in Elbing am besondern Danck-Fest gethan Unnd Auff gnädigstes Befehl Ihr. Excellentz Herrn Reichs-Cantzlers zum Druck befordert</t>
  </si>
  <si>
    <t xml:space="preserve">http://friedensbilder.gnm.de/sites/default/files/419521.jpg</t>
  </si>
  <si>
    <t xml:space="preserve">Siegesfeier</t>
  </si>
  <si>
    <t xml:space="preserve">Purim, Oder GedechtnißSermon am Lob und Danckfest für den herrlichen Sieg welchen Gott seiner Kirchen Anno 1631. den 7. Septembris, bey Breitenfeldt eine Meilwegs von Leipzig verliehen durch die ... Mannhafftigkeit Ihrer Königlichen Majestät Gustavi Adolphi ... Wie auch anderer Evangelischen Heroischen Churfürsten Grafen und Herrn ..</t>
  </si>
  <si>
    <t xml:space="preserve">LP O 8° IV, 00013 (18)</t>
  </si>
  <si>
    <t xml:space="preserve">Wallenberger, Valentin  </t>
  </si>
  <si>
    <t xml:space="preserve">Bischoff
Dedekind</t>
  </si>
  <si>
    <t xml:space="preserve">39:109797Y</t>
  </si>
  <si>
    <t xml:space="preserve">http://gso.gbv.de/DB=1.28/CMD?ACT=SRCHA&amp;IKT=8002&amp;TRM=%2739:109797Y%27</t>
  </si>
  <si>
    <t xml:space="preserve">2.1 Siegesfeier
2.1.1 Breitenfeld 1632-09-07</t>
  </si>
  <si>
    <t xml:space="preserve">Merseburgisches DanckOpffer genommen Aus dem sechs und sechzigsten Psalm</t>
  </si>
  <si>
    <t xml:space="preserve">Hist 8° 01373-1374 (05)</t>
  </si>
  <si>
    <t xml:space="preserve">Andreae, Laurentius</t>
  </si>
  <si>
    <t xml:space="preserve">Grosse
Mintzel</t>
  </si>
  <si>
    <t xml:space="preserve">39:125789W</t>
  </si>
  <si>
    <t xml:space="preserve">http://nbn-resolving.de/urn/resolver.pl?urn=urn:nbn:de:urmel-d51bc301-c32c-4fe2-aa65-4c2c55a75c6e4</t>
  </si>
  <si>
    <t xml:space="preserve">So am verordentem Danckfest den 7. Monats Tag Septembris in der DomKirchen zu Merseburg erkläret und erwiesen worden: I. Daß man im gantzen Churfürstenthumb Sachsen ... wichtige Ursachen gehabt solches ... Denck- und DanckFest mit sonderlicher Andacht zu begehen. II. Wie es also anzustellen daß Gott im Himmel dadurch gepreiset und Er ferner zur Hülffe veranlasset werde</t>
  </si>
  <si>
    <t xml:space="preserve">http://friedensbilder.gnm.de/sites/default/files/15ea9893898-3.jpg</t>
  </si>
  <si>
    <t xml:space="preserve">Eine Christliche DancksagungsPredigt Uber den LXXVI. Psalm des Königlichen Propheten Davids</t>
  </si>
  <si>
    <t xml:space="preserve">Gm 3039</t>
  </si>
  <si>
    <t xml:space="preserve">Hesse, Friedrich</t>
  </si>
  <si>
    <t xml:space="preserve">Hallervordt
Reußner</t>
  </si>
  <si>
    <t xml:space="preserve">125:044556T</t>
  </si>
  <si>
    <t xml:space="preserve">http://gso.gbv.de/DB=1.28/CMD?ACT=SRCHA&amp;IKT=8002&amp;TRM=%27125:044556T%27</t>
  </si>
  <si>
    <t xml:space="preserve">Auff gnädige Fürstliche Anordnung in dem allgemeinen Danckfest Welches ... Herr Hans Albrecht Hertzog zu Meckelnburg Coadiutor des Stiffts Ratzeburg ... Vor die gnädige Erlösung von ihren Feinden auch wiederstattung dero abgenommenen Lande und Leute In Ihr Fürstl. Gn. Landen den 13. Ianuarii Jährlich ... (Jetzo aber ... auff den 16 Tag Martii des itzo lauffenden 1632. Jahrs auß- und zurück gesetzet) Hochfeyerlich Zubegehen ... angeordenet</t>
  </si>
  <si>
    <t xml:space="preserve">2.1 Siegesfeier
2.6 Entsetzung - keine Niederlage</t>
  </si>
  <si>
    <t xml:space="preserve">Christliche Dancksagungs Predigt/ Genommen aus dem 2. Sam: 22.</t>
  </si>
  <si>
    <t xml:space="preserve">317.15 Theol. (16)</t>
  </si>
  <si>
    <t xml:space="preserve">Rubach, Nicolaus</t>
  </si>
  <si>
    <t xml:space="preserve">125:010706U</t>
  </si>
  <si>
    <t xml:space="preserve">Auff das allgemeine Danck-Fest/ Welches Der Durchleuchtiger / Hochwürdiger / Hochgeborner Fürst und Herr Hans Albrecht / Hertzog zu Mecklenburg / Coadjutor des Stiffts Ratzeburg / Fürst zu Wenden / Graff zu Schwerin / der Lande Rostock und Stargard Herr Vor die gnädige Erlösung von Ihren Feinden/ auch Wiedererstattung Dero abgenommenen Land und Leute in Ihr. F. Gn. Landen den 13. Januarij Jährlich zu allen und ewigen Zeiten hochfeyerlich zu begehen/ gnädig angeordnet.</t>
  </si>
  <si>
    <t xml:space="preserve">Gehalten zu Rostock in S. Peters Kirche den 7. Maij Anno 1632. des Morgens früh</t>
  </si>
  <si>
    <t xml:space="preserve">http://friedensbilder.gnm.de/sites/default/files/titelblatt_1.tif</t>
  </si>
  <si>
    <t xml:space="preserve">2.6 Entsetzung - keine Niederlage</t>
  </si>
  <si>
    <t xml:space="preserve">Christliche DancksagungsPredigt, 317.15 Theol. (16)</t>
  </si>
  <si>
    <t xml:space="preserve">Christliche DancksagungsPredigt</t>
  </si>
  <si>
    <t xml:space="preserve">http://friedensbilder.gnm.de/content/frieden_foto_order1c3ac6</t>
  </si>
  <si>
    <t xml:space="preserve">ChurSächsische Friedensstimme. </t>
  </si>
  <si>
    <t xml:space="preserve">Hist 8° 01398-1401 (13)</t>
  </si>
  <si>
    <t xml:space="preserve">nach 24.6.1635</t>
  </si>
  <si>
    <t xml:space="preserve">Ortel, Andreas</t>
  </si>
  <si>
    <t xml:space="preserve">14:005431C</t>
  </si>
  <si>
    <t xml:space="preserve">http://nbn-resolving.de/urn/resolver.pl?urn=urn:nbn:de:urmel-50b63db1-46f0-44b6-ab18-59aa81021c233</t>
  </si>
  <si>
    <t xml:space="preserve">1 Bl. 50 S.</t>
  </si>
  <si>
    <t xml:space="preserve">Meißnische Danck- und FriedensPredigt/ Als von Römis. Kays. auch zu Hungarn und Böhem Königliche May. und Churf. Durchl. zu Sachsen / den 20. May altes CAl. dieses instehenden 1635. Jahres in der Stadt Prage/ der auffgerichtete und geschlossene Friede durch die Prediger in dem gantzen hochlöblichen Churfürstenthumb Sachs. auff allen Canzeln am Tage Johannis des Teuffers ist verkündiget/ ein allgemeines Danckfest Gott allein zu Ehren zugleich gehalten / und das Te Deum laudamus gesungen worden.</t>
  </si>
  <si>
    <t xml:space="preserve">Über die am Tage Johannis des Teuffers gewöhnliche Lection/ Esai 40.v.1.2.3.4.5. ...Nach Mittage zur Mitweide gethan/ und darauff in Druck verfertiget</t>
  </si>
  <si>
    <t xml:space="preserve">Leipzig/ In verlegung Johann Großen/ Buchhändl. 
Gedruckt durch Justum Jansonium Danum.</t>
  </si>
  <si>
    <t xml:space="preserve">http://friedensbilder.gnm.de/sites/default/files/Hist 8° 01398-1401 (13).pdf</t>
  </si>
  <si>
    <t xml:space="preserve">GND-Verknüpfung Grosse einfügen&amp;nbsp;&amp;nbsp;http://d-nb.info/gnd/1037501993Anm. Redaktion: Schein nicht im Dump zu sein. Unter der Nummer tauchte keine Auswahlmöglichkeit auf.</t>
  </si>
  <si>
    <t xml:space="preserve">ChurSächsische Friedensstimme., Hist 8° 01398-1401 (13)</t>
  </si>
  <si>
    <t xml:space="preserve">ChurSächsische Friedensstimme.</t>
  </si>
  <si>
    <t xml:space="preserve">http://friedensbilder.gnm.de/content/frieden_foto_order1a6695</t>
  </si>
  <si>
    <t xml:space="preserve">Lamentationum Clausula</t>
  </si>
  <si>
    <t xml:space="preserve">Stockmann, Paul</t>
  </si>
  <si>
    <t xml:space="preserve">Francke</t>
  </si>
  <si>
    <t xml:space="preserve">3:626622P</t>
  </si>
  <si>
    <t xml:space="preserve">http://archive.thulb.uni-jena.de/ufb/receive/ufb_cbu_00000121</t>
  </si>
  <si>
    <t xml:space="preserve">Pon Vc 4317, QK</t>
  </si>
  <si>
    <t xml:space="preserve">urn:nbn:de:gbv:3:1-28757</t>
  </si>
  <si>
    <t xml:space="preserve">[22] Bl.</t>
  </si>
  <si>
    <t xml:space="preserve">Das ist Danck- und Frewden-Sermon Uber den Friede Welchen die Römische Keyserl. Maj. und Churförstl. Durchl. zu Sachsen ... den vergangenen 20. Maii St. Vet. ... geschlossen bekräfftiget und vollnzogen haben</t>
  </si>
  <si>
    <t xml:space="preserve">Auff gnädigste Anordnung gehalten am Tage S. Johannis des Täuffers</t>
  </si>
  <si>
    <t xml:space="preserve">http://friedensbilder.gnm.de/sites/default/files/401419.jpg</t>
  </si>
  <si>
    <t xml:space="preserve">Prager Frieden</t>
  </si>
  <si>
    <t xml:space="preserve">Gaudium Elbingense Irenico- Eucharisticum</t>
  </si>
  <si>
    <t xml:space="preserve">AB 153562 (15)</t>
  </si>
  <si>
    <t xml:space="preserve">Voigt, Balthasar</t>
  </si>
  <si>
    <t xml:space="preserve">Bodenhausen</t>
  </si>
  <si>
    <t xml:space="preserve">Elbing</t>
  </si>
  <si>
    <t xml:space="preserve">3:303609C</t>
  </si>
  <si>
    <t xml:space="preserve">Eine Christliche Danck- und- Frewden-Predigt/ Uber dem Wiederbrachten Edlen Frieden in Preussen/ zwischen denen Hochlöblichen Cronen und Königreichen Pohlen und Schweden/ etc. </t>
  </si>
  <si>
    <t xml:space="preserve">Durch ... Hocherfrewlichen Einzug ... Deß ... Herrn Vladislai IV. Königs in Pohlen ... völliglich bestetiget: Zur Geistlichen Ehrenpfort in der Stadt Elbing/ Sontags Reminiscere. also abgefasset und verfertiget</t>
  </si>
  <si>
    <t xml:space="preserve">http://friedensbilder.gnm.de/sites/default/files/3_303609C_001,800,600.png</t>
  </si>
  <si>
    <t xml:space="preserve">Strena Josaphatica</t>
  </si>
  <si>
    <t xml:space="preserve">Theol 8° 00772/12</t>
  </si>
  <si>
    <t xml:space="preserve">Saubert, Johannes</t>
  </si>
  <si>
    <t xml:space="preserve">Endter</t>
  </si>
  <si>
    <t xml:space="preserve">23:645121F</t>
  </si>
  <si>
    <t xml:space="preserve">919.48 Theol. (2)</t>
  </si>
  <si>
    <t xml:space="preserve">[76] Bl.</t>
  </si>
  <si>
    <t xml:space="preserve">Josaphats NewJahr-Geschenck Oder Prognosticon, Vom künfftigen Frieden und Unfrieden vom Glück und Unglück </t>
  </si>
  <si>
    <t xml:space="preserve">Auß dem andern Buch der Chronicken Cap. 20. Auff heutige Zeit und Läufften gerichtet</t>
  </si>
  <si>
    <t xml:space="preserve">http://friedensbilder.gnm.de/sites/default/files/9de97337-6632-42fc-a378-adf4b662df47.gif</t>
  </si>
  <si>
    <t xml:space="preserve">Friedensappelle</t>
  </si>
  <si>
    <t xml:space="preserve">A plea for peace</t>
  </si>
  <si>
    <t xml:space="preserve">Cambridge University Library</t>
  </si>
  <si>
    <t xml:space="preserve">Cambridge</t>
  </si>
  <si>
    <t xml:space="preserve">Syn.7.62.290</t>
  </si>
  <si>
    <t xml:space="preserve">nach 09.10.1637</t>
  </si>
  <si>
    <t xml:space="preserve">Vertue, Henry</t>
  </si>
  <si>
    <t xml:space="preserve">Printed by M. F[lesher] for Iohn Clark neare S. Peters Church in Cornhill</t>
  </si>
  <si>
    <t xml:space="preserve">http://gateway.proquest.com/openurl?ctx_ver=Z39.88-2003&amp;res_id=xri:eebo&amp;rft_val_fmt=&amp;rft_id=xri:eebo:image:15290</t>
  </si>
  <si>
    <t xml:space="preserve">2 Bl., 62 S.</t>
  </si>
  <si>
    <t xml:space="preserve">or A sermon preached in St. Pauls Church in London. Iuly 9. 1637.</t>
  </si>
  <si>
    <t xml:space="preserve">http://friedensbilder.gnm.de/sites/default/files/Vertue_Henry-A_plea_for_peace_or_A_sermon_preached-STC-24691-1587_16-p1.tif</t>
  </si>
  <si>
    <t xml:space="preserve">A plea for peace, Syn.7.62.290</t>
  </si>
  <si>
    <t xml:space="preserve">Concionum Poenitentialium De Tempore Dodecas. </t>
  </si>
  <si>
    <t xml:space="preserve">Fl-1144.1</t>
  </si>
  <si>
    <t xml:space="preserve">Walther, Paul
Härtel, Zacharias, der Ältere
Schmalhertz, Valentin</t>
  </si>
  <si>
    <t xml:space="preserve">Lübeck
Hamburg</t>
  </si>
  <si>
    <t xml:space="preserve">23:628768Z</t>
  </si>
  <si>
    <t xml:space="preserve">http://purl.uni-rostock.de/rosdok/ppn756625254</t>
  </si>
  <si>
    <t xml:space="preserve">[64 Bl.] 4°</t>
  </si>
  <si>
    <t xml:space="preserve">Oder Zwölff Zeit BußPredigten: Von 1. Kriegen. 2. Pestilentz und Sterben. 3. Thewrung und HungersNoth. 4. Erdbeben. 5. Brand und Fewer. 6. Donner und Wetterleuchten. 7. Regen und nassen Wetteren. 8. Dürre und truckner Zeit. 9. Sturmwinden und damit entstehenden Wasserfluthen. 10. Blutzeichen. 11. Finsternüssen. 12. Lufft und Himmels Gesichten und Geschichten. Bey fürfallender gelegenheit verhandelt/ zu Ends mit Bußgebeten geschlossen ... Zusampt Einem Appendice dreyer sonderbaren Predigten/ von (1.) Fastnachtischer Mummerey und Verlarven/  (2.) A la mode Tracht und Pracht/ wie auch (3.) vermeinten Englischen zur Buß vermahnenden Gesichten und Erscheinungen...</t>
  </si>
  <si>
    <t xml:space="preserve">Zur Lehr / Trost / Warnung / und Vermaßung / in Druck gegeben</t>
  </si>
  <si>
    <t xml:space="preserve">Gedruckt zu Hamburg...In Verlegung Zachariae Hertels/ Buchhändler.</t>
  </si>
  <si>
    <t xml:space="preserve">Handschriftlicher Text:Erste Seite:&amp;nbsp;Wunderzeichen A° 1652...Zweite Seite: A° 1660. 7 Jan. vormittags...&amp;nbsp;(auf dem gleichen Blatt): A° 1672. 29 Jan; in der nacht...&amp;nbsp;</t>
  </si>
  <si>
    <t xml:space="preserve">http://friedensbilder.gnm.de/sites/default/files/Waltherus.png</t>
  </si>
  <si>
    <t xml:space="preserve">GND-Verknüpfung von Härtel einfügen&amp;nbsp;http://d-nb.info/gnd/1037500474Anm. Redaktion: Datensatz nicht im eingespielten Dump.</t>
  </si>
  <si>
    <t xml:space="preserve">Concionum Poenitentialium De Tempore Dodecas., Fl-1144.1</t>
  </si>
  <si>
    <t xml:space="preserve">Concionum Poenitentialium De Tempore Dodecas.</t>
  </si>
  <si>
    <t xml:space="preserve">http://friedensbilder.gnm.de/content/frieden_foto_order1c1f0f</t>
  </si>
  <si>
    <t xml:space="preserve">Tripudium Gera Svedicum, Das ist Christliches Frewden- und DanckFest</t>
  </si>
  <si>
    <t xml:space="preserve">Hist.Sax.B.180,24</t>
  </si>
  <si>
    <t xml:space="preserve">Piscator, Jacobus</t>
  </si>
  <si>
    <t xml:space="preserve">Dedekind</t>
  </si>
  <si>
    <t xml:space="preserve">14:011624R</t>
  </si>
  <si>
    <t xml:space="preserve">http://digital.slub-dresden.de/id333814231</t>
  </si>
  <si>
    <t xml:space="preserve">[32] Bl.</t>
  </si>
  <si>
    <t xml:space="preserve">Der Schwedischen und aller rechtgläubigen Christen. Für die unterschiedenen herrlichen Victorien die im abgewichenen 1638. Jahr der allmächtige Gott ... Herrn Bernharden Hertzogen zu Sachsen ... bey umb und in Brysach wieder seine Feinde verliehen hat</t>
  </si>
  <si>
    <t xml:space="preserve">In Erffurt Den 27. Decembris auff Anordnung Deß Herrn Obristen von der Goltz der Cron Schweden Commandanten daselbst gehalten. Dabey der 71. alß Ihrer Fürstl. Durchl. liebster Beth- und schönster TrostPsalm in sehr Volckreicher und vornehmer Versamlung betrachtet und erkläret worden</t>
  </si>
  <si>
    <t xml:space="preserve">http://friedensbilder.gnm.de/sites/default/files/00000001.tif(3).jpg</t>
  </si>
  <si>
    <t xml:space="preserve">Venatio Pacis</t>
  </si>
  <si>
    <t xml:space="preserve">1 an Theol. 4. 1200</t>
  </si>
  <si>
    <t xml:space="preserve">Marci, Cornelius</t>
  </si>
  <si>
    <t xml:space="preserve">75:646789T</t>
  </si>
  <si>
    <t xml:space="preserve">Universitätsbibliothek Erlangen-Nürnberg</t>
  </si>
  <si>
    <t xml:space="preserve">H00/4 THL-XVIIII 34</t>
  </si>
  <si>
    <t xml:space="preserve">http://nbn-resolving.de/urn:nbn:de:bvb:29-bv012705054-9</t>
  </si>
  <si>
    <t xml:space="preserve">[4] Bl., 30 S.</t>
  </si>
  <si>
    <t xml:space="preserve">Friedens-Jagt angestellt Nach Offmahnung deß Königlichen Propheten Davids Psalm XXXIV. vers 15,</t>
  </si>
  <si>
    <t xml:space="preserve">An dem Aschermitwochs den 19. Februarij Anno 1640 zu Nürnberg offentlich celebrirten Buß-Fast und Bet-Tage ... Sampt sieben Hertzens-Schreien zu Gott/ auß dem Geistreichen Buß-Gebet Danielis, &amp;c.</t>
  </si>
  <si>
    <t xml:space="preserve">http://friedensbilder.gnm.de/sites/default/files/Marci.jpg</t>
  </si>
  <si>
    <t xml:space="preserve">Media Pacis Inter Deum Et Homines</t>
  </si>
  <si>
    <t xml:space="preserve">1 an Theol. 4. 1228</t>
  </si>
  <si>
    <t xml:space="preserve">75:647367X</t>
  </si>
  <si>
    <t xml:space="preserve">4 Hom. 330b</t>
  </si>
  <si>
    <t xml:space="preserve">http://www.mdz-nbn-resolving.de/urn/resolver.pl?urn=urn:nbn:de:bvb:12-bsb11066202-4</t>
  </si>
  <si>
    <t xml:space="preserve">Friedens-Mittel Zwischen Gott und den Menschen Nach dem geistreichen Raht deß H. Propheten Michae, Cap. 6. v. 6. seqq. </t>
  </si>
  <si>
    <t xml:space="preserve">An dem öffentlichen Buß- Fast- und Gebet-Tage; (so da war Aschermittwoch der 19 Febr. dieses lauffenden 1640 Jahrs) Erkläret und uff unser Vatterland Teutscher Nation und heutige Läufften gerichtet</t>
  </si>
  <si>
    <t xml:space="preserve">http://friedensbilder.gnm.de/sites/default/files/c2db125b-de82-4d01-866f-8b32efeb7fc5.gif</t>
  </si>
  <si>
    <t xml:space="preserve">Desiderium Pacis Nov-Antiquum = Alt und New Friedens-Begierd </t>
  </si>
  <si>
    <t xml:space="preserve">68.5 Theol.</t>
  </si>
  <si>
    <t xml:space="preserve">23:322667D</t>
  </si>
  <si>
    <t xml:space="preserve">http://gso.gbv.de/DB=1.28/PPNSET?PPN=000657204</t>
  </si>
  <si>
    <t xml:space="preserve">Staats- und Stadtbibliothek Augsburg</t>
  </si>
  <si>
    <t xml:space="preserve">4 Th Pr 830</t>
  </si>
  <si>
    <t xml:space="preserve">http://www.mdz-nbn-resolving.de/urn/resolver.pl?urn=urn:nbn:de:bvb:12-bsb11229787-3</t>
  </si>
  <si>
    <t xml:space="preserve">43 S. </t>
  </si>
  <si>
    <t xml:space="preserve">Das ist: Eine New-Jahrspredigt</t>
  </si>
  <si>
    <t xml:space="preserve">Darinn körtzlich und klar erwiesen wird daß eben jetzo Anno 1640 nicht anders als wie vor 100. Jahren Anno 1540. beschehen der allgemeine beständige Friede deß Teutschlandes von männiglich gewönscht werde und was hierbey laut deß Göttlichen Worts in acht zu nemen</t>
  </si>
  <si>
    <t xml:space="preserve">http://friedensbilder.gnm.de/sites/default/files/1504535354bsb11229787.jpg</t>
  </si>
  <si>
    <t xml:space="preserve">Hellklingende und durchringende Friedens Posaun</t>
  </si>
  <si>
    <t xml:space="preserve">67.4 Pol.</t>
  </si>
  <si>
    <t xml:space="preserve">Schröder, Joachim</t>
  </si>
  <si>
    <t xml:space="preserve">Hallervord</t>
  </si>
  <si>
    <t xml:space="preserve">23:295537N</t>
  </si>
  <si>
    <t xml:space="preserve">LB T 582.b</t>
  </si>
  <si>
    <t xml:space="preserve">http://purl.uni-rostock.de/rosdok/ppn742475077</t>
  </si>
  <si>
    <t xml:space="preserve">[22] Bl., 105 S., [3] Bl.</t>
  </si>
  <si>
    <t xml:space="preserve">Das ist Eine ChristEifferige Vermahnung an alle und jede Christen ... In Deutschland Daß sie hertzlich und ernstlich sich bekehren und ... die Thüre der ... Hohen Schulen eröffnen und ... Daß sie ... Die Sophisterey und Socristerey ... dempffen ... Damit Der .... Frieden zu uns einkehren ... könne ..</t>
  </si>
  <si>
    <t xml:space="preserve">http://friedensbilder.gnm.de/sites/default/files/Schröder.png</t>
  </si>
  <si>
    <t xml:space="preserve">Hellklingende und durchringende FriedensPosaune</t>
  </si>
  <si>
    <t xml:space="preserve">H 312.4° Helmst. (17)</t>
  </si>
  <si>
    <t xml:space="preserve">23:258835P</t>
  </si>
  <si>
    <t xml:space="preserve">[31] Bl., 105 S., [3], [4] Bl : Ill. (Holzschn.)</t>
  </si>
  <si>
    <t xml:space="preserve">Das ist Eine Christeyffrige Vermahnung zum Friede ... ... Herrn Ferdinando dem Dritten Erwehlten Römischen Käyser .... Zur Ermunterung Daß er dem Könige der Ehre die Thöre und Thore in in seinen Reichen und Academien, sonderlich in Deutschland daß der Ehrenkönig Christus zu uns könne einziehen wolle hoch und weit machen</t>
  </si>
  <si>
    <t xml:space="preserve">Gehalten in Rostock/ ... zu S. Georg daselbst</t>
  </si>
  <si>
    <t xml:space="preserve">00003133X</t>
  </si>
  <si>
    <t xml:space="preserve">http://friedensbilder.gnm.de/sites/default/files/251d7d33-b7a1-43dc-ba95-1cf156e743a2.gif</t>
  </si>
  <si>
    <t xml:space="preserve">Osculum pacis</t>
  </si>
  <si>
    <t xml:space="preserve">Dr. Williams' Library</t>
  </si>
  <si>
    <t xml:space="preserve">Hall, Joseph</t>
  </si>
  <si>
    <t xml:space="preserve">Raworth 
Butter</t>
  </si>
  <si>
    <t xml:space="preserve">http://eebo.chadwyck.com/search/full_rec?SOURCE=pgimages.cfg&amp;ACTION=ByID&amp;ID=V30017</t>
  </si>
  <si>
    <t xml:space="preserve">[3] Bl., 46 S. </t>
  </si>
  <si>
    <t xml:space="preserve">Concio ad clerum habita Exoniae, in trien. visit. R. P. ac D.D. Jos. Hall episcopi Exon. Ab H. B.</t>
  </si>
  <si>
    <t xml:space="preserve">http://friedensbilder.gnm.de/sites/default/files/Hall_Joseph-Osculum_pacis-Wing-H398-2146_16-p1.tif</t>
  </si>
  <si>
    <t xml:space="preserve">Online Ausgabe nur über Nationallizenz</t>
  </si>
  <si>
    <t xml:space="preserve">Spes Pacis Iterata</t>
  </si>
  <si>
    <t xml:space="preserve">Xb 7295</t>
  </si>
  <si>
    <t xml:space="preserve">23:625065A</t>
  </si>
  <si>
    <t xml:space="preserve">http://diglib.hab.de/drucke/xb-7295/start.htm</t>
  </si>
  <si>
    <t xml:space="preserve">42 S., [1] Bl.</t>
  </si>
  <si>
    <t xml:space="preserve">Das ist, Friedens-Hoffnung auffs new geschöpfft Auß dem Heil-Bronnen Israelis </t>
  </si>
  <si>
    <t xml:space="preserve">Und In der Newen Jahres-Predigt Anno 1641. der Christl. Gemein zu S. Sebald kürtzlich  und einfältig vorgetragen</t>
  </si>
  <si>
    <t xml:space="preserve">http://friedensbilder.gnm.de/sites/default/files/Saubert.jpg</t>
  </si>
  <si>
    <t xml:space="preserve">Göttliche Friedens-condition</t>
  </si>
  <si>
    <t xml:space="preserve">A: 183.25 Theol. (2)</t>
  </si>
  <si>
    <t xml:space="preserve">Schmidt, Johann</t>
  </si>
  <si>
    <t xml:space="preserve">Zetzner</t>
  </si>
  <si>
    <t xml:space="preserve">23:272252B</t>
  </si>
  <si>
    <t xml:space="preserve">http://www.gbv.de/vd/vd17/23:272252B</t>
  </si>
  <si>
    <t xml:space="preserve">Theol.ev.asc.438.s</t>
  </si>
  <si>
    <t xml:space="preserve">http://digital.slub-dresden.de/id391755986</t>
  </si>
  <si>
    <t xml:space="preserve">[43] Bl., 456 S., [7] Bl.</t>
  </si>
  <si>
    <t xml:space="preserve">Oder Christlich-trewer Unterricht; Welches der Einige richtige Weg sey den langgewünschten heilsamen Frieden in Teutschland wider zuerlangenNach anleitung der hertzbeweglichen Wort Jesaiae cap. 48. vers. 17. &amp;c. .</t>
  </si>
  <si>
    <t xml:space="preserve">In zwey und zwantzig unterschiedenen Predigten einfältig vorgetragen und auff Begehren in Truck gegeben</t>
  </si>
  <si>
    <t xml:space="preserve">http://friedensbilder.gnm.de/sites/default/files/0d8f5dae-cf89-42d0-bab9-96331b2a522b.gif</t>
  </si>
  <si>
    <t xml:space="preserve">Frieden-Bericht</t>
  </si>
  <si>
    <t xml:space="preserve">H 312.4° Helmst. (13)</t>
  </si>
  <si>
    <t xml:space="preserve">Richel</t>
  </si>
  <si>
    <t xml:space="preserve">23:258791S</t>
  </si>
  <si>
    <t xml:space="preserve">Fl-1243 </t>
  </si>
  <si>
    <t xml:space="preserve">http://purl.uni-rostock.de/rosdok/ppn730231003</t>
  </si>
  <si>
    <t xml:space="preserve">[27] Bl.</t>
  </si>
  <si>
    <t xml:space="preserve">Das ist: Eine in Gottes Wort gegründete Lehr- Buß- und Trost-Predigt vom Friede in Deutschland warumb derselbige und die deßfals Angestelleten Tractaten Auff dem hochansehnlichen Reichs-Tage zu Regenspurg sich so lange verzögern.</t>
  </si>
  <si>
    <t xml:space="preserve">Gott zu Ehren der Evangelischen Kirchen zum Unterricht und der auff dem höchstgedachtem ReichsTage Hoch-Ansehnlicher reichs-Versamblung zur Ermunterung in der wegen des Friedens gefasseten hoffnung (dafern wahre busse geschicht) zu verharren. Anno 1641. in der Wochenpredigt, war der 6. Sontag nach Trinitatis, nach Anlaß des 4.5.v. aus dem 6 Psalm zu Rostock in S. Johannis Kirchen gehalten und etwas vermehrt in Druck gegeben</t>
  </si>
  <si>
    <t xml:space="preserve">http://friedensbilder.gnm.de/sites/default/files/SChröder.png</t>
  </si>
  <si>
    <t xml:space="preserve">A patheticall perswasion to pray for publick peace</t>
  </si>
  <si>
    <t xml:space="preserve">E.122.(17.)</t>
  </si>
  <si>
    <t xml:space="preserve">Griffith, Matthew</t>
  </si>
  <si>
    <t xml:space="preserve">Printed for Richard Royston</t>
  </si>
  <si>
    <t xml:space="preserve">http://gateway.proquest.com/openurl?ctx_ver=Z39.88-2003&amp;res_id=xri:eebo&amp;rft_val_fmt=&amp;rft_id=xri:eebo:image:125127</t>
  </si>
  <si>
    <t xml:space="preserve">3 Bl., 48 S.</t>
  </si>
  <si>
    <t xml:space="preserve">Propounded in a sermon preached in the cathedrall church of Saint Paul, Octob. 2. 1642. </t>
  </si>
  <si>
    <t xml:space="preserve">http://friedensbilder.gnm.de/sites/default/files/Griffith_Matthew-A_patheticall_perswasion_to_pray-Wing-G2016-21_E_122_17_-p1.tif</t>
  </si>
  <si>
    <t xml:space="preserve">A patheticall perswasion, E.122.(17.)</t>
  </si>
  <si>
    <t xml:space="preserve">A patheticall perswasion</t>
  </si>
  <si>
    <t xml:space="preserve">Görlitzsches Danck-Altärlein Oder Christliche Dancksagungs-Predigt</t>
  </si>
  <si>
    <t xml:space="preserve">442.3 Theol. (7)</t>
  </si>
  <si>
    <t xml:space="preserve">Seyffert</t>
  </si>
  <si>
    <t xml:space="preserve">Hist.Germ.C.572,81</t>
  </si>
  <si>
    <t xml:space="preserve">http://digital.slub-dresden.de/id378768247</t>
  </si>
  <si>
    <t xml:space="preserve">[36] Bl.</t>
  </si>
  <si>
    <t xml:space="preserve">uff sonderbare gnädigste Anordnung Des Durchlauchtigsten ... Fürsten und Herrn Herrn Johann Georgens Hertzogens zu Sachsen Gülich Cleve und Berg ... Alß dero ... Stadt Görlitz ... von der ... Schwedischen Besatzung liberiret ..</t>
  </si>
  <si>
    <t xml:space="preserve">An dem angesteltem DanckFest den 26. Sept. ... 1641 in der ... Kirchen S. Petri und Pauli daselbst auffgerichtet ..</t>
  </si>
  <si>
    <t xml:space="preserve">http://friedensbilder.gnm.de/sites/default/files/00000003.tif(1)_page1_image1.jpg
http://friedensbilder.gnm.de/sites/default/files/00000002.tif_page1_image1.jpg</t>
  </si>
  <si>
    <t xml:space="preserve">The good of peace and ill of vvarre</t>
  </si>
  <si>
    <t xml:space="preserve">E.113.(16.)</t>
  </si>
  <si>
    <t xml:space="preserve">Udall, Ephraim</t>
  </si>
  <si>
    <t xml:space="preserve">Printed by T. Badger for Ph. Stephens and C. Meridith, and are to be sold at the gilded Lion and the Crane in Pauls Churchyard</t>
  </si>
  <si>
    <t xml:space="preserve">http://gateway.proquest.com/openurl?ctx_ver=Z39.88-2003&amp;res_id=xri:eebo&amp;rft_val_fmt=&amp;rft_id=xri:eebo:image:124329</t>
  </si>
  <si>
    <t xml:space="preserve">[8] Bl., 40 S.</t>
  </si>
  <si>
    <t xml:space="preserve">Set forth in a sermon preached in the cathedrall church of S. Paul, the last day of July, 1642</t>
  </si>
  <si>
    <t xml:space="preserve">http://friedensbilder.gnm.de/sites/default/files/Udall_Ephraim-The_good_of_peace_and_ill_of_vvarre-Wing-U9-20_E_113_16_-p1.tif</t>
  </si>
  <si>
    <t xml:space="preserve">Gott mit uns! Schwedischer Abzugk von Freybergk</t>
  </si>
  <si>
    <t xml:space="preserve">Hist.Sax.H.250,9.a</t>
  </si>
  <si>
    <t xml:space="preserve">vermutlich Pseudonym</t>
  </si>
  <si>
    <t xml:space="preserve">Apianus, Apiano</t>
  </si>
  <si>
    <t xml:space="preserve">14:016028L</t>
  </si>
  <si>
    <t xml:space="preserve">Pon Yb 211, QK</t>
  </si>
  <si>
    <t xml:space="preserve">http://nbn-resolving.de/urn:nbn:de:gbv:3:1-50603</t>
  </si>
  <si>
    <t xml:space="preserve">[8] Bl.</t>
  </si>
  <si>
    <t xml:space="preserve">Welcher nach verübter zwey Monatlicher ... Belägerung bey ... Ankunfft des Göttlichen und Keyserlichen Entsatzes den 17. Febr. dieses 1643. Jahres geschehen. Göttlicher Majestät ... Zu immerwärenden Ehren beschrieben Und den 26. dito bemeldtes Jahres als ein offentliches und frewdenvolles DanckFest deßwegen zu Freybergk gehalten worden in Druck gegeben</t>
  </si>
  <si>
    <t xml:space="preserve">http://friedensbilder.gnm.de/sites/default/files/593258.jpg</t>
  </si>
  <si>
    <t xml:space="preserve">Irenicum</t>
  </si>
  <si>
    <t xml:space="preserve">895.9 Theol. (3)</t>
  </si>
  <si>
    <t xml:space="preserve">ermittelt</t>
  </si>
  <si>
    <t xml:space="preserve">Betke, Joachim</t>
  </si>
  <si>
    <t xml:space="preserve">23:638688L</t>
  </si>
  <si>
    <t xml:space="preserve">[4] Bl., 335 S.</t>
  </si>
  <si>
    <t xml:space="preserve">Das ist Trewhertzige Vermahnunge an das gantze Christen-Volck von dem gegenwärtigen Türckischen Kriegen Würgen Morden Totschlagen Rauben Verheeren Placken Schänden Armen fressen etc. so sie unter und wider einander treiben abzustehen: Dargegen aber in Liebe und Friede nach des friedfertigen Jesu Reichs-Art unter sich zuleben.</t>
  </si>
  <si>
    <t xml:space="preserve">Damit sie mit solchem Barbarischen Blutvergiessen nicht mögen Gott endlich reitzen den Türcken uber sie loß zulassen sie mit seinem Rachschwerd voneinander zuschneiden und also zwischen ihnen Frieden zu machen. Durch einen friedwünschenden Evangelischen Predigern verfasset. </t>
  </si>
  <si>
    <t xml:space="preserve">http://friedensbilder.gnm.de/sites/default/files/94d63588-251b-4284-a65f-950436985dc0.gif</t>
  </si>
  <si>
    <t xml:space="preserve">Friedens-Predigt. Wie derselbe zuerlangen </t>
  </si>
  <si>
    <t xml:space="preserve">1286.5 Theol. (1)</t>
  </si>
  <si>
    <t xml:space="preserve">Rotlöben, Johannes</t>
  </si>
  <si>
    <t xml:space="preserve">Koch
Heber</t>
  </si>
  <si>
    <t xml:space="preserve">Glückstadt</t>
  </si>
  <si>
    <t xml:space="preserve">23:651166F</t>
  </si>
  <si>
    <t xml:space="preserve">[30] Bl.</t>
  </si>
  <si>
    <t xml:space="preserve">Uber den Spruch Esa 48. vs. 17. 18</t>
  </si>
  <si>
    <t xml:space="preserve">Bey angehenden Friedens-Tractaten zwischen den beyden Cronen Dennemarck un[d] Schweden [et]c. gehalten Am 12. Februarii 1645 . Auff dem Königl. Hauß in Glückstadt</t>
  </si>
  <si>
    <t xml:space="preserve">http://friedensbilder.gnm.de/sites/default/files/23_651166F_001,800,600.gif</t>
  </si>
  <si>
    <t xml:space="preserve">Spes Nova Pacis, Das ist Widerholte nützliche Gedancken vom Frieden deß Teutschlandes</t>
  </si>
  <si>
    <t xml:space="preserve">1286.6 Theol.</t>
  </si>
  <si>
    <t xml:space="preserve">23:651170S</t>
  </si>
  <si>
    <t xml:space="preserve">http://diglib.hab.de/drucke/1286-6-theol/start.htm</t>
  </si>
  <si>
    <t xml:space="preserve">Durch etliche geistliche Sinn- und Spruch-Bilder In einer Newen Jahrspredigt Anno 1646. der Christlichen Gemein kürtzlich entdeckt und mitgetheilt</t>
  </si>
  <si>
    <t xml:space="preserve">http://friedensbilder.gnm.de/sites/default/files/SAubert02.jpg
http://friedensbilder.gnm.de/sites/default/files/00005.jpg</t>
  </si>
  <si>
    <t xml:space="preserve">Friedensappelle
Friedensbilder</t>
  </si>
  <si>
    <t xml:space="preserve">Consultatio Pacis Germaniae,</t>
  </si>
  <si>
    <t xml:space="preserve">Hist.Germ.C.579,30</t>
  </si>
  <si>
    <t xml:space="preserve">Wagner, Tobias
Kühn, Balthasar</t>
  </si>
  <si>
    <t xml:space="preserve">14:005956F</t>
  </si>
  <si>
    <t xml:space="preserve">http://digital.slub-dresden.de/id332612732</t>
  </si>
  <si>
    <t xml:space="preserve">71 S. 1 Bl.</t>
  </si>
  <si>
    <t xml:space="preserve">Das ist/ Newe Jahrs-Predigt/ vom deliberirten Frieden im Teutschlande/ Inhalts/ Was es nach Gottes Wort für Stimmen müssen seyn/ wann der verhoffte Friede solle geschlossen werden: </t>
  </si>
  <si>
    <t xml:space="preserve">Aus dem 85. Psalm Davids/ v. 9.10.11. ... Auff den Newen Jahrs-Tag/ dieses lauffenden 1646. Jahrs/ in ... Eßlingen geprediget/ und menniglich zur Lehr/ Erinnerung/ Warnung/ Vermahnung und Trost zu diesen höchstgefährlichen Zeiten in Druck gegeben</t>
  </si>
  <si>
    <t xml:space="preserve">Gedruckt zu Ulm/ Durch Balthasar Kühnen/ bestellten Buchdruckern daselbsten/ 1646.</t>
  </si>
  <si>
    <t xml:space="preserve">http://friedensbilder.gnm.de/sites/default/files/Hist.Germ_.C.579,30.pdf
http://friedensbilder.gnm.de/sites/default/files/Hist.Germ_.C.579,30_0.jpg</t>
  </si>
  <si>
    <t xml:space="preserve">In seiner Neujahrspredigt auf das Jahr 1646 richtet der promovierte Theologe und Esslinger Pfarrer Tobias Wagner (1598–1680) den Blick auf die beginnenden Friedensverhandlungen in Münster und Osnabrück. Er beklagt die Lasten des Krieges, die auch Städte wie Esslingen bedrückt hätten, das vom Krieg weniger betroffen war. Und er gibt den Verhandlungsführern an, mit welchen „Friedens-Stimmen“ sie reden müssen, um den wahren, von Gott kommenden Frieden zu erreichen. In Auslegung der klassischen Verse aus Psalm 85 fordert er, man müsse mit klagenden Stimmen, Anrufungsstimmen und Wohlfahrtsstimmen reden und das Wohl des Volkes Gottes im Blick haben. Entscheidend sei die Furcht Gottes, auch bei den Unterhändlern, und die Besserung des Lebens. Unter Heranziehung zahlreicher Belege aus der antiken Literatur, aber auch von Luther und Erasmus von Rotterdam malt er die Torheit des Krieges aus. Als&amp;nbsp; „vota media pacis admittentia, Stimmen, durch welche die annehmlichen FriedensMittel werden gut geheissen und admittirt“ bezeichnet er Güte, Treue und Gerechtigkeit. Mit diesen Mitteln gibt Wagner den Unterhändlern zugleich ein Ziel der Verhandlungen vor:&amp;nbsp;Die Güte „ists [...] welche viel Unbilligkeit vergisset und manche Berg der Beleidigung in das Thal der Verstörung last fallen. [...] Daher das Wort Amnistia nicht allein von Cicreone in gestifften Frieden ist reassumirt, sondern noch auf den heutigen Tag im Römischen Reich so bekannt und gemein worden, dass jedermann von der Amnistia redet, der Amnistia in allen Discursen gedenckt und mit grossem Verlangen auff dieselbe, als eine zierliche liebliche Frucht der Güte wartet, zum Zeugnuss, dass ohne sie als eine vortreffliche Interponentin kein Fried mehr in Teutschland zu hoffen noch zu gewarten sei.“ Zweieinhalb Jahre vor Abschluss der Verhandlungen wird hier die Diskussion über die Wege zur Einigung wiedergegeben und der Artikel 1 des Westfälischen Friedens&amp;nbsp;mit der allgemeinen Amnestieformel&amp;nbsp;vorweggenommen.
HPJ
</t>
  </si>
  <si>
    <t xml:space="preserve">Consultatio Pacis Germaniae,, Hist.Germ.C.579,30</t>
  </si>
  <si>
    <t xml:space="preserve">https://friedensbilder-neu.gnm.de/sites/default/files/2019-06/BEISPIEL_Hist_Germ_C_579_30_0.png</t>
  </si>
  <si>
    <t xml:space="preserve">http://friedensbilder.gnm.de/content/frieden_foto_order1c3be1</t>
  </si>
  <si>
    <t xml:space="preserve">Irenicum Das ist Friedens-Predigt</t>
  </si>
  <si>
    <t xml:space="preserve">LP P 8° III, 00023 (28)</t>
  </si>
  <si>
    <t xml:space="preserve">Wilhelmi, Samuel</t>
  </si>
  <si>
    <t xml:space="preserve">Seelfisch</t>
  </si>
  <si>
    <t xml:space="preserve">39:111462T</t>
  </si>
  <si>
    <t xml:space="preserve">[4] Bl., 54 S., [1] Bl</t>
  </si>
  <si>
    <t xml:space="preserve">Darin[n] gewiesen wird wie die zu Münster und Osnabrüg vorgenommene Hochwichtige Friedens Tractaten oder Handelungen heilsam und nützlich von uns allen können befördert werden</t>
  </si>
  <si>
    <t xml:space="preserve">http://friedensbilder.gnm.de/sites/default/files/e63aebd9-c522-4007-9b17-69955a5d92f7.gif</t>
  </si>
  <si>
    <t xml:space="preserve">Fabrica Templi Promota Verae Pietatis Nota, &amp; Pacis Recuperandae Syngrapha: Das ist: Der Geistreiche Prophet Haggai</t>
  </si>
  <si>
    <t xml:space="preserve">Exeg.B.784</t>
  </si>
  <si>
    <t xml:space="preserve">Cundisius, Gottfried</t>
  </si>
  <si>
    <t xml:space="preserve">Grosse
Köler</t>
  </si>
  <si>
    <t xml:space="preserve">14:648590D</t>
  </si>
  <si>
    <t xml:space="preserve">http://digital.slub-dresden.de/ppn314655395</t>
  </si>
  <si>
    <t xml:space="preserve">In Sechzehn Schrifftmessigen Predigten dermassen erkläret/ daß daraus augenscheinlich zuersehen ist/ wie hoch von nöthen sey/ wahre Gottseligkeit zuerweisen/ dem Herrn seinen Tempel zu bawen/ Kirchen und Schulen beförderlich zu seyn/ die zurück gebliebene Besoldungen auszuzahlen/ und denen Armen zuhelffen/ darbey uns Gott (so es in acht genommen wird) versichert/ wie er hingegen sein Volck segnen wolle mit Frieden:</t>
  </si>
  <si>
    <t xml:space="preserve">1.1 Quellen
1.1.2 Friedensappelle</t>
  </si>
  <si>
    <t xml:space="preserve">E.1111.(1.)</t>
  </si>
  <si>
    <t xml:space="preserve">(Thomason / 163:E.1111[1])</t>
  </si>
  <si>
    <t xml:space="preserve">http://gateway.proquest.com/openurl?ctx_ver=Z39.88-2003&amp;res_id=xri:   eebo&amp;rft_val_fmt=&amp;rft_id=xri:eebo:image:114839</t>
  </si>
  <si>
    <t xml:space="preserve">Predicatie over den CXXII psalm. Tot opweckinghe van dancksegginghe tot Godt wegen de gepubliceerde eeuwige vrede</t>
  </si>
  <si>
    <t xml:space="preserve">Koninklijke Bibliotheek, Nationale Bibliotheek van Nederland</t>
  </si>
  <si>
    <t xml:space="preserve">KW Pflt 5755</t>
  </si>
  <si>
    <t xml:space="preserve">Praevostius, Bartholomaeus</t>
  </si>
  <si>
    <t xml:space="preserve">voor Pieter Walschaert</t>
  </si>
  <si>
    <t xml:space="preserve">http://tempo.idcpublishers.info/protected/adobepdf/H-2500-05755/05755.pdf</t>
  </si>
  <si>
    <t xml:space="preserve">Kriegs- und Friedens-Spiegel/ Von Josua dem Fürsten in Israel/ In seiner Regierung und Einführung der Kinder Israel ins gelobte Land</t>
  </si>
  <si>
    <t xml:space="preserve">Xb 7626</t>
  </si>
  <si>
    <t xml:space="preserve">Stöckenius, Johannes Henricus</t>
  </si>
  <si>
    <t xml:space="preserve">Köhler
Gentsch</t>
  </si>
  <si>
    <t xml:space="preserve">75:672183G</t>
  </si>
  <si>
    <t xml:space="preserve">Solg. 4. 363</t>
  </si>
  <si>
    <t xml:space="preserve">[10] Bl., 1105 S., [7] Bl.</t>
  </si>
  <si>
    <t xml:space="preserve">Auffgehengt/ Und nunmehr allen Regenten/ sambt ihren Unterthanen/ darin zu ersehen/ wie sie auß der langwierigen Kriegsunruhe/ zum gewünschten Frieden gelangen ... In Funffzig Predigten über das Buch Josua : Vorgestellet/ Durch Johannem Henricum Stöckenium, Prediger deß Worts Gottes bey der Fürstlichen Hoffgemeinde zu Cassel</t>
  </si>
  <si>
    <t xml:space="preserve">http://friedensbilder.gnm.de/sites/default/files/37602e4c-85f1-4ee6-8f8a-eff3b5ec6cd4.jpg</t>
  </si>
  <si>
    <t xml:space="preserve">Bona Nova de PACE:</t>
  </si>
  <si>
    <t xml:space="preserve">4 Th Pr 1001</t>
  </si>
  <si>
    <t xml:space="preserve">23:307361G</t>
  </si>
  <si>
    <t xml:space="preserve">http://mdz-nbn-resolving.de/urn:nbn:de:bvb:12-bsb11230001-4</t>
  </si>
  <si>
    <t xml:space="preserve">Da 608 (10)</t>
  </si>
  <si>
    <t xml:space="preserve">62 S.</t>
  </si>
  <si>
    <t xml:space="preserve">Gute Zeitung vom Frieden: </t>
  </si>
  <si>
    <t xml:space="preserve">Das ist: Außführliche Frieden-Predigt/ Über den Allgemeinen / zwischen der Röm. Kays. Maytt. und den vereinbarten Cronen...in WEstfphalen beschlossenen und publicirten Reichs-Frieden...</t>
  </si>
  <si>
    <t xml:space="preserve">http://friedensbilder.gnm.de/sites/default/files/23_307361G_001,800,600.gif
http://friedensbilder.gnm.de/sites/default/files/4 Th Pr 1001.jpg</t>
  </si>
  <si>
    <t xml:space="preserve">Die vorliegende „ausführliche Frieden-Predigt“&amp;nbsp;hielt der gelehrte Esslinger Pfarrer Doktor Tobias Wagner (1598–1680) am 2. November 1648 bei dem Friedensfest, das&amp;nbsp;aus Anlass des&amp;nbsp;Westfälischen Friedens in Württemberg und eben auch Esslingen gefeiert wurde. Er ließ sie noch im selben Jahr in Ulm drucken und stellte sie unter die Überschrift „Gute Zeitung vom Frieden“. Damit ist allerdings kein Druckerzeugnis, sondern, wie auch der lateinische Titel verrät, die gute Neuigkeit vom Frieden gemeint. Die Predigt weist eine Besonderheit auf: Nach Verlesung des Predigttexts aus dem Proheten Jesaja Kap. 12, Vers 1–6, eröffnet Wagner seine Predigt mit dem Verweis auf ein bekanntes, ausgemacht heidnisches Friedensbild: den Janustempel mit seinen zu Kriegszeiten geöffneten Toren. „Wir aber ... hätten Ursach, den Tempel Jani im Heiligen Römischen Reich ... auch zu beschließen, nachdem er nunmehr viel lange Jahr und Zeit hätt sollen offen stehen.“&amp;nbsp;Doch nun sei nach dreißig Jahren der Frieden verkündigt worden. Als lutherischer Prediger wendet Wagner nun das heidnische Friedenssymbol im christlichen Sinn: „Dieweil wir aber nicht mehr Heyden, sondern ... Christen sein, und wissen, dass auch der Janus einer aus den Heiden Göttern ..., Hingegen allein Gott im Himmel für den wahren Gott des Friedens erkennen, der den Frieden nicht allein verspricht ..., sondern solchen auch würcklich gibt ..., wolan so wil uns gebühren, bey endlich beschlossenem allgemeinen ReichsFrieden diesem unsern Gott des Frieden seinen Tempel nicht, wie die Heiden dem Jano gethan, zuzuschließen, sondern allenthalben zu eröffnen, mit frolocken und Freuden darein zu gehen.“HPJ</t>
  </si>
  <si>
    <t xml:space="preserve">Bona Nova de PACE:, 4 Th Pr 1001</t>
  </si>
  <si>
    <t xml:space="preserve">https://friedensbilder-neu.gnm.de/sites/default/files/2019-06/4-Th-Pr-1001_0.png</t>
  </si>
  <si>
    <t xml:space="preserve">http://friedensbilder.gnm.de/content/frieden_foto_order1ecc2f</t>
  </si>
  <si>
    <t xml:space="preserve">Friede auff Erden</t>
  </si>
  <si>
    <t xml:space="preserve">Pon Vc 4553, QK</t>
  </si>
  <si>
    <t xml:space="preserve">Wernick, Philipp
Mamitzsch, Andreas</t>
  </si>
  <si>
    <t xml:space="preserve">39:110857S</t>
  </si>
  <si>
    <t xml:space="preserve">http://nbn-resolving.org/urn:nbn:de:gbv:3:1-30066</t>
  </si>
  <si>
    <t xml:space="preserve">Das ist: Eine Christliche Friedens-Predigt / Darinnen der Him[m]lischen Heerscharen und Heiligen Engelein herrlicher Friedens-Wunsch bey der seligmachenden Geburt Christi mit Gottes Wort außführlich erkläret / und der Weltliche und Geistliche / Zeitliche und Ewige Friede der werthen Christenheit von Hertzen gewünschet wird/.</t>
  </si>
  <si>
    <t xml:space="preserve">Durch Gottes Gnade gehalten in der Kirchen zu Ronnenburg am Heiligen Christi-Tage/ Duch M. Philippum Wernick S. S. Theol. Licentiandum und F. S. Superintendenten daselbst.</t>
  </si>
  <si>
    <t xml:space="preserve">Gedruckt zu Gera/ in Verlegung deß Autoris. Durch Andream Mamitzsch</t>
  </si>
  <si>
    <t xml:space="preserve">http://friedensbilder.gnm.de/sites/default/files/408059.jpg</t>
  </si>
  <si>
    <t xml:space="preserve">Die vorliegende Predigt ist eine von dreien, die der Superintendent von Ronneburg bei Gera, Philipp Wernick (1594–1665), aus Anlass des Westfälischen Friedens in seiner Gemeinde hielt. Wernicke war seit 1625 als Pastor tätig, hatte also zeit seines Lebens nur unter Kriegsbedingungen gepredigt. Gegen Ende des Jahres 1647 deutete sich der bevorstehende Friedensschluss in Münster und Osnabrück schon an. So hielt er die Weihnachtspredigt des Jahres 1647 über den Frieden auf Erden (Chor der Engel aus Lukas 2) in Erwartung der Friedensbotschaft aus Westfalen. Doch ließ er die Predigt vermutlich erst nach Abschluss der Friedensverhandlungen drucken. In der Weihnachtspredigt an seine Gemeinde interpretiert Wernick den Krieg als Strafe Gottes für die menschlichen Sünden. Der menschliche, weltliche Friede sei nur Teil der äußeren Lebensumstände. Entscheidend sei der geistliche Friede zwischen Gott und den Menschen, der durch Buße und Gebet von Gott zu erbitten sei. Aus ihm erst folgten eine Bekräftigung der öffentlichen Ordnung, Liebe, Eintracht und Versöhnung.
Die zweite Predigt (Herrlicher Friede und sehr grosse Freude Im heiligen Römischen Reiche und Königreiche Schweden) hielt er nach Verkündigung des Friedens im Oktober 1648, die dritte (Ronnenburgisch Lob- und Danck-Opfer) schließlich 1650 aus Anlass eines Friedensfests. Alle drei Predigten geben einen intensiven Einblick in das Schicksal der Gemeinde Ronneburg in den Kriegszeiten und, reflektiert in der Auslegung ihres Predigers, in die Gefühlswelt der betroffenen Bevölkerung.
HPJ
</t>
  </si>
  <si>
    <t xml:space="preserve">Frieden durch göttliches Handeln
Friedensbotschaft</t>
  </si>
  <si>
    <t xml:space="preserve">Friede auff Erden. Das ist eine christliche Friedens-Predigt, Pon Vc 4553, QK</t>
  </si>
  <si>
    <t xml:space="preserve">https://friedensbilder-neu.gnm.de/sites/default/files/2019-06/Pon-Vc-4553-QK.png</t>
  </si>
  <si>
    <t xml:space="preserve">Friede auff Erden. Das ist eine christliche Friedens-Predigt</t>
  </si>
  <si>
    <t xml:space="preserve">http://friedensbilder.gnm.de/content/frieden_foto_order175773</t>
  </si>
  <si>
    <t xml:space="preserve">Herrlicher Friede und sehr grosse Freude Im heiligen Römischen Reiche und Königreiche Schweden.</t>
  </si>
  <si>
    <t xml:space="preserve">LP P 8° III, 00019 (02)</t>
  </si>
  <si>
    <t xml:space="preserve">Wernick, Philipp
Göpner, Melchior</t>
  </si>
  <si>
    <t xml:space="preserve">Zwickau</t>
  </si>
  <si>
    <t xml:space="preserve">39:110860V</t>
  </si>
  <si>
    <t xml:space="preserve">http://nbn-resolving.de/urn/resolver.pl?urn=urn:nbn:de:urmel-28273dcb-c4a1-4777-ae0a-49e8f6206e669</t>
  </si>
  <si>
    <t xml:space="preserve">22 Bl.</t>
  </si>
  <si>
    <t xml:space="preserve">In einer Christlichen Friedens-Predigt/ über den 133. Psalm/ Siehe wie fein und lieblich ists / Daß Brüder einträchtig bey einander wohnen / etc. </t>
  </si>
  <si>
    <t xml:space="preserve">Neben der Herrligkeit/ Liebligkeit und Nutzbarkeit des lieben Friedens beschrieben/ und Gott dem Herrn zur schuldigen Danckbarkeit / den Christen aber zur Freude und Trost am Tage Eugenii, als den 15. Novembris in der Kirchen zu Ronnenburg fürgetragen</t>
  </si>
  <si>
    <t xml:space="preserve">Zwickau / Gedruckt bey Melchior Göpnern / im Jahr / 1648.</t>
  </si>
  <si>
    <t xml:space="preserve">http://friedensbilder.gnm.de/sites/default/files/1628c06b6d3-2_Seite_2.jpg</t>
  </si>
  <si>
    <t xml:space="preserve">Nur wenige Tage nachdem in Münster und Osnabrück die Westfälischen Friedensverträge unterzeichnet worden waren, hält der Ronneburger Superintendent Philipp Wernick (1594–1665) die zweite seiner drei gedruckten deutschen Friedenspredigten, bei der die Freude über den Frieden im Mittelpunkt steht. Seine Auslegung von Psalm 133, Vers 1:&amp;nbsp;„Siehe wie fein und lieblich ist's, das Brüder einträchtig beieinander wohnen“, betont das politische Motiv des friedlichen Miteinanders und reiht den Westfälischen Frieden in eine Reihe großer Friedensschlüsse ein. Zugleich ordnet er den Wunsch nach Frieden der vierten Bitte des Vaterunsers zu und sagt, der Frieden sei „neben dem täglichen Brote der allerbeste Schatz“. Die Ausgestaltung des Friedens in der nun anbrechenden Friedenszeit ist für Wernick geordnet nach der Drei-Stände-Lehre: So wie es drei Arten Brüder gebe, natürliche, weltliche und geistliche Brüder, so werde der Frieden für alle drei Stände segensreich sein. „O wie ein gut und herrlich Ding ist es, wenn die weltlichen Brüder, das ist die hohen Potentaten, Fürsten und Herren und alle Regenten mit einander eins sind...“. „Wenn nun diese Liebligkeit des Friedes in geist- und weltlichen Stand gespüret wird, kann es nicht fehlen, es muß auch dieser herrliche Friede mit seiner Liebligkeit als ein schöner Himmels-Thau fließen in den Haus-Stand ...“. Aus dem von Gott geschenkten Frieden leitet der Prediger nun die Pflichten der Stände in der Friedenszeit ab, malt ihnen aber auch ihren Nutzen durch den Frieden aus. Dabei ruft er auch als Kontrast noch einmal die Schrecken des Krieges in Erinnerung. So verweist er etwa darauf, dass in der Stadt Ronneburg kein einziges Kind des Jahrgang 1633 überlebt habe. Doch die Predigt endet damit, den Frieden von Münster und Osnabrück als Buß-, Freuden- und Gnadenposaune zu feiern. Die Freude über die anbrechende Friedenszeit verbindet sich mit dem Aufruf zu Buße und Dankbarkeit.HPJ</t>
  </si>
  <si>
    <t xml:space="preserve">Herrlicher Friede und sehr grosse Freude Im heiligen Römischen Reiche und Königreiche Schweden., LP P 8° III, 00019 (02)</t>
  </si>
  <si>
    <t xml:space="preserve">https://friedensbilder-neu.gnm.de/sites/default/files/2019-06/LP-P-8-III-00019-02_0.png</t>
  </si>
  <si>
    <t xml:space="preserve">http://friedensbilder.gnm.de/content/frieden_foto_order175765</t>
  </si>
  <si>
    <t xml:space="preserve">Eucharisticarum Trias ... Das ist: ... drey Dancksagungs-Predigten</t>
  </si>
  <si>
    <t xml:space="preserve">Universitätsbibliothek Augsburg</t>
  </si>
  <si>
    <t xml:space="preserve">02/XIII.8.4.591angeb.-1 -6</t>
  </si>
  <si>
    <t xml:space="preserve">Grosse
Ritzsch
Hönens</t>
  </si>
  <si>
    <t xml:space="preserve">384:717706Q</t>
  </si>
  <si>
    <t xml:space="preserve">Aus unterschiedlichen Texten des heiligen Göttlichen Worts: Darinn dem Herrn Zebaoth/ ... für die überschwengliche grosse Wolthat/ daß Er von dem verderblichen Kriegswesen/ uns so väterlich erlöset/ und den edlen/ hocherwündschten Frieden unserm lieben Vaterlande in Gnaden wieder bescheret hat/ von Hertzen gedancket wird. Dadurch jedermänniglich zu schuldiger Dancksagung/ für gemeldte Wolthat/ und zum Lobe und Preise Gottes/ Auch zum Gottseligen bußfertigen Leben auffgemuntert und vermahnet wird ; An unterschiedlichen hiezu verordneten Tagen/ in Christlicher Gemeine zu Crempen gehalten ; Mit angehängten hertzlichen Dancksagungen/ deren etliche auff bekante Melodeyen gerichtet/ gesungen werden können</t>
  </si>
  <si>
    <t xml:space="preserve">Geistlicher Frewdenmachender Gottgefälliger Friedens-Salven Hall Knall und Schall</t>
  </si>
  <si>
    <t xml:space="preserve">LP P 8° III, 00019 (27)</t>
  </si>
  <si>
    <t xml:space="preserve">Bartholomaei, Christoph</t>
  </si>
  <si>
    <t xml:space="preserve">Wärner</t>
  </si>
  <si>
    <t xml:space="preserve">39:111035Z</t>
  </si>
  <si>
    <t xml:space="preserve">Gehalten in einer Danck- und Schluß-Predigt ... Zum Valet und stetswehrenden Andencken dem Königl. Schwed. Hochlöblichen Alt-Pentzischen Regimente zu Pferdte bey vermuthlicher Abdanckung offeriret</t>
  </si>
  <si>
    <t xml:space="preserve">http://friedensbilder.gnm.de/sites/default/files/a00e506a-8015-4163-ae35-a3ba171df57b.gif</t>
  </si>
  <si>
    <t xml:space="preserve">Dreyfaches Friedens-Kleinodt Der Evangelischen Kirchen zur Weiden in der Pfaltz durch eine hochfeyerliche Danck-Predigt Zum Neuen-Jahre verehret</t>
  </si>
  <si>
    <t xml:space="preserve">Th 8° 03012 (13)</t>
  </si>
  <si>
    <t xml:space="preserve">Clausnitzer, Tobias</t>
  </si>
  <si>
    <t xml:space="preserve">Scheibe
Köler</t>
  </si>
  <si>
    <t xml:space="preserve">14:050008K</t>
  </si>
  <si>
    <t xml:space="preserve">http://digital.slub-dresden.de/id330572091</t>
  </si>
  <si>
    <t xml:space="preserve">[24] Bl.</t>
  </si>
  <si>
    <t xml:space="preserve">Der Evangelischen Kirchen zur Weiden in der Pfaltz durch eine hochfeyerliche Danck-Predigt Zum Neuen-Jahre verehret</t>
  </si>
  <si>
    <t xml:space="preserve">http://friedensbilder.gnm.de/sites/default/files/Clausnitzer.jpg</t>
  </si>
  <si>
    <t xml:space="preserve">Sündenleid und Friedesfreud</t>
  </si>
  <si>
    <t xml:space="preserve">Ts 285 (3)</t>
  </si>
  <si>
    <t xml:space="preserve">Dilherr, Johann Michael</t>
  </si>
  <si>
    <t xml:space="preserve">23:671929C</t>
  </si>
  <si>
    <t xml:space="preserve">[6] Bl., 199 S., [14] Bl.</t>
  </si>
  <si>
    <t xml:space="preserve">Das ist Eine Bußpredig so den 7. Febr. und eine Friedfestspredig so den 11. Febr. zu Nürnberg bey S. Sebald gehalten worden</t>
  </si>
  <si>
    <t xml:space="preserve">Samt denen dazu gehörigen Gebeten und Anmerckungen</t>
  </si>
  <si>
    <t xml:space="preserve">http://friedensbilder.gnm.de/sites/default/files/a67fcae7-b38d-43eb-8409-56bed560bcdb.png
http://friedensbilder.gnm.de/sites/default/files/61df74f0-2d98-4f9d-ace2-a5039ca90537.png</t>
  </si>
  <si>
    <t xml:space="preserve">Predicatie en meditatien, by forme van bid- en danck-sermoen, over den op 5. junij 1648. gepubliceerden eeuwigen vrede.</t>
  </si>
  <si>
    <t xml:space="preserve">Universitätsbibliothek Amsterdam</t>
  </si>
  <si>
    <t xml:space="preserve">OTM: K 61-7026 (1)</t>
  </si>
  <si>
    <t xml:space="preserve">Dwinglo, Bernard</t>
  </si>
  <si>
    <t xml:space="preserve">de Leeuw, Cornelis</t>
  </si>
  <si>
    <t xml:space="preserve">http://www.picarta.nl/DB=3.11/PPN?PPN=843925213</t>
  </si>
  <si>
    <t xml:space="preserve">Newen Jahrs Friedens-Predigt Auß dem H. NewenJahrs Evangelio Luc. 2</t>
  </si>
  <si>
    <t xml:space="preserve">7 an: Ee 710-249</t>
  </si>
  <si>
    <t xml:space="preserve">Elert, Hermann</t>
  </si>
  <si>
    <t xml:space="preserve">Lucius</t>
  </si>
  <si>
    <t xml:space="preserve">Rinteln</t>
  </si>
  <si>
    <t xml:space="preserve">1:038463L</t>
  </si>
  <si>
    <t xml:space="preserve">[4] Bl., 64 S.</t>
  </si>
  <si>
    <t xml:space="preserve">Nach dem achten Zahl Wie uns daran der Herr Christus zu einer sonderlichen Wolthat grosse und herrliche Dinge und Wolthaten zu erkennen gibt wie dieselbige an seinem Jesus Namen und an dem im Jahr 1648 gemachten Friede zu finden. Und was nach dem Evangelio unser Amt und Gebür ist wenn uns solches alles zu Seelen und Leibes Wolfahrt zeitlich und ewig zu glücklicher Niessung des Friedens gereychen sol</t>
  </si>
  <si>
    <t xml:space="preserve">http://friedensbilder.gnm.de/sites/default/files/b82543e1-2b60-4d57-909e-397193a80d20.gif</t>
  </si>
  <si>
    <t xml:space="preserve">Danck= und Gebetts-Altar:</t>
  </si>
  <si>
    <t xml:space="preserve">Universitätsbibliothek Tübingen</t>
  </si>
  <si>
    <t xml:space="preserve">Gi 870.4</t>
  </si>
  <si>
    <t xml:space="preserve">Gross, Johannes Jakob</t>
  </si>
  <si>
    <t xml:space="preserve">Dümler</t>
  </si>
  <si>
    <t xml:space="preserve">n.n.</t>
  </si>
  <si>
    <t xml:space="preserve">Gottfried Wilhelm Leibniz Bibliothek</t>
  </si>
  <si>
    <t xml:space="preserve">T-A 1553</t>
  </si>
  <si>
    <t xml:space="preserve">[4] Bl., 35 S., [3] Bl. </t>
  </si>
  <si>
    <t xml:space="preserve">Das ist  Christliche Dancksagungs=Predigt für den lieben so Hoch desiderirten, gewuenschten und erhaltenen Reichsfrieden ...</t>
  </si>
  <si>
    <t xml:space="preserve">Welcher ... 1648 zu Münster in Westfalen ... unterschrieben ... worden ist</t>
  </si>
  <si>
    <t xml:space="preserve">Danck- und Bet-Predigt wegen deß algemeinen/ (Gott gebe beständigen !) Frieden-Schlusses zu Oßnabrüg und Münster Welche Zu Ehren dem ewigwärendem Friede Fürsten Christo/ sampt Vater/ und heiligem Geiste:</t>
  </si>
  <si>
    <t xml:space="preserve">Hist.Germ.C.583,3</t>
  </si>
  <si>
    <t xml:space="preserve">Ludemann, Daniel
Dedekind, Friedrich Melchior</t>
  </si>
  <si>
    <t xml:space="preserve">14:050010E</t>
  </si>
  <si>
    <t xml:space="preserve">http://digital.slub-dresden.de/id332609944</t>
  </si>
  <si>
    <t xml:space="preserve">Theol 4° 00928-929 (18)</t>
  </si>
  <si>
    <t xml:space="preserve">VD17 39:136580Z</t>
  </si>
  <si>
    <t xml:space="preserve">https://archive.thulb.uni-jena.de/ufb/receive/ufb_cbu_00010755?derivate=ufb_derivate_00009902</t>
  </si>
  <si>
    <t xml:space="preserve">Auff ... Befehl Der ... Fürstin ... Christinae: Der Schweden/ Gothen und Wenden designirten Königinn ... und löblich Anordnung Deß ... Fürsten ... Caroli Gustavi: Pfaltzgraffen bey Rhein ... </t>
  </si>
  <si>
    <t xml:space="preserve">Bey hoher und Volckreicher Versamlung / den 1. Januarii deß M.DC.XLIX. Jahres zu Leipzig in der S. Thomas Kirchen/ gehalten/ und auff inständiges Begehren herauß gegeben</t>
  </si>
  <si>
    <t xml:space="preserve">M. Daniel Lüdeman/ hochgedachter Sn. Fürstl. Durchl. verordneter Hoff-Prediger.</t>
  </si>
  <si>
    <t xml:space="preserve">Weitere Verlesung der Predigt durch Lüdemann in Schweinfurt, am 24. März 1649 (Ostern). Siehe Ende Dedicatio.</t>
  </si>
  <si>
    <t xml:space="preserve">http://friedensbilder.gnm.de/sites/default/files/Hist.Germ_.C.583,3.pdf</t>
  </si>
  <si>
    <t xml:space="preserve">möglich, dass es sich bei Lüdemann um diesen handelt ???&amp;nbsp;http://d-nb.info/gnd/121352102Anm. Redaktion: Ja (allerdings fehlerhafte Angabe in der GND; Karl Gustav wird erst 1652 König von Schweden und ist vorher lediglich Pfalzgraf). Allerdings ist der Datensatz nicht im Dump enthalten.</t>
  </si>
  <si>
    <t xml:space="preserve">Danck- und Bet-Predigt wegen deß algemeinen/ (Gott gebe beständigen !) Frieden-Schlusses zu Oßnabrüg und Münster Welche Zu Ehren dem ewigwärendem Friede Fürsten Christo/ sampt Vater/ und heiligem Geiste:, Hist.Germ.C.583,3</t>
  </si>
  <si>
    <t xml:space="preserve">http://friedensbilder.gnm.de/content/frieden_foto_order1a75ce</t>
  </si>
  <si>
    <t xml:space="preserve">Weynacht-Predigt über den Lob-Gesang der heiligen Engel</t>
  </si>
  <si>
    <t xml:space="preserve">QuH 98.6 (12)</t>
  </si>
  <si>
    <t xml:space="preserve">Philips, Peter</t>
  </si>
  <si>
    <t xml:space="preserve">Kowald</t>
  </si>
  <si>
    <t xml:space="preserve">Halberstadt</t>
  </si>
  <si>
    <t xml:space="preserve">23:284593P</t>
  </si>
  <si>
    <t xml:space="preserve">Lk 2,14</t>
  </si>
  <si>
    <t xml:space="preserve">44 S.</t>
  </si>
  <si>
    <t xml:space="preserve">Ehre sey Gott in der Höhe und Friede auff Erden und den Menschen ein Wolgefallen Luc. 2. v. 14.</t>
  </si>
  <si>
    <t xml:space="preserve">Am heiligen Christ-Tage Anno 1648, in der hohen Stiffts-Kirchen zu Halberstadt gehalten und zu noch mehrer Außbreitung Göttlicher Ehren Erweckung hertzliicher Andacht und schüldiger Lob- und Dancksagung weiter außgeführet und dem Druck übergeben</t>
  </si>
  <si>
    <t xml:space="preserve">http://friedensbilder.gnm.de/sites/default/files/0944613d-3267-48da-b193-77f8433cff04.gif</t>
  </si>
  <si>
    <t xml:space="preserve">Euxarisia Sive Gratiarum Actio Summo Jehovae Pro Divina Gratia Et Alma Benedictione, Quod Magnalia Fecerit, Bellum Sedaverit, Pacemque Donaverit</t>
  </si>
  <si>
    <t xml:space="preserve">Pon Vc 4568 m</t>
  </si>
  <si>
    <t xml:space="preserve">Thuring, Martin</t>
  </si>
  <si>
    <t xml:space="preserve">Müller</t>
  </si>
  <si>
    <t xml:space="preserve">23:267062R</t>
  </si>
  <si>
    <t xml:space="preserve">http://digitale.bibliothek.uni-halle.de/urn/urn:nbn:de:gbv:3:1-21709</t>
  </si>
  <si>
    <t xml:space="preserve">Inbrünstige und hertzliche Dancksagung dem allerhöchsten Gott vor die göttliche Gnade und milden Segen daß er so grosse Dinge gethan den Krieg geendet und den lang erwündschten edlen Frieden wieder</t>
  </si>
  <si>
    <t xml:space="preserve">Euxarisia Sive Gratiarum Actio Summo Jehovae Pro Divina Gratia Et Alma Benedictione, Quod Magnalia Fecerit, Bellum Sedaverit, Pacemque Donaverit, Pon Vc 4568 m</t>
  </si>
  <si>
    <t xml:space="preserve">Eucharisticarum Trias Tertia. Das ist: Noch andere drey Dancksagungs-Predigten</t>
  </si>
  <si>
    <t xml:space="preserve">02/XIII.8.4.591angeb.-3</t>
  </si>
  <si>
    <t xml:space="preserve">384:717709N</t>
  </si>
  <si>
    <t xml:space="preserve">http://nbn-resolving.de/urn:nbn:de:bvb:384-uba003022-5</t>
  </si>
  <si>
    <t xml:space="preserve">Eucharisticarum Trias Sexta. Das ist: Noch drey Dancksagungs- und Vermahnungs Predigten</t>
  </si>
  <si>
    <t xml:space="preserve">02/XIII.8.4.591angeb.-6</t>
  </si>
  <si>
    <t xml:space="preserve">384:717713Y</t>
  </si>
  <si>
    <t xml:space="preserve">http://nbn-resolving.de/urn:nbn:de:bvb:384-uba003025-0</t>
  </si>
  <si>
    <t xml:space="preserve">Eucharisticarum Trias Secunda. Das ist: Die andern Drey Dancksagungs-Predigten</t>
  </si>
  <si>
    <t xml:space="preserve">02/XIII.8.4.591angeb.-2</t>
  </si>
  <si>
    <t xml:space="preserve">384:717708E</t>
  </si>
  <si>
    <t xml:space="preserve">http://nbn-resolving.de/urn:nbn:de:bvb:384-uba003021-9</t>
  </si>
  <si>
    <t xml:space="preserve">Eucharisticarum Trias Qvinta. Das ist: Noch drey Dancksagungs- und Vermahnungs Predigten</t>
  </si>
  <si>
    <t xml:space="preserve">02/XIII.8.4.591angeb.-5</t>
  </si>
  <si>
    <t xml:space="preserve">384:717712R</t>
  </si>
  <si>
    <t xml:space="preserve">http://nbn-resolving.de/urn:nbn:de:bvb:384-uba003024-5</t>
  </si>
  <si>
    <t xml:space="preserve">Eucharisticarum Trias Qvarta. Das ist: Noch drey Dancksagungs- und Vermahnungs Predigten</t>
  </si>
  <si>
    <t xml:space="preserve">02/XIII.8.4.591angeb.-4</t>
  </si>
  <si>
    <t xml:space="preserve">384:717711H</t>
  </si>
  <si>
    <t xml:space="preserve">http://nbn-resolving.de/urn:nbn:de:bvb:384-uba003023-0</t>
  </si>
  <si>
    <t xml:space="preserve">Eucharisticarum Trias Prima. Das ist: Die ersten drey Dancksagungs-Predigten</t>
  </si>
  <si>
    <t xml:space="preserve">02/XIII.8.4.591angeb.-1</t>
  </si>
  <si>
    <t xml:space="preserve">384:717707X</t>
  </si>
  <si>
    <t xml:space="preserve">http://nbn-resolving.de/urn:nbn:de:bvb:384-uba003020-4</t>
  </si>
  <si>
    <t xml:space="preserve">Aus unterschiedlichen Texten des heiligen Göttlichen Worts: Darinn dem Herrn Zebaoth/ ... für die überschwengliche grosse Wolthat/ daß Er von dem verderblichen Kriegswesen/ uns so väterlich erlöset/ und den edlen/ hocherwündschten Frieden unserm lieben Vaterlande in Gnaden wieder bescheret hat/ von Hertzen gedancket wird. Dadurch jedermänniglich zu schuldiger Dancksagung/ für gemeldte Wolthat/ und zum Lobe und Preise Gottes/ Auch zum Gottseligen bußfertigen Leben auffgemuntert und vermahnet wird; An unterschiedlichen hiezu verordneten Tagen/ in Christlicher Gemeine zur Crempen gehalten; Mit angehängten hertzlichen Dancksagungen/ deren etliche auff bekante Melodeyen gerichtet/ gesungen werden können</t>
  </si>
  <si>
    <t xml:space="preserve">Vorzeichnung für den Vorderseitenstempel der Medaille auf den Frieden von Nimwegen 1678</t>
  </si>
  <si>
    <t xml:space="preserve">Rijksbureau voor Kunsthistorische Documentatie</t>
  </si>
  <si>
    <t xml:space="preserve">Federzeichnung (braun)</t>
  </si>
  <si>
    <t xml:space="preserve">Darstellung (Durchmesser)</t>
  </si>
  <si>
    <t xml:space="preserve">Zeichnung</t>
  </si>
  <si>
    <t xml:space="preserve">FIRMATA NEOMAGI</t>
  </si>
  <si>
    <t xml:space="preserve">Bei dem Medaillon handelt es sich um eine Vorzeichnung zur Vorderseite einer Medaille Dishoeckes auf den Frieden von Nimwegen 1678&amp;nbsp;(siehe&amp;nbsp;Med Merkel 1.5.6).&amp;nbsp;Die Zeichnung belegt, dass die Medaille ursprünglich noch eine französische Gesandtenkutsche mit einem Viergespann zeigen sollte.ALS</t>
  </si>
  <si>
    <t xml:space="preserve">http://friedensbilder.gnm.de/sites/default/files/Vorzeichnung_1011 Nijmegen.jpg</t>
  </si>
  <si>
    <t xml:space="preserve">Vorzeichnung</t>
  </si>
  <si>
    <t xml:space="preserve">http://friedensbilder.gnm.de/content/frieden_object5a757</t>
  </si>
  <si>
    <t xml:space="preserve">http://friedensbilder.gnm.de/content/frieden_foto_order11f66d</t>
  </si>
  <si>
    <t xml:space="preserve">Di tre dee sull'Ida</t>
  </si>
  <si>
    <t xml:space="preserve">Biblioteca del Conservatorio San Pietro a Majella</t>
  </si>
  <si>
    <t xml:space="preserve">34.6.28(13) [olim Cantate 252]</t>
  </si>
  <si>
    <t xml:space="preserve">https://opac.rism.info/search?id=850019061</t>
  </si>
  <si>
    <t xml:space="preserve">http://cantataitaliana.it/query_bid.php?id=6436</t>
  </si>
  <si>
    <t xml:space="preserve">Cantata a voce sola con v.v: / Del Sig.r Domenico Sarri</t>
  </si>
  <si>
    <t xml:space="preserve">Di tre dee sull'Ida, 34.6.28(13) [olim Cantate 252]</t>
  </si>
  <si>
    <t xml:space="preserve">Reden, nach der Ordnung, wie sie bey dem Actu Oratorio in der lateinischen Schule gehalten worden sind.</t>
  </si>
  <si>
    <t xml:space="preserve">Res/Bavar. 5199 a (5)</t>
  </si>
  <si>
    <t xml:space="preserve">Hartmann, J.G.
Röberle, B.
Rehm, J.
Wogau, J.S. von
Rabuß, J.
Hübner, J.G.
Bäßler, J. L.</t>
  </si>
  <si>
    <t xml:space="preserve">S. 33–67</t>
  </si>
  <si>
    <t xml:space="preserve">Ode über Glückseligkeit des Friedens, Res/Bavar. 5199 a (5)
Gedicht zur schuldigen Dankbarkeit gegen den Gott geschenkten Frieden, Res/Bavar. 5199 a (5)
J.G. Hartmann, der vierten Classe sechster Schüler, empfiehlt die ganze Redeübung der Gewogenheit einer hochansehnlichen Versammlung, Res/Bavar. 5199 a (5)
B. Röberle, der lat. Schule Rector, redet von der Staatsverfassung der Häuser Oesterreich und Bourbon seit dem Jahre 1672 u.f., Res/Bavar. 5199 a (5)
J. Rehm, der erste in der vierdten Classe, erzählt die Begebenheiten und Kriege vor dem Nimwegischen Friedensschlusse, Res/Bavar. 5199 a (5)
J.S. von Wogau, der zweyte in der obern Classe, beschreibt den Ryswickischen Frieden, und die vorhergegangene grosse Begebenheiten, Res/Bavar. 5199 a (5)
J. Rabuß, der dritte on der vierdten Classe, handelt von dem Badenschen Frieden, und denen im vorhergegangenen Kriege erlittenen Drangsale unserer Vaterstadt, Res/Bavar. 5199 a (5)
Herr Matth. Bonacker, Pfarrer in Berg, und der dritten Classe des Lycei Präceptor, erweckt in einem Gedicht zur schuldigen Dankbarkeit gegen den von Gott geschenkten Frieden, Res/Bavar. 5199 a (5)
J.G. Hübner, der fünfte Schüler der obern Classe, danket in einer prosaisch poetischen Rede der ganzen Hochangesehenen Versamlung für ihr geneigtes Gehör, Res/Bavar. 5199 a (5)</t>
  </si>
  <si>
    <t xml:space="preserve">Ode über Glückseligkeit des Friedens
Gedicht zur schuldigen Dankbarkeit gegen den Gott geschenkten Frieden
J.G. Hartmann, der vierten Classe sechster Schüler, empfiehlt die ganze Redeübung der Gewogenheit einer hochansehnlichen Versammlung
B. Röberle, der lat. Schule Rector, redet von der Staatsverfassung der Häuser Oesterreich und Bourbon seit dem Jahre 1672 u.f.
J. Rehm, der erste in der vierdten Classe, erzählt die Begebenheiten und Kriege vor dem Nimwegischen Friedensschlusse
J.S. von Wogau, der zweyte in der obern Classe, beschreibt den Ryswickischen Frieden, und die vorhergegangene grosse Begebenheiten
J. Rabuß, der dritte on der vierdten Classe, handelt von dem Badenschen Frieden, und denen im vorhergegangenen Kriege erlittenen Drangsale unserer Vaterstadt
Herr Matth. Bonacker, Pfarrer in Berg, und der dritten Classe des Lycei Präceptor, erweckt in einem Gedicht zur schuldigen Dankbarkeit gegen den von Gott geschenkten Frieden
J.G. Hübner, der fünfte Schüler der obern Classe, danket in einer prosaisch poetischen Rede der ganzen Hochangesehenen Versamlung für ihr geneigtes Gehör</t>
  </si>
  <si>
    <t xml:space="preserve">Ode auf den Frieden.</t>
  </si>
  <si>
    <t xml:space="preserve">Res/Bavar. 5199 a (7)</t>
  </si>
  <si>
    <t xml:space="preserve">Karrer, Georg</t>
  </si>
  <si>
    <t xml:space="preserve">S. 68–72</t>
  </si>
  <si>
    <t xml:space="preserve">Von Georg Karrer, der Gottesgelahrheit Candidaten.</t>
  </si>
  <si>
    <t xml:space="preserve">http://d-nb.info/gnd/1120047366</t>
  </si>
  <si>
    <t xml:space="preserve">Ode auf den Frieden., Res/Bavar. 5199 a (7)</t>
  </si>
  <si>
    <t xml:space="preserve">Der Friede</t>
  </si>
  <si>
    <t xml:space="preserve">M: Lo 984:2 (1)</t>
  </si>
  <si>
    <t xml:space="preserve">Cronegk, Johann Friedrich von</t>
  </si>
  <si>
    <t xml:space="preserve">186-189</t>
  </si>
  <si>
    <t xml:space="preserve">Der Friede, M: Lo 984:2 (1)</t>
  </si>
  <si>
    <t xml:space="preserve">Verlassene Iustitia:</t>
  </si>
  <si>
    <t xml:space="preserve">IH 572</t>
  </si>
  <si>
    <t xml:space="preserve">Kupferstecher</t>
  </si>
  <si>
    <t xml:space="preserve">Bd. II, S. 315</t>
  </si>
  <si>
    <t xml:space="preserve">Dem Durchleuchtigen hochgebornen ... Augusto ... dediciret</t>
  </si>
  <si>
    <t xml:space="preserve">erste Veröffentlichung ca.1642?Kein Digitalisat vorhanden</t>
  </si>
  <si>
    <t xml:space="preserve">Verlassene Iustitia, IH 572</t>
  </si>
  <si>
    <t xml:space="preserve">Verlassene Iustitia</t>
  </si>
  <si>
    <t xml:space="preserve">Menantes Academische Neben-Stunden allerhand neuer Gedichte:</t>
  </si>
  <si>
    <t xml:space="preserve">H: P 1676ii.8° Helmst. (3)</t>
  </si>
  <si>
    <t xml:space="preserve">Hunold, Christian Friedrich
Zeitler, Johann Friedrich</t>
  </si>
  <si>
    <t xml:space="preserve">http://digitale.bibliothek.uni-halle.de/vd18/content/pageview/5265437</t>
  </si>
  <si>
    <t xml:space="preserve">Dd 3807 (2)</t>
  </si>
  <si>
    <t xml:space="preserve">335 S.</t>
  </si>
  <si>
    <t xml:space="preserve">Nebst Einer Anleitung zur vernünftigen Poesie</t>
  </si>
  <si>
    <t xml:space="preserve">Halle und Leipzig/ verlegts/ Johann Friedrich Zeidler. 1713. </t>
  </si>
  <si>
    <t xml:space="preserve">http://friedensbilder.gnm.de/content/frieden_objecte5fd8</t>
  </si>
  <si>
    <t xml:space="preserve">Uber den Alt-Ranstädtischen Frieden</t>
  </si>
  <si>
    <t xml:space="preserve">H: P 1676ii.8° Helmst. (3) (1)</t>
  </si>
  <si>
    <t xml:space="preserve">Hunold, Christian Friedrich</t>
  </si>
  <si>
    <t xml:space="preserve">http://digitale.bibliothek.uni-halle.de/vd18/content/pageview/5265579</t>
  </si>
  <si>
    <t xml:space="preserve">http://friedensbilder.gnm.de/sites/default/files/Hunold.jpg</t>
  </si>
  <si>
    <t xml:space="preserve">Uber den Alt-Ranstädtischen Frieden, H: P 1676ii.8° Helmst. (3) (1)</t>
  </si>
  <si>
    <t xml:space="preserve">Sämtliche poetische Werke von J.P.Uz</t>
  </si>
  <si>
    <t xml:space="preserve">P.o.germ. 1544-1</t>
  </si>
  <si>
    <t xml:space="preserve">Uz, Johann Peter
Fleischhauer, Johann Georg</t>
  </si>
  <si>
    <t xml:space="preserve">Reutlingen</t>
  </si>
  <si>
    <t xml:space="preserve">http://reader.digitale-sammlungen.de/de/fs1/object/display/bsb10713855_00007.html</t>
  </si>
  <si>
    <t xml:space="preserve">Band 1</t>
  </si>
  <si>
    <t xml:space="preserve">Reuttlingen bey Johann Georg Fleischhauer, 1777. </t>
  </si>
  <si>
    <t xml:space="preserve">http://friedensbilder.gnm.de/content/frieden_objecte6212</t>
  </si>
  <si>
    <t xml:space="preserve">Auf den Frieden</t>
  </si>
  <si>
    <t xml:space="preserve">P.o.germ. 1544-1 (1)</t>
  </si>
  <si>
    <t xml:space="preserve">Uz, Johann Peter</t>
  </si>
  <si>
    <t xml:space="preserve">http://reader.digitale-sammlungen.de/de/fs1/object/display/bsb10713855_00255.html</t>
  </si>
  <si>
    <t xml:space="preserve">237-239</t>
  </si>
  <si>
    <t xml:space="preserve">Auf den Frieden, P.o.germ. 1544-1 (1)</t>
  </si>
  <si>
    <t xml:space="preserve">Friedrichs von Logau sämmtliche Sinngedichte </t>
  </si>
  <si>
    <t xml:space="preserve">GE 44-0110:113</t>
  </si>
  <si>
    <t xml:space="preserve">Verfasser
Herausgeber</t>
  </si>
  <si>
    <t xml:space="preserve">Logau, Friedrich von
Eitner, Gustav</t>
  </si>
  <si>
    <t xml:space="preserve">821 S.</t>
  </si>
  <si>
    <t xml:space="preserve">14580254X</t>
  </si>
  <si>
    <t xml:space="preserve">http://friedensbilder.gnm.de/content/frieden_objecte627c
http://friedensbilder.gnm.de/content/frieden_objecte65e6
http://friedensbilder.gnm.de/content/frieden_objecte68cb
http://friedensbilder.gnm.de/content/frieden_objecte8ea1
http://friedensbilder.gnm.de/content/frieden_objectffdef
http://friedensbilder.gnm.de/content/frieden_objectffe36
http://friedensbilder.gnm.de/content/frieden_objectffea2
http://friedensbilder.gnm.de/content/frieden_objectffeeb
http://friedensbilder.gnm.de/content/frieden_objectfff32
http://friedensbilder.gnm.de/content/frieden_objectfff79
http://friedensbilder.gnm.de/content/frieden_objectfffbe
http://friedensbilder.gnm.de/content/frieden_object100006
http://friedensbilder.gnm.de/content/frieden_object10004f
http://friedensbilder.gnm.de/content/frieden_object100098
http://friedensbilder.gnm.de/content/frieden_object1000e1
http://friedensbilder.gnm.de/content/frieden_object100128
http://friedensbilder.gnm.de/content/frieden_object100171
http://friedensbilder.gnm.de/content/frieden_object103d57
http://friedensbilder.gnm.de/content/frieden_object103da1
http://friedensbilder.gnm.de/content/frieden_object103deb
http://friedensbilder.gnm.de/content/frieden_object103e36</t>
  </si>
  <si>
    <t xml:space="preserve">Der deutsche Friede</t>
  </si>
  <si>
    <t xml:space="preserve">GE 44-0110:113 (1)</t>
  </si>
  <si>
    <t xml:space="preserve">Logau, Friedrich von</t>
  </si>
  <si>
    <t xml:space="preserve">Der deutsche Friede, GE 44-0110:113 (1)</t>
  </si>
  <si>
    <t xml:space="preserve">Wir vergehn wie Rauch von starken Winden:</t>
  </si>
  <si>
    <t xml:space="preserve">GE 57-0370:1</t>
  </si>
  <si>
    <t xml:space="preserve">Haufe, Eberhard</t>
  </si>
  <si>
    <t xml:space="preserve">deutsche Gedichte des 17. Jahrhunderts</t>
  </si>
  <si>
    <t xml:space="preserve">http://friedensbilder.gnm.de/content/frieden_objecte657e
http://friedensbilder.gnm.de/content/frieden_objecte698f
http://friedensbilder.gnm.de/content/frieden_objecte7c3e
http://friedensbilder.gnm.de/content/frieden_objecte7d61
http://friedensbilder.gnm.de/content/frieden_objecte81c6
http://friedensbilder.gnm.de/content/frieden_objecte8e58</t>
  </si>
  <si>
    <t xml:space="preserve">Die schöne Müllerin-Stimme und friedenreiches Freuden-Lied</t>
  </si>
  <si>
    <t xml:space="preserve">GE 57-0370:1 (1)</t>
  </si>
  <si>
    <t xml:space="preserve">um 1635</t>
  </si>
  <si>
    <t xml:space="preserve">184-187</t>
  </si>
  <si>
    <t xml:space="preserve">http://friedensbilder.gnm.de/sites/default/files/Martin Rinckart 1985 - Die schöne Müllerin-Stimme und friedenreiches.pdf</t>
  </si>
  <si>
    <t xml:space="preserve">Die schöne Müllerin-Stimme und friedenreiches Freuden-Lied, GE 57-0370:1 (1)</t>
  </si>
  <si>
    <t xml:space="preserve">Friede und Krieg</t>
  </si>
  <si>
    <t xml:space="preserve">GE 44-0110:113 (2)</t>
  </si>
  <si>
    <t xml:space="preserve">Friede und Krieg, GE 44-0110:113 (2)</t>
  </si>
  <si>
    <t xml:space="preserve">Friedens-Hindernüß</t>
  </si>
  <si>
    <t xml:space="preserve">GE 44-0110:113 (3)</t>
  </si>
  <si>
    <t xml:space="preserve">http://www.zeno.org/Literatur/M/Logau,+Friedrich+von/Gedichte/Sinngedichte/Salomons+von+Golaw+Deutscher+Sinn-Getichte+erstes+Tausend/Desz+ersten+Tausend+achtes+Hundert/59.+Frieden-Hindern%C3%BC%C3%9F?hl=frieden</t>
  </si>
  <si>
    <t xml:space="preserve">Friedens-Hindernüß, GE 44-0110:113 (3)</t>
  </si>
  <si>
    <t xml:space="preserve">Auserlesene Gedichte von Georg Philipp Harsdörffer, Johann Klai, Sigmund von Birken, Andreas Scultetus, Justus Georg Schottel, Adam Olearius, Johann Scheffler</t>
  </si>
  <si>
    <t xml:space="preserve">S: Töpfer 66:9</t>
  </si>
  <si>
    <t xml:space="preserve">Müller, Wilhelm </t>
  </si>
  <si>
    <t xml:space="preserve">http://digital.onb.ac.at/OnbViewer/viewer.faces?doc=ABO_%2BZ178313608</t>
  </si>
  <si>
    <t xml:space="preserve">198 S.</t>
  </si>
  <si>
    <t xml:space="preserve">GND-Verknüpfung zu Wilhelm Müller nicht richtig --&amp;gt; korrekter Link: https://portal.dnb.de/opac.htm?method=showFullRecord&amp;amp;currentResultId=wilhelm+and+m%C3%BCller+sortBy+jhr%2Fsort.ascending%26any%26persons&amp;amp;currentPosition=90</t>
  </si>
  <si>
    <t xml:space="preserve">http://friedensbilder.gnm.de/content/frieden_objecte6937</t>
  </si>
  <si>
    <t xml:space="preserve">S: Töpfer 66:9 (1)</t>
  </si>
  <si>
    <t xml:space="preserve">83-85</t>
  </si>
  <si>
    <t xml:space="preserve">http://friedensbilder.gnm.de/sites/default/files/00000131.jpg
http://friedensbilder.gnm.de/sites/default/files/00000130.jpg</t>
  </si>
  <si>
    <t xml:space="preserve">Friedenslied, S: Töpfer 66:9 (1)</t>
  </si>
  <si>
    <t xml:space="preserve">Gewaffneter Friede</t>
  </si>
  <si>
    <t xml:space="preserve">GE 57-0370:1 (2)</t>
  </si>
  <si>
    <t xml:space="preserve">Das Epigramm ist ebenfalls enthalten in Friedrichs von Logau sämmtliche Sinngedichte(S.160).</t>
  </si>
  <si>
    <t xml:space="preserve">http://friedensbilder.gnm.de/sites/default/files/Friedrich von Logau 1985 - Gewaffneter Friede.pdf</t>
  </si>
  <si>
    <t xml:space="preserve">Gewaffneter Friede, GE 57-0370:1 (2)</t>
  </si>
  <si>
    <t xml:space="preserve">Kriegstränen</t>
  </si>
  <si>
    <t xml:space="preserve">GE 57-0370:1 (3)</t>
  </si>
  <si>
    <t xml:space="preserve">Birken, Sigmund von
Klaj, Johann</t>
  </si>
  <si>
    <t xml:space="preserve">http://friedensbilder.gnm.de/sites/default/files/Birken, Klaj 1985 - Kriegstränen.pdf</t>
  </si>
  <si>
    <t xml:space="preserve">Kriegstränen, GE 57-0370:1 (3)</t>
  </si>
  <si>
    <t xml:space="preserve">Dichtungen von Johann Rist</t>
  </si>
  <si>
    <t xml:space="preserve">Yc 7582-15</t>
  </si>
  <si>
    <t xml:space="preserve">Goedeke, Karl
Goetze, Edmund</t>
  </si>
  <si>
    <t xml:space="preserve">292 S.</t>
  </si>
  <si>
    <t xml:space="preserve">http://friedensbilder.gnm.de/content/frieden_objecte7cb5</t>
  </si>
  <si>
    <t xml:space="preserve">Lob-und Danklied für den Frieden</t>
  </si>
  <si>
    <t xml:space="preserve">Yc 7582-15 (1)</t>
  </si>
  <si>
    <t xml:space="preserve">Rist, Johann</t>
  </si>
  <si>
    <t xml:space="preserve">http://www.zeno.org/Literatur/M/Rist,+Johann/Gedichte/Geistliche+Lieder/Lob-+und+Danklied+f%C3%BCr+den+Frieden?hl=frieden</t>
  </si>
  <si>
    <t xml:space="preserve">289-291</t>
  </si>
  <si>
    <t xml:space="preserve">Lob-und Danklied für den Frieden, Yc 7582-15 (1)</t>
  </si>
  <si>
    <t xml:space="preserve">Teutschland</t>
  </si>
  <si>
    <t xml:space="preserve">GE 57-0370:1 (4)</t>
  </si>
  <si>
    <t xml:space="preserve">456-459</t>
  </si>
  <si>
    <t xml:space="preserve">http://friedensbilder.gnm.de/sites/default/files/Klaj 1985 - Teutschland.pdf</t>
  </si>
  <si>
    <t xml:space="preserve">Teutschland, GE 57-0370:1 (4)</t>
  </si>
  <si>
    <t xml:space="preserve">Johann-Wilhelm Simlers Teutsche Gedichte :</t>
  </si>
  <si>
    <t xml:space="preserve">Yi 3511</t>
  </si>
  <si>
    <t xml:space="preserve">Zürich</t>
  </si>
  <si>
    <t xml:space="preserve">12:120448Z</t>
  </si>
  <si>
    <t xml:space="preserve">http://digital.staatsbibliothek-berlin.de/werkansicht?PPN=PPN847092240&amp;PHYSID=PHYS_0152&amp;DMDID=DMDLOG_0010</t>
  </si>
  <si>
    <t xml:space="preserve">349 S.</t>
  </si>
  <si>
    <t xml:space="preserve">darinnen I. Haubtbegriffliche Inhälte der Psalmen Davids: II. Underschiedliche/ auf zeiten und anlässe gerichtete Gesänge: III. Allerhand erbauliche Überschrifften/ [et]c. enthalten seind</t>
  </si>
  <si>
    <t xml:space="preserve">erste Veröffentlichung 1648, laufende Erweiterungen bis 1688 (vollständigste Ausgabe)</t>
  </si>
  <si>
    <t xml:space="preserve">Uber die IV. Bitte, um Friede</t>
  </si>
  <si>
    <t xml:space="preserve">GE 57-0370:1 (5)</t>
  </si>
  <si>
    <t xml:space="preserve">Ziegenspeck, Michael</t>
  </si>
  <si>
    <t xml:space="preserve">86-87</t>
  </si>
  <si>
    <t xml:space="preserve">http://friedensbilder.gnm.de/sites/default/files/Michael Ziegenspeck 1985 - Uber die IV.pdf</t>
  </si>
  <si>
    <t xml:space="preserve">Uber die IV. Bitte, um Friede, GE 57-0370:1 (5)</t>
  </si>
  <si>
    <t xml:space="preserve">Vermeinter Friede</t>
  </si>
  <si>
    <t xml:space="preserve">GE 57-0370:1 (6)</t>
  </si>
  <si>
    <t xml:space="preserve">Das Epigramm ist auch enthalten in Friedrichs von Logau sämmtliche Sinngedichte (S.586).</t>
  </si>
  <si>
    <t xml:space="preserve">http://friedensbilder.gnm.de/sites/default/files/Friedrich von Logau 1985 - Vermeinter Friede.pdf</t>
  </si>
  <si>
    <t xml:space="preserve">Vermeinter Friede, GE 57-0370:1 (6)</t>
  </si>
  <si>
    <t xml:space="preserve">Von meinen verlornen Reimen oder Getichten</t>
  </si>
  <si>
    <t xml:space="preserve">GE 44-0110:113 (4)</t>
  </si>
  <si>
    <t xml:space="preserve">http://www.zeno.org/Literatur/M/Logau,+Friedrich+von/Gedichte/Sinngedichte/Salomons+von+Golaw+deutscher+Sinn-Getichte+andres+Tausend/Desz+andren+Tausend+andres+Hundert/50.+Von+meinen+verlornen+Reimen+oder+Getichten?hl=frieden</t>
  </si>
  <si>
    <t xml:space="preserve">Von meinen verlornen Reimen oder Getichten, GE 44-0110:113 (4)</t>
  </si>
  <si>
    <t xml:space="preserve">Der Janustempel. An die versammleten Friedensstifter</t>
  </si>
  <si>
    <t xml:space="preserve">Dd 1983 o (1/2)</t>
  </si>
  <si>
    <t xml:space="preserve">Verfasser
Verleger
Herausgeber
Übersetzer</t>
  </si>
  <si>
    <t xml:space="preserve">Balde, Jakob
Bohn, Johann Friedrich
Maucke, Johann Michael
Herder, Gottfried von</t>
  </si>
  <si>
    <t xml:space="preserve">Lübeck
Jena</t>
  </si>
  <si>
    <t xml:space="preserve">http://digitale.bibliothek.uni-halle.de/vd18/content/titleinfo/8040625</t>
  </si>
  <si>
    <t xml:space="preserve">Der Janustempel. An die versammleten Friedensstifter, Dd 1983 o (1/2)</t>
  </si>
  <si>
    <t xml:space="preserve">Beständige Glücks- und Friedens-Alliance, Welche ... Herrn Friderich, Könige in Preussen ... Zum Erfreulichsten Neu-Jahrs Geschencke, beym Eintritt des 1705ten Christ-Jahres ... glückwünschend überreichet Gottlieb August Petzoldt, Königl. Hof-Advocatus, Cammer- und Reise-Musicus ...</t>
  </si>
  <si>
    <t xml:space="preserve">Hist.Boruss.38,64</t>
  </si>
  <si>
    <t xml:space="preserve">Petzold, Gottlieb August
Liebpert, Ulrich</t>
  </si>
  <si>
    <t xml:space="preserve">Cölln</t>
  </si>
  <si>
    <t xml:space="preserve">http://digital.slub-dresden.de/werkansicht/dlf/81193/1/</t>
  </si>
  <si>
    <t xml:space="preserve">Beständige Glücks- und Friedens-Alliance, Welche ... Herrn Friderich, Könige in Preussen ... Zum Erfreulichsten Neu-Jahrs Geschencke, beym Eintritt des 1705ten Christ-Jahres ... glückwünschend überreichet Gottlieb August Petzoldt, Königl. Hof-Advocatus, Cammer- und Reise-Musicus ..., Hist.Boruss.38,64</t>
  </si>
  <si>
    <t xml:space="preserve">Friede, Sieg und Wohlergehen, Laß Gott Unsern Friedrich sehen!</t>
  </si>
  <si>
    <t xml:space="preserve">Hist.Sax.C.233,66</t>
  </si>
  <si>
    <t xml:space="preserve">Wünschet Bey dem Hohen Nahmens-Fest Ihro Königl. Majestät in Pohlen, und Chur-Fürstl. Durchl. zu Sachsen In Aller-Unterthänigkeit / Eine ungenannte aller-demüthigste Magd </t>
  </si>
  <si>
    <t xml:space="preserve">Friede, Sieg und Wohlergehen, Laß Gott Unsern Friedrich sehen!, Hist.Sax.C.233,66</t>
  </si>
  <si>
    <t xml:space="preserve">Fi 1571-6</t>
  </si>
  <si>
    <t xml:space="preserve">Kortholt, Christian</t>
  </si>
  <si>
    <t xml:space="preserve">Kiel</t>
  </si>
  <si>
    <t xml:space="preserve">http://digital.staatsbibliothek-berlin.de/werkansicht?PPN=PPN716574985&amp;PHYSID=PHYS_0001&amp;DMDID=</t>
  </si>
  <si>
    <t xml:space="preserve">17 S.</t>
  </si>
  <si>
    <t xml:space="preserve">716574985 </t>
  </si>
  <si>
    <t xml:space="preserve">Denkmal der Freude über den wieder geschenkten Landes-Frieden</t>
  </si>
  <si>
    <t xml:space="preserve">Württembergische Landesbibliothek</t>
  </si>
  <si>
    <t xml:space="preserve">Theol.oct.K.1353 </t>
  </si>
  <si>
    <t xml:space="preserve">Fehre, Samuel Benjamin
Stößel, Johann Christoph</t>
  </si>
  <si>
    <t xml:space="preserve">Chemnitz</t>
  </si>
  <si>
    <t xml:space="preserve">GND-Verknüpfung zu Stößel nicht möglich https://portal.dnb.de/opac.htm?method=showFullRecord&amp;amp;currentResultId=johann+and+christoph+and+st%C3%B6%C3%9Fel%26any%26persons&amp;amp;currentPosition=3</t>
  </si>
  <si>
    <t xml:space="preserve">Denkmal der Freude über den wieder geschenkten Landes-Frieden, Theol.oct.K.1353 </t>
  </si>
  <si>
    <t xml:space="preserve">Kaum hört Herr Pregitzer Von einem Frieden sagen, So streicht Er ohnverweilt Zur Jungfer Düringin Um Seine Liebes-Noth Derselben fürzutragen …</t>
  </si>
  <si>
    <t xml:space="preserve">HBFC 6190 </t>
  </si>
  <si>
    <t xml:space="preserve">Faber, Daniel Benjamin</t>
  </si>
  <si>
    <t xml:space="preserve">Kaum hört Herr Pregitzer Von einem Frieden sagen, So streicht Er ohnverweilt Zur Jungfer Düringin Um Seine Liebes-Noth Derselben fürzutragen …, HBFC 6190 </t>
  </si>
  <si>
    <t xml:space="preserve">Ode auf den Frieden zwischen Rußland und Preussen</t>
  </si>
  <si>
    <t xml:space="preserve">A15C/364</t>
  </si>
  <si>
    <t xml:space="preserve">Cartheuser, Friedrich August
Winter, Johann Christian</t>
  </si>
  <si>
    <t xml:space="preserve">Frankfurt an der Oder</t>
  </si>
  <si>
    <t xml:space="preserve">Angaben zu Entstehung und Veröffentlichung fehlenauch ist die eindeutige Zuordnung des Verfassers unklar, es kann sich auch im den Vater handeln: Johann Friedrich August Cartheuser; er war seit 1758 Mitglied der preußischen Akademie der&amp;nbsp; Wissenschaften und Hochschullehrer in Frankfurt/Oder - man könnte spekulieren, dass im Rahmen von Friedensfeierlichkeiten sowohl die Akademie als auch die Hochschule eine Festveranstaltung abhielt und die Ode zu diesem Zweck geschrieben wurde; Hinweise oder Quellen auf eine solche Veranstaltung konnten bis dato nicht gefunden werden</t>
  </si>
  <si>
    <t xml:space="preserve">„Die Tochter des Olymps, die Ruhe kehrt zurück;[…]“ Olymp = Wohnort der Götter, von dort kommt die Ruhe wieder, Ruhe also durch Gott? Ruhe ist das höchste Gut (Wertschätzung der Ruhe), weil damit so viel assoziiert werden kann, was den Alltag der Menschen beeinflusst. Von der reinen Geräuschkulisse abgesehen, bedeutet es auch Ruhe im Handel, sprich die Möglichkeit wieder wirtschaftlichen Fortschritt und Zuwachs zu gestalten, Ruhe auch im alltäglichen Leben: keine Plünderung oder Einquartierung mehr von Soldaten und Söldnern, Ruhe außerdem auch Assoziation aus der christlichen Paradiesvorstellung. Ruhe außerdem als Gegenteil zu dem Lärm des Krieges (Paucken, Trompeten, die den Anmarsch der Truppen ankündigen, Geschosse, Geschrei von Angreifern und Verletzten, Chaos)Ruhe sowohl erfahrbares als auch imaginiertes Konzept von Frieden„Denn (mit Entzücken hört die Nachwelt einst den Grunddes süssen Glücks, so wir geniessen)Denn Friedrich und Peter schliessenGroßmüthig einen Friedensbund.“Hier definiert sich Ode selbst auch als Erinnerungsort, indem die politischen Taten der beiden Herrscher durch die Verehrung in der Lyrik zu Ruhm über die Generationen hinaus erfahren sollen. Auffällig hier auch die Bezeichnung Friedensbund für den Vertrag von Sankt Petersburg. Ein „Bund“ im politischen Sinne schließt immer die Übereinkunft und gleiche Zielsetzung der Beteiligten ein, was hier eine besondere Message für die anderen Kriegsteilnehmer darstellen kann. Es ist wahrscheinlich, dass dieses Narrativ aus der offiziellen Bekanntmachung entlehnt ist. In den Dichtungen zum Frieden von Sankt Petersburg kann man die Bezeichnung immer wieder finden. Auch die Definition des Bündnisses als großmütig dient der Huldigung der beiden Potentaten, wobei es die Günstlingssituation, in der sich Preußen befand nicht thematisiert. Preußen befand sich 1762 in einer prekären militärischen Lage – eingekesselt zwischen seinen Feinden. Um dieses zu verhindern, hatte Friedrich II. alles versucht. Nur der plötzliche Tod der Zarin Elisabeth I. und die damit verbundene Thronbesteigung Zar Peters III. retteten Preußen vor einer totalen Niederlage. &amp;nbsp;„Der Freundschaft heilge Glut, und göttlich hohe Lust,Oft unbekannt den Königsthronen,Und doch der schönste Schmuck der Kronen,Füllt dieser grossen Fürsten Brust.“ Auch die Bezeichnung als Freundschaft kommt häufig vor. Die Beschreibung einer politischen Beziehung mit einer auf Gefühlen basierender zwischenmenschlichen Beziehung verbirgt auch wieder die das Mächteungleichgewicht zwischen den beiden Potentaten. Gleichzeitig drückt auch dieser Ausdruck die Gemeinschaft der beiden aus, die sich von den Alliierten abgrenzt. Das Freundschaft anderen „Königsthronen“ oft unbekannt ist, kann hier weniger als eine Kritik als vielmehr als Herausstellung der besonderen menschlichen Eigenschaften der beiden Potentaten gewertet werden. Die Dichtungen gehen auf politischer Ebene eher selten soweit, dass die tatsächliche Kritik äußern. Das liegt sicherlich in erster Linie an ihrem Selbstverständnis als Kunstform, die zur Unterhaltung gedacht ist. Gleichzeitig wurde Kritik am eigenen Herrscher durch die Zensur geregelt. Kritik fremder Herrscher hingegen nutze nach meinen Einschätzungen nicht zur bloßen Diffamierung des Gegners, sondern wirkte ex negativo auf den eigenen Herrscher, da gerade die Friedensdichtungen einen starken huldigenden Kanon verfolgten. So heißt es weiter:„Nicht Weisheit nur, und Huld, und UnerschrockenheitO Friedrich! auch der Freundschaft Triebe,Und das Gefühl der MenschenliebeErwerben Dir Unsterblichkeit.&amp;nbsp;Unsterblichkeit ist eins auch Dein erhabner Lohn,Du Herrscher grenzenloser Staaten,O Peter! zu der Großmuth ThatenGebohren steigst Du auf den Thron.“&amp;nbsp;Zar Peter III. wird anschließend noch mit Peter I. verglichen. Friedrich II. und Peter III. werden als Retter Deutschlands bezeichnet. Diese Bezeichnung impliziert, dass der Frieden von Sankt Petersburg beispielhaft funktioniert und die anderen Kriegsteilnehmer sich an dem Vorbild orientieren, um Ruhe im Reich zu schaffen. Auch werden immer wieder Metaphern eingebaut, die auf einen Sieg hinweisen. Neben Lorbeeren auch Palmen und der Ölbaum. Diese antiken Bilder verweisen alle auf den Sieg. Gemeint sein könnte der Sieg über den Krieg? Die letzte Strophe verweist auf die Position Habsburgs. Um Europa wieder zu befrieden, muss der Kaiser dem Bündnis beitreten. Ein Jahr nach dem Frieden von Sankt Petersburg wurde dann tatsächlich mit dem Friedensvertrag von Hubertusburg der Siebenjährige Krieg beendet. Dass Europa sich mit dem Ölbaum schmücken wird, verweist auf eine politische Idee Europas , die sich langsam herausbildete im 18. Jahrhundert. Damit geht der Wunsch (vom Verfasser?) einher, die Einzelstaatlichkeit zu Gunsten einer europäischen Einheit zu überwinden. Das meint nicht die Auflösung der einzelnen Staaten des Reichs, sondern die Besinnung auf die Gleichgewichtspolitik in Europa, die für einen bestehenden Frieden unablässig ist, wie es auch in der politischen Theorie und Staatskunde Konsens war.„Bald wird durch Euch versöhnt Europa sorgenfreiSich mit des Oelbaums Zweigen schmücken; Bald tritt mit lächelnd holden BlickenAuch Habsburg Eurem Bündniß bei.“ &amp;nbsp;</t>
  </si>
  <si>
    <t xml:space="preserve">Ode auf den Frieden zwischen Rußland und Preussen, A15C/364</t>
  </si>
  <si>
    <t xml:space="preserve">Das Glück Teutschlandes aus dem Westphälischen Frieden </t>
  </si>
  <si>
    <t xml:space="preserve">D.D.qt.123</t>
  </si>
  <si>
    <t xml:space="preserve">Consbruch, Florens Arnold
Schill, Johann Friedrich</t>
  </si>
  <si>
    <t xml:space="preserve">besungen durch Florens Arnold Consbruch aus Münden in Westphalen, der Rechtsgelahrtheit Beflissenen </t>
  </si>
  <si>
    <t xml:space="preserve">http://friedensbilder.gnm.de/sites/default/files/Das Gl++ck Teutschlandes _Titelblatt_D.D.qt_.123.tif</t>
  </si>
  <si>
    <t xml:space="preserve">Anlässlich des Hundertjährigen Jubiläums des Nürnberger Exekutionstages verfasste Florens Arnold Consbruch (1729–1784) seine Ode, in der er den Westfälischen Frieden und die Nürnberger Vertragsbestimmungen als eine Art Befreiung des Protestantismus beschreibt. Die Umstände der Veröffentlichung bleiben unklar, Hinweise auf etwaige Feierlichkeiten lassen sich weder im Text noch im Titel finden.„Das Glück Teutschlands aus dem Westfälischen Frieden“, wie es im Titel heißt, liegt für Consbruch in der Manifestierung der protestantischen Konfession im Reich. Er schildert die Situation der Kirche vor Ausbruch des Dreißigjährigen Krieges und den Kriegsverlauf, wobei er dabei lediglich Ereignisse anspricht, die vor allem für die protestantische Seite von Bedeutung waren, wie die Zerstörung Magdeburgs durch Tilly 1631 und den Kriegseintritt Schwedens mit Gustav Adolf (1594–1632) als Retter der Protestanten. Anschließend würdigt er den Westfälischen Frieden und stellt vor allem seine Paritätsbestimmung heraus. Zur Rückkopplung an aktuelle Ereignisse dient ihm ein Hinweis auf den Frieden von Aachen 1748.&amp;nbsp;FB</t>
  </si>
  <si>
    <t xml:space="preserve">Das Glück Teutschlandes aus dem Westphälischen Frieden, D.D.qt.123</t>
  </si>
  <si>
    <t xml:space="preserve">https://friedensbilder-neu.gnm.de/sites/default/files/2019-06/D-D.png</t>
  </si>
  <si>
    <t xml:space="preserve">Das Glück Teutschlandes aus dem Westphälischen Frieden</t>
  </si>
  <si>
    <t xml:space="preserve">Den zwischen der Allerdurchlauchigsten, Großmächtigsten und Unüberwindlichsten Großen Fraun und Kayserin Anna Joannowna, Selbstherrscherin des ganzen Rußlandes, etc. und der Ottomannischen Pforte geschlossenen Frieden besinget </t>
  </si>
  <si>
    <t xml:space="preserve">Div.G.fol.304</t>
  </si>
  <si>
    <t xml:space="preserve">Machnitzky, Carl Siegmund</t>
  </si>
  <si>
    <t xml:space="preserve">Kaiserliche  Akademie der Wissenschaften</t>
  </si>
  <si>
    <t xml:space="preserve">allerunthertänigst</t>
  </si>
  <si>
    <t xml:space="preserve">Den zwischen der Allerdurchlauchigsten, Großmächtigsten und Unüberwindlichsten Großen Fraun und Kayserin Anna Joannowna, Selbstherrscherin des ganzen Rußlandes, etc. und der Ottomannischen Pforte geschlossenen Frieden besinget , Div.G.fol.304</t>
  </si>
  <si>
    <t xml:space="preserve">Der Friede aus der Hand Georgs des Andern</t>
  </si>
  <si>
    <t xml:space="preserve">4" Yl 521</t>
  </si>
  <si>
    <t xml:space="preserve">Hornbostel, Gerhard Christian Otto
Hager, Johann Friedrich</t>
  </si>
  <si>
    <t xml:space="preserve">http://digital.staatsbibliothek-berlin.de/werkansicht?PPN=PPN734375980&amp;PHYSID=PHYS_0001&amp;DMDID=&amp;view=picture-toolbox</t>
  </si>
  <si>
    <t xml:space="preserve">29 S.</t>
  </si>
  <si>
    <t xml:space="preserve">Im Namen der Königlichen Deutschen Gesellschaft in Göttingen bei feierlicher Begehung ihres Stiftungsfestes den 13ten Hornung 1749. öffentlich besungen</t>
  </si>
  <si>
    <t xml:space="preserve">http://friedensbilder.gnm.de/sites/default/files/YI 521 Titelblatt Dummy.jpeg</t>
  </si>
  <si>
    <t xml:space="preserve">Für das Stiftungsfest der Königlichen Deutschen Gesellschaft Göttingen am 13. Februar 1749 verfasste Gerhard Christian Otto Hornbostel eine panegyrische Ode auf Georg II. von Großbritannien (1683–1760). Dieser regierte in Personalunion Großbritannien mit Irland und das Kurfürstentum Braunschweig-Lüneburg. Thematisch nimmt Hornbostel in seiner Ode Bezug auf den kürzlich geschlossenen Frieden von Aachen, welcher den Österreichischen Erbfolgekrieg beendete. Hornbostel spricht von einer europäischen Friedenssehnsucht und beschreibt poetisch die Vorgeschichte des Österreichischen Erbfolgekrieges. Dabei wird vor allem der Gegenspieler Frankreich denunziert: „Die kleine Welt, wo Ludewig sein stolzes Wohnhaus aufgerichtet, und kühn auf seine Macht und sich Befehle für die Welt erdichtet […]“, heißt es unter anderem im Text. Mit dem Tod Kaiser Karls VI. (1685–1740) und der Inkraftsetzung der Pragmatischen Sanktion, die zur Folge hatte, das Karls Tochter Maria Theresia (1717–1780) die Kaiserkrone erben sollte, begann der Österreichische Erbfolgekrieg. Hornbostel macht in seiner Ode vor allem Frankreich als intervenierende Kraft im europäischen Gleichgewicht aus. In mehreren Strophen beschreibt er ausführlich die Kriegsfolgen für die Zivilbevölkerung. Deren Kriegsmüdigkeit bringt er durch die Anrufung Gottes, Frieden zu stiften, zum Ausdruck. Wird in älteren Dichtungen Gott selbst als Friedensstifter hervorgehoben, so wird er bei Hornbostel nur mittelbar tätig. Gott beauftragt seinen „Knecht“ Georg II., Frieden zu schaffen. Der Autor beschreibt den Potentaten als gottgleich, großmütig und gnädig, mit einem „sanften Herz“ und betont „gezwungen schlägt sein Arm den Feind“. Georg „führt der Welt den Frieden zu“. Vor diesem Hintergrund reflektiert Hornbostel seine eigene Rolle und die aller Poeten, wenn er schreibt: „O! Held, ein Dichter muß von Dir in dauerhaftern Liedern singen.“ Der Ruhm Georgs II. soll mit Hilfe der Dichtkunst über Generationen weitergetragen werden. Einer Friedensdichtung entsprechend beschreibt Hornbostel abschließend die künftige Friedenszeit und schreibt Georg II. dabei die Rolle des Friedenswahrers zu.
FB
</t>
  </si>
  <si>
    <t xml:space="preserve">Der Friede aus der Hand Georgs des Andern, 4" Yl 521</t>
  </si>
  <si>
    <t xml:space="preserve">https://friedensbilder-neu.gnm.de/sites/default/files/2019-06/4_YI_521.png</t>
  </si>
  <si>
    <t xml:space="preserve">http://friedensbilder.gnm.de/content/frieden_foto_order1c4343</t>
  </si>
  <si>
    <t xml:space="preserve">Rede und Ode auf den zwischen den hohen Hoefen Berlin und Petersburg anno 1762. gluecklich geschlossenen Frieden abgelesen in dem Groeningischen illustren Collegio zu Stargard auf der Ihna</t>
  </si>
  <si>
    <t xml:space="preserve">Film R 2001.281,KPA-1374</t>
  </si>
  <si>
    <t xml:space="preserve">Tiefensee, Samuel
Kunst, Johann Ludwig</t>
  </si>
  <si>
    <t xml:space="preserve">Starogard</t>
  </si>
  <si>
    <t xml:space="preserve">Flugschr. 1762/5</t>
  </si>
  <si>
    <t xml:space="preserve">Kriegsverlust</t>
  </si>
  <si>
    <t xml:space="preserve">Der Fotonachweis ist so nicht korrekt. Die Abbildung haben wir von der BSB München, die uns aber nicht die Veröffentlichungsrechte geben kann, weil sie die Quelle nur als Mikrofilm haben und das Original der Pommerschen Bibliothek in Szcecin gehört. Die haben das Werk auch digitalsiert und als "public domain" gekennzeichnet online gestellt. Die Veröffentlichungsrechte liegen also vor, das "polnische" Digitalisat hat jedoch ein ungenügendes Format, weswegen ich die Abbildung vom Mikrofilm nehmen würde. Wie soll der Nachweis nun angelegt werden?&amp;nbsp;
</t>
  </si>
  <si>
    <t xml:space="preserve">http://friedensbilder.gnm.de/sites/default/files/Bauer0079.tif</t>
  </si>
  <si>
    <t xml:space="preserve">Ode auf den Frieden (Gräbenitz) entfernen, eigenes Objekt dafür anlegen&amp;nbsp;
</t>
  </si>
  <si>
    <t xml:space="preserve">Das Gröningsche Kolleg in Stargard feierte anlässlich des Friedens von St. Petersburg zwischen Preußen und Russland am 4. August 1762 ein Friedensfest. Der Lehrer Samuel Tiefensee (1722–1810) veröffentlichte nachträglich seine an diesem Tag vorgetragene Rede inklusive einer kleinen Dichtung und einer kurzen Rede, die der Schüler Carl Wilhelm Schulz im Rahmen des Festprogramms gehalten hatte. Ob die Beiträge in der Reihenfolge ihres Vortrages bei der Feier in dem Druck angeordnet sind, lässt sich nicht erkennen. Am Anfang steht eine Vorrede von Tiefensee, in der er sich beim Publikum für das zahlreiche Erscheinen bedankt und das Fest mit einem Bibelzitat einleitet: „Das Volk das im finstern saß, siehet ein großes Licht.“(Jes 9,1 bzw. Mt 4,16)In seiner folgenden Hauptrede verteidigt der Autor die Kriege Friedrichs II. (1712–1786) und huldigt dem Landesvater für seine Verdienste. Anschließend drückt er seine Freude über den neuen Frieden in einem kurzen Gedicht aus und schreibt, dass „nach Blitz und Sturm die sanfte Sonne“ wieder scheinen werde und „der Landmann klagt nicht mehr die schöne Saat, der fremder Sichel Raub gedrohet hat“. Auch der Schüler Schulz bezieht Naturmetaphorik in seine kurze Rede ein, um den Frieden und seine Auswirkungen zu verdeutlichen. So spricht er über die „grüne[n] Felder“ in der Friedenszeit und die wärmende „Sonne des Friedens“, die wieder aufgeht. Und bereits im ersten Satz seiner Ansprache festigt und begründet er den Kontrast zwischen Krieg und Frieden, der vielfach in den Friedensdichtungen so gezeichnet wird: „Niemahls würde der Frühling die Schönheiten der schöpfferischen Natur in unsern Augen so lebhaft mahlen und empfinden lassen, wenn wir nicht vorhero die Unbequemlichkeiten des rauhen Winters erfahren hätten.“&amp;nbsp;FB</t>
  </si>
  <si>
    <t xml:space="preserve">Rede und Ode auf den zwischen den hohen Hoefen Berlin und Petersburg anno 1762. gluecklich geschlossenen Frieden abgelesen in dem Groeningischen illustren Collegio zu Stargard auf der Ihna, Film R 2001.281,KPA-1374
Rede, welche Carl Wilhelm Schulz aus Wutzig selbst verfertiget und mit Beyfall gehalten., Film R 2001.281,KPA-1374</t>
  </si>
  <si>
    <t xml:space="preserve">https://friedensbilder-neu.gnm.de/sites/default/files/2019-06/Film-R-2001_0.png</t>
  </si>
  <si>
    <t xml:space="preserve">Rede und Ode auf den zwischen den hohen Hoefen Berlin und Petersburg anno 1762. gluecklich geschlossenen Frieden abgelesen in dem Groeningischen illustren Collegio zu Stargard auf der Ihna
Rede, welche Carl Wilhelm Schulz aus Wutzig selbst verfertiget und mit Beyfall gehalten.</t>
  </si>
  <si>
    <t xml:space="preserve">http://friedensbilder.gnm.de/content/frieden_foto_order1b3b7e</t>
  </si>
  <si>
    <t xml:space="preserve">Antigona delusa da Alceste. Dramma per musica</t>
  </si>
  <si>
    <t xml:space="preserve">Contarini It. IV, 389 (=9913)</t>
  </si>
  <si>
    <t xml:space="preserve">https://opac.rism.info/search?id=850004075</t>
  </si>
  <si>
    <t xml:space="preserve">http://www.internetculturale.it/jmms/iccuviewer/iccu.jsp?id=oai%3A193.206.197.121%3A18%3AVE0049%3AARM0008760&amp;mode=all&amp;teca=marciana</t>
  </si>
  <si>
    <t xml:space="preserve">Antigona delusa da Alceste, Contarini It. IV, 389 (=9913)</t>
  </si>
  <si>
    <t xml:space="preserve">Antigona delusa da Alceste</t>
  </si>
  <si>
    <t xml:space="preserve">http://friedensbilder.gnm.de/content/frieden_objectff2b6</t>
  </si>
  <si>
    <t xml:space="preserve">Prologo</t>
  </si>
  <si>
    <t xml:space="preserve">Contarini It. IV, 389 (=9913), 1</t>
  </si>
  <si>
    <t xml:space="preserve">Miller 1998</t>
  </si>
  <si>
    <t xml:space="preserve">Prologo, Contarini It. IV, 389 (=9913), 1</t>
  </si>
  <si>
    <t xml:space="preserve">Gedichte.</t>
  </si>
  <si>
    <t xml:space="preserve">Schubart, Christian Friedrich Daniel
Härtling, Peter</t>
  </si>
  <si>
    <t xml:space="preserve">Hamburg
Frankfurt am Main</t>
  </si>
  <si>
    <t xml:space="preserve">119 S.</t>
  </si>
  <si>
    <t xml:space="preserve">Christian Friedrich Daniel Schubart</t>
  </si>
  <si>
    <t xml:space="preserve">http://friedensbilder.gnm.de/content/frieden_objectff587</t>
  </si>
  <si>
    <t xml:space="preserve">47.4126 (1)</t>
  </si>
  <si>
    <t xml:space="preserve">Schubart, Christian Friedrich Daniel</t>
  </si>
  <si>
    <t xml:space="preserve">An den Frieden, 47.4126 (1)</t>
  </si>
  <si>
    <t xml:space="preserve">Christian Friedrich Daniel Schubarts sämmtliche Gedichte</t>
  </si>
  <si>
    <t xml:space="preserve">Wi 81:4</t>
  </si>
  <si>
    <t xml:space="preserve">Schubart, Christian Friedrich Daniel
Scheible, Johann</t>
  </si>
  <si>
    <t xml:space="preserve">Christian Friedrich Daniel Schubart's, des Patrioten, gesammelte Schriften und Schicksale</t>
  </si>
  <si>
    <t xml:space="preserve">197858872 </t>
  </si>
  <si>
    <t xml:space="preserve">http://friedensbilder.gnm.de/content/frieden_objectff6a9</t>
  </si>
  <si>
    <t xml:space="preserve">Wi 81:4 (1)</t>
  </si>
  <si>
    <t xml:space="preserve">3 S.</t>
  </si>
  <si>
    <t xml:space="preserve">An den Frieden, Wi 81:4 (1)</t>
  </si>
  <si>
    <t xml:space="preserve">L'Antigona delusa da Alceste. </t>
  </si>
  <si>
    <t xml:space="preserve">Corniai Algarotti Racc.Dramm.744</t>
  </si>
  <si>
    <t xml:space="preserve">Batti, Giacomo</t>
  </si>
  <si>
    <t xml:space="preserve">Appresso Giacomo Batti in Frezzaria</t>
  </si>
  <si>
    <t xml:space="preserve">http://www.urfm.braidense.it/rd/00744.pdf</t>
  </si>
  <si>
    <t xml:space="preserve">Dramma per musica di Aurelio Aureli. Favola settima</t>
  </si>
  <si>
    <t xml:space="preserve">L'Antigona delusa da Alceste., Corniai Algarotti Racc.Dramm.744</t>
  </si>
  <si>
    <t xml:space="preserve">L'Antigona delusa da Alceste.</t>
  </si>
  <si>
    <t xml:space="preserve">http://friedensbilder.gnm.de/content/frieden_objectffbd6</t>
  </si>
  <si>
    <t xml:space="preserve">Prologo.</t>
  </si>
  <si>
    <t xml:space="preserve">Corniai Algarotti Racc.Dramm.744, 1</t>
  </si>
  <si>
    <t xml:space="preserve">Prologo, Corniai Algarotti Racc.Dramm.744, 1</t>
  </si>
  <si>
    <t xml:space="preserve">Der geharnischte Friede</t>
  </si>
  <si>
    <t xml:space="preserve">GE 44-0110:113 (5)</t>
  </si>
  <si>
    <t xml:space="preserve">Der geharnischte Friede, GE 44-0110:113 (5)</t>
  </si>
  <si>
    <t xml:space="preserve">Friedens-Krieg</t>
  </si>
  <si>
    <t xml:space="preserve">GE 44-0110:113 (6)</t>
  </si>
  <si>
    <t xml:space="preserve">Begonnen </t>
  </si>
  <si>
    <t xml:space="preserve">Friedens-Krieg, GE 44-0110:113 (6)</t>
  </si>
  <si>
    <t xml:space="preserve">Friede ist das beste</t>
  </si>
  <si>
    <t xml:space="preserve">GE 44-0110:113 (7)</t>
  </si>
  <si>
    <t xml:space="preserve">Friede ist das beste, GE 44-0110:113 (7)</t>
  </si>
  <si>
    <t xml:space="preserve">Friede</t>
  </si>
  <si>
    <t xml:space="preserve">GE 44-0110:113 (8)</t>
  </si>
  <si>
    <t xml:space="preserve">Friede, GE 44-0110:113 (8)</t>
  </si>
  <si>
    <t xml:space="preserve">GE 44-0110:113 (9)</t>
  </si>
  <si>
    <t xml:space="preserve">Der Friede, GE 44-0110:113 (9)</t>
  </si>
  <si>
    <t xml:space="preserve">Friede und Ruhe</t>
  </si>
  <si>
    <t xml:space="preserve">GE 44-0110:113 (10)</t>
  </si>
  <si>
    <t xml:space="preserve">Friede und Ruhe, GE 44-0110:113 (10)</t>
  </si>
  <si>
    <t xml:space="preserve">Der ietige Friede</t>
  </si>
  <si>
    <t xml:space="preserve">GE 44-0110:113 (11)</t>
  </si>
  <si>
    <t xml:space="preserve">Der ietzige Friede, GE 44-0110:113 (11)</t>
  </si>
  <si>
    <t xml:space="preserve">Der ietzige Friede</t>
  </si>
  <si>
    <t xml:space="preserve">GE 44-0110:113 (12)</t>
  </si>
  <si>
    <t xml:space="preserve">Der ietzige Friede, GE 44-0110:113 (12)</t>
  </si>
  <si>
    <t xml:space="preserve">GE 44-0110:113 (13)</t>
  </si>
  <si>
    <t xml:space="preserve">um 1648</t>
  </si>
  <si>
    <t xml:space="preserve">Der Friede, GE 44-0110:113 (13)</t>
  </si>
  <si>
    <t xml:space="preserve">Krieg und Friede</t>
  </si>
  <si>
    <t xml:space="preserve">GE 44-0110:113 (14)</t>
  </si>
  <si>
    <t xml:space="preserve">Krieg und Friede, GE 44-0110:113 (14)</t>
  </si>
  <si>
    <t xml:space="preserve">Der angehende Friede</t>
  </si>
  <si>
    <t xml:space="preserve">GE 44-0110:113 (15)</t>
  </si>
  <si>
    <t xml:space="preserve">Der angehende Friede, GE 44-0110:113 (15)</t>
  </si>
  <si>
    <t xml:space="preserve">GE 44-0110:113 (16)</t>
  </si>
  <si>
    <t xml:space="preserve">Der Friede, GE 44-0110:113 (16)</t>
  </si>
  <si>
    <t xml:space="preserve">Genieß-Leute deß Friedens</t>
  </si>
  <si>
    <t xml:space="preserve">GE 44-0110:113 (17)</t>
  </si>
  <si>
    <t xml:space="preserve">Genieß-Leute deß Friedens, GE 44-0110:113 (17)</t>
  </si>
  <si>
    <t xml:space="preserve">Von der vormaligen Abbildung des Friedens bey den Griechen und Römern, handelte bey Gelegenheit der öffentlichen feierlichen Bekanntmachung des zwischen den hohen Höfen Berlin und Petersburg glücklich geschlossenen Friedens</t>
  </si>
  <si>
    <t xml:space="preserve">Film R 2001.281,NWA-1436</t>
  </si>
  <si>
    <t xml:space="preserve">Drucker
Verfasser </t>
  </si>
  <si>
    <t xml:space="preserve">Kunst, Johann Ludwig
Tiefensee, Samuel</t>
  </si>
  <si>
    <t xml:space="preserve">und lud dadurch zu der am 4ten August Vormittage um 10 Uhr in den Gröningischen illustren Collegio anzustellenden feierlichen Begehung des Friedensfestes geziemend ein M.Samuel Tieffensee des gedachten Collegii Rector und Königlicher Professor</t>
  </si>
  <si>
    <t xml:space="preserve">Von der vormaligen Abbildung des Friedens bey den Griechen und Römern, handelte bey Gelegenheit der öffentlichen feierlichen Bekanntmachung des zwischen den hohen Höfen Berlin und Petersburg glücklich geschlossenen Friedens, Film R 2001.281,NWA-1436</t>
  </si>
  <si>
    <t xml:space="preserve">Vorstellung deß Rath-Hauses zu Utrecht, worinnen die Friedens-Conferenzien tractiret worden</t>
  </si>
  <si>
    <t xml:space="preserve">HB 6381, Kapsel 1220</t>
  </si>
  <si>
    <t xml:space="preserve">17,7 x 27,6 </t>
  </si>
  <si>
    <t xml:space="preserve">Insbesondere seit den großen Friedenskongressen in Nimwegen, Rijswijk und Utrecht zeigten Friedensallegorien häufig auch den Verhandlungsort (vgl.&amp;nbsp;NG-VG-1-1769). Die Ansicht des Utrechter Rathauses mit dem Dom im Hintergrund spiegelt das aufwendige diplomatische Zeremoniell wider, das die kleine niederländische Stadt vor einen großen organisatorischen Aufwand stellte. So musste eine neue Eingangssituation geschaffen werden, um einen getrennten Gebäudezugang für die Gesandten Frankreichs und der Allianz zu ermöglichen.[fn]Weiterführende Literatur dazu bei Onnekink 2013, S. 63–65. – Reolofsen 1999, S. 115–116. – Freschot 1716, S. 246.[/fn]Bei den Kongressen in Nimwegen und Rijswijk hatte man Kongressvorsitzende abgestellt, die sich ausschließlich um Fragen des Zeremoniells kümmerten. In Utrecht lag diese Zuständigkeit beim städtischen Rat, dessen Urteile nicht selten im Interesse der wohlhabenden Bürgerschicht erfolgten.ALS</t>
  </si>
  <si>
    <t xml:space="preserve">1. Die Alte Thüre und Eingang der Alliirten.2. Neue Thüre oder Eingang der Franzosen.3 Thüre auf der seite gegen die Straße.4. Der CanalMATW</t>
  </si>
  <si>
    <t xml:space="preserve">http://friedensbilder.gnm.de/sites/default/files/HB6381.tif</t>
  </si>
  <si>
    <t xml:space="preserve">Vorstellung deß Rath-Hauses zu Utrecht, worinnen die Friedens-Conferenzien tractiret worden, HB 6381, Kapsel 1220</t>
  </si>
  <si>
    <t xml:space="preserve">http://friedensbilder.gnm.de/content/frieden_foto_order204daa</t>
  </si>
  <si>
    <t xml:space="preserve">Archiv der Gesellschaft der Musikfreunde</t>
  </si>
  <si>
    <t xml:space="preserve">A 400 (4)</t>
  </si>
  <si>
    <t xml:space="preserve">Autograph</t>
  </si>
  <si>
    <t xml:space="preserve">Caldara, Antonio</t>
  </si>
  <si>
    <t xml:space="preserve">Pelliccia 2018
Kirkendale 1964
Boschung 2014</t>
  </si>
  <si>
    <t xml:space="preserve">S. 221–233
S. 89–120</t>
  </si>
  <si>
    <t xml:space="preserve">http://cantataitaliana.it/query_bid.php?id=5703</t>
  </si>
  <si>
    <t xml:space="preserve">Amarilli Vezzosa, A 400 (4)</t>
  </si>
  <si>
    <t xml:space="preserve">Amarilli Vezzosa</t>
  </si>
  <si>
    <t xml:space="preserve">Von dem Friedensstabe bey den Alten, handelte bey Gelegenheit der Feyer des den Koenigl. Preuss. Landen am 15ten Hornung 1763 durch Gottes Gnade wiederhergestelten Friedens, welche in der Stagardischen Stadt- Schule den 22ten Maerz ... mit dreyen gehaltenen Reden angestellet wurde und zu welcher alle hohe, vornehme und geehrtesten Goenner mit gebuehrender Hochachtung einlud M. Samuel Tieffensee, gedachter Schule- Rector.</t>
  </si>
  <si>
    <t xml:space="preserve">Film R 2001.281,NWA-1436#ab Bildnr. 215</t>
  </si>
  <si>
    <t xml:space="preserve">Von dem Friedensstabe bey den Alten, Film R 2001.281,NWA-1436#ab Bildnr. 215</t>
  </si>
  <si>
    <t xml:space="preserve">Von dem Friedensstabe bey den Alten</t>
  </si>
  <si>
    <t xml:space="preserve">Notte cara e bramata</t>
  </si>
  <si>
    <t xml:space="preserve">Biblioteca Nacional de Madrid</t>
  </si>
  <si>
    <t xml:space="preserve">Madrid</t>
  </si>
  <si>
    <t xml:space="preserve">M/2246 (32) (1)</t>
  </si>
  <si>
    <t xml:space="preserve">Komponist
Verfasser</t>
  </si>
  <si>
    <t xml:space="preserve">Scarlatti, Alessandro
Aureli, Aurelio</t>
  </si>
  <si>
    <t xml:space="preserve">http://cantataitaliana.it/query_bid.php?id=5148</t>
  </si>
  <si>
    <t xml:space="preserve">http://bdh-rd.bne.es/viewer.vm?pid=d-2682169</t>
  </si>
  <si>
    <t xml:space="preserve">Aria</t>
  </si>
  <si>
    <t xml:space="preserve">Massimo Puppieno</t>
  </si>
  <si>
    <t xml:space="preserve">Notte cara e bramata, M/2246 (32) (1)</t>
  </si>
  <si>
    <t xml:space="preserve">M/2246 (32)</t>
  </si>
  <si>
    <t xml:space="preserve">http://friedensbilder.gnm.de/content/frieden_object1008d1</t>
  </si>
  <si>
    <t xml:space="preserve">Von dem Janus-Tempel bey den Roemern handelte bey Gelegenheit der freudenvollen Feyer des den 15ten Hornung dieses 1763. Jahres zu Hubertsburg gluecklich geschlossen Friedens, und lud zu den in dem illustern Groeningischen Collegio den 21ten Maerz vormittage um 10. Uhr zu haltenden Reden alle hohe vornehme... Goenner gehorsamst ein M. Samuel Tieffensee Rector und Koeniglicher Professor </t>
  </si>
  <si>
    <t xml:space="preserve">Film R 2001.281,KPA-1374#ab Bildnr. 325</t>
  </si>
  <si>
    <t xml:space="preserve">Von dem Janus-Tempel bey den Roemern, Film R 2001.281,KPA-1374#ab Bildnr. 325</t>
  </si>
  <si>
    <t xml:space="preserve">Von dem Janus-Tempel bey den Roemern</t>
  </si>
  <si>
    <t xml:space="preserve">SANT Hs 759</t>
  </si>
  <si>
    <t xml:space="preserve">Abschreiber</t>
  </si>
  <si>
    <t xml:space="preserve">Lanciani, Francesco Antonio</t>
  </si>
  <si>
    <t xml:space="preserve">https://opac.rism.info/search?id=451013042</t>
  </si>
  <si>
    <t xml:space="preserve">Amarilli Vezzosa. , SANT Hs 759</t>
  </si>
  <si>
    <t xml:space="preserve">Amarilli Vezzosa. </t>
  </si>
  <si>
    <t xml:space="preserve">Libretto (HS)      </t>
  </si>
  <si>
    <t xml:space="preserve">Archivio Borromeo Isola Bella</t>
  </si>
  <si>
    <t xml:space="preserve">Isola Bella </t>
  </si>
  <si>
    <t xml:space="preserve">ABIB, Fam. Borromeo, Carlo VI Borromeo Arese, Cariche, Viceré di Napoli, 4.11.1712</t>
  </si>
  <si>
    <t xml:space="preserve">Ordinata da S. Ecc.za Sig.r Viceré di Napoli Conte Carlo Borromei. Per il glorioso nome dell’Imperatore, e Re, nostro Signore Carlo d’Austria</t>
  </si>
  <si>
    <t xml:space="preserve">Ode auf den zu Hubertsburg den 15ten February 1763. glueklich geschlossenen Frieden</t>
  </si>
  <si>
    <t xml:space="preserve">Film R 2001.281,KPA-1374#ab Bildnr. 292</t>
  </si>
  <si>
    <t xml:space="preserve">Sperling, Samuel Gottfried
Kunst, Johann Ludwig</t>
  </si>
  <si>
    <t xml:space="preserve">Yl 6669 (4)</t>
  </si>
  <si>
    <t xml:space="preserve">kriegsverlust</t>
  </si>
  <si>
    <t xml:space="preserve">Ode auf den zu Hubertsburg den 15ten February 1763. glueklich geschlossenen Frieden, Film R 2001.281,KPA-1374#ab Bildnr. 292</t>
  </si>
  <si>
    <t xml:space="preserve">Des Jesaias Romplers von Löwenhalt erstes Gebüsch seiner Reim-Getichte</t>
  </si>
  <si>
    <t xml:space="preserve">GE 44-0140:2,38</t>
  </si>
  <si>
    <t xml:space="preserve">Kühlmann, Wilhelm
Schäfer, Walter Ernst
Rompler von Löwenhalt, Jesaias
</t>
  </si>
  <si>
    <t xml:space="preserve">3:608145Z</t>
  </si>
  <si>
    <t xml:space="preserve">117 S.</t>
  </si>
  <si>
    <t xml:space="preserve">Friedenshoffnung bey Nochschwebener Handlung zu Münster und Oßnabruck, GE 44-0140:2,38
Friedenshoffnung bey Nochschwebener Handlung zu Münster und Oßnabruck, GE 44-0140:2,38
Friedenshoffnung bey noch schwebender Handlung zu Münster und Oßnabruck, GE 44-0140:2,38</t>
  </si>
  <si>
    <t xml:space="preserve">Friedenshoffnung bey Nochschwebener Handlung zu Münster und Oßnabruck
Friedenshoffnung bey Nochschwebener Handlung zu Münster und Oßnabruck
Friedenshoffnung bey noch schwebender Handlung zu Münster und Oßnabruck</t>
  </si>
  <si>
    <t xml:space="preserve">http://friedensbilder.gnm.de/content/frieden_object10143d</t>
  </si>
  <si>
    <t xml:space="preserve">Friedenshoffnung bey noch schwebender Handlung zu Münster und Oßnabruck</t>
  </si>
  <si>
    <t xml:space="preserve">Böttcher 1984</t>
  </si>
  <si>
    <t xml:space="preserve">234-235</t>
  </si>
  <si>
    <t xml:space="preserve">Der Kriegsmann wil ein Schäfer werden</t>
  </si>
  <si>
    <t xml:space="preserve">Das Gedicht wurde mit zwei unterschiedlichen Titeln überliefert:&amp;nbsp;Friedenshoffnung bey noch schwebender Handlung zu Münster und OßnabruckFriedens-Hoffung bey bevorstehender Handlung zu Münster und Oßnabrück</t>
  </si>
  <si>
    <t xml:space="preserve">http://friedensbilder.gnm.de/sites/default/files/Harsdörffer.pdf</t>
  </si>
  <si>
    <t xml:space="preserve">Ode auf den in Breßlau 1742 den 11 Junii geschlossenen Frieden</t>
  </si>
  <si>
    <t xml:space="preserve">8 P GERM I, 6478 (1)</t>
  </si>
  <si>
    <t xml:space="preserve">Fabricius, Johann Andreas
Keitel, Arnold Jacob</t>
  </si>
  <si>
    <t xml:space="preserve">den 1 Aug. 1742 in der Catharinenschule zu Braunschweig öffentlich verlesen </t>
  </si>
  <si>
    <t xml:space="preserve">http://friedensbilder.gnm.de/sites/default/files/8 P GERM I, 6478 (1).jpg</t>
  </si>
  <si>
    <t xml:space="preserve">Am 1. August 1742 wurde an der Katharinenschule in Braunschweig feierlich der Geburtstag Karls I. von Braunschweig-Wolfenbüttel (1713–1780) begangen. Zu diesem Anlass verfasste der damalige Rektor des Gymnasiums, Johann Andreas Fabricius (1696–1769), eine Ode, die sich auf den kürzlich geschlossenen Frieden von Breslau bezieht. Der sogenannte Vorfriede beendete den Ersten Schlesischen Krieg zwischen Preußen und Österreich und war durch die Vermittlung des Briten Lord Hyndford zustande gekommen. Dieser Umstand und die Tatsache, dass das Kurfürstentum Hannover in Personalunion mit Großbritannien und Irland von Georg II. (1683–1760) regiert wurde, sind die Gründe, warum der Text sowohl dem britischen König als auch Karl I. von Braunschweig-Wolfenbüttel huldigt.Nach einer poetischen Erörterung des Krieges und seiner Folgen lässt der Verfasser Georg II. als Akteur in Erscheinung treten. Er vergleicht den britischen König mit Herkules und schreibt weiter: „Der tapfre Held, der Engel unsrer Teutschen welt, Georg der Britten weiser König.“ Das Verdienst des Potentaten wird so hoch eingeschätzt, dass man Georgs Name bereits „in Erz und Marmor hauet, und dem die gegenwärtge Zeit schon Tempel und Altäre bauet!“ Georg II. ist der „Friedensbringer“. Demgegenüber wird Frankreich als „Friedensstörer“ beschrieben. Auf den Vertrag von Breslau wird nicht dezidiert eingegangen, ebenso wenig auf die Vertragspartner Preußen und Österreich. Vielmehr wird Frankreich als Feind deklariert, von dem eine vermeintliche Gefahr für das Vaterland ausging, bis Georg II. als Retter und Garant des Friedens auftrat: „Georg, der klüglich tag und nacht vor Teutsche wie vor Britten wacht, zerbracht die uns gedrohten ketten.“ Die vermeintlichen Verdienste Georgs rechtfertigen die Fokussierung auf seine Person in der Ode anlässlich des fürstlichen Geburtstags, denn „so freuet sich das Hohe Haus der weltgeprießnen Grossen Welfen“. Abschließend wird daher auch Karl I. gehuldigt und die Verbindung des Fürstentums Braunschweig-Wolfenbüttel zum Haus Braunschweig-Lüneburg betont.&amp;nbsp;FB</t>
  </si>
  <si>
    <t xml:space="preserve">Ode auf den in Breßlau 1742 den 11 Junii geschlossenen Frieden, 8 P GERM I, 6478 (1)
Singgedicht, 8 P GERM I, 6478 (1)</t>
  </si>
  <si>
    <t xml:space="preserve">https://friedensbilder-neu.gnm.de/sites/default/files/2019-06/8_P_GERM_I_6478_1_0.png</t>
  </si>
  <si>
    <t xml:space="preserve">Ode auf den in Breßlau 1742 den 11 Junii geschlossenen Frieden
Singgedicht</t>
  </si>
  <si>
    <t xml:space="preserve">http://friedensbilder.gnm.de/content/frieden_foto_order1b3b7a</t>
  </si>
  <si>
    <t xml:space="preserve">Daß durch den zu Aachen den 18. Octobr 1748 glücklich geschlossenen General-Definitiv-Fridens-Tractat und dardurch hergestellte allgemeine Ruhe höchst erfreute Land und Reich</t>
  </si>
  <si>
    <t xml:space="preserve">DD97 D 21</t>
  </si>
  <si>
    <t xml:space="preserve">Daß durch den zu Aachen den 18. Octobr 1748 glücklich geschlossenen General-Definitiv-Fridens-Tractat und dardurch hergestellte allgemeine Ruhe höchst erfreute Land und Reich, DD97 D 21</t>
  </si>
  <si>
    <t xml:space="preserve">Christliche Weinacht-Frewde Und Hertzlicher Friedes-Wunsch :</t>
  </si>
  <si>
    <t xml:space="preserve">Xb 10318 (4)</t>
  </si>
  <si>
    <t xml:space="preserve">Bucholtz, Andreas Heinrich
Lucius, Peter</t>
  </si>
  <si>
    <t xml:space="preserve">23:738300H</t>
  </si>
  <si>
    <t xml:space="preserve">Uber den herrlichen Spruch des Propheten Esais Cap. 9. v. 6.7. ... ; Neben einem andächtigen Danck-Liede …</t>
  </si>
  <si>
    <t xml:space="preserve">Christliche Weinacht-Frewde Und Hertzlicher Friedes-Wunsch :, Xb 10318 (4)</t>
  </si>
  <si>
    <t xml:space="preserve">Kriegs- und Friedens-Gedicht/</t>
  </si>
  <si>
    <t xml:space="preserve">Xb 10318 (8)</t>
  </si>
  <si>
    <t xml:space="preserve">Winckelmann, Johann Just
Hampel, Joseph Dieterich</t>
  </si>
  <si>
    <t xml:space="preserve">75:699716D</t>
  </si>
  <si>
    <t xml:space="preserve">An das Sündhafte/ mit schweren Landplagen hartgestrafte/ inbrünstig zu Gott seufzende/ erhörte/ mit dem güldnen Frieden erfreute/ und von Herzen Gott dankende Deutschland /</t>
  </si>
  <si>
    <t xml:space="preserve">Aufgesetzet von Hans Just Wynkelmann </t>
  </si>
  <si>
    <t xml:space="preserve">Kriegs- und Friedens-Gedicht/, Xb 10318 (8)</t>
  </si>
  <si>
    <t xml:space="preserve">Denkmaal der Altenburgischen Jubelfreude</t>
  </si>
  <si>
    <t xml:space="preserve">Theol.ev.asc.1069</t>
  </si>
  <si>
    <t xml:space="preserve">Reuchlin, Johann Caspar</t>
  </si>
  <si>
    <t xml:space="preserve">http://digital.slub-dresden.de/werkansicht/dlf/112887/1/</t>
  </si>
  <si>
    <t xml:space="preserve">wie dieselbe zum feyerlichen Andenken des vor zwey hundert Jahren geschlossenen Religionsfriedens auf Hochfürstl. gnädigsten Befehl in der Stadtkirche und dem Fürstl. Gymnasio daselbst den 25. und 30. Sept. 1755 zu Tage gelegt worden</t>
  </si>
  <si>
    <t xml:space="preserve">Nebst einem Anhange von zwo dahin einschlagenden bey Einführung zweener Herren Superintendenten gehaltenen Reden</t>
  </si>
  <si>
    <t xml:space="preserve">http://friedensbilder.gnm.de/sites/default/files/00000005.tif.jpg</t>
  </si>
  <si>
    <t xml:space="preserve">http://friedensbilder.gnm.de/content/frieden_object1027c9
http://friedensbilder.gnm.de/content/frieden_object154dae</t>
  </si>
  <si>
    <t xml:space="preserve">Die dankbare Annehmung des Friedens, als des edelsten Geschenks der göttl. Vorsehung wurde am zweyten Jubelfeste des Religionsfriedens den 25. Sept. 1755. aus dem genädigst vorgeschriebenen Texte Psalm 147. v. 12 = 15. in der St. Bartholomäikirche zu Altenburg vorgestellet</t>
  </si>
  <si>
    <t xml:space="preserve">Theol.ev.asc.1069 (1)</t>
  </si>
  <si>
    <t xml:space="preserve">25-48</t>
  </si>
  <si>
    <t xml:space="preserve">http://friedensbilder.gnm.de/sites/default/files/00000039.tif.jpg</t>
  </si>
  <si>
    <t xml:space="preserve">Christian Gottlob Stöckels Stadtsecretärs zu Brieg und der deutschen Gesellschaft zu Frankfurt an der Oder Mitglieds Gedichte</t>
  </si>
  <si>
    <t xml:space="preserve">P.o.germ. 1421</t>
  </si>
  <si>
    <t xml:space="preserve">Stoeckel, Christian Gottlob
Pietsch, Daniel</t>
  </si>
  <si>
    <t xml:space="preserve">http://reader.digitale-sammlungen.de/de/fs1/object/display/bsb10120814_00009.html</t>
  </si>
  <si>
    <t xml:space="preserve">184 S.</t>
  </si>
  <si>
    <t xml:space="preserve">http://friedensbilder.gnm.de/content/frieden_object102893</t>
  </si>
  <si>
    <t xml:space="preserve">Auf den Dresdner Frieden</t>
  </si>
  <si>
    <t xml:space="preserve">P.o.germ. 1421 (1)</t>
  </si>
  <si>
    <t xml:space="preserve">am 2. Weynachtsfeyertage 1745</t>
  </si>
  <si>
    <t xml:space="preserve">Auf den Dresdner Frieden, P.o.germ. 1421 (1)</t>
  </si>
  <si>
    <t xml:space="preserve">Per la pace a 8 voci. Mottetto</t>
  </si>
  <si>
    <t xml:space="preserve">Archivio Arcivescovile di Vercelli</t>
  </si>
  <si>
    <t xml:space="preserve">Vercelli</t>
  </si>
  <si>
    <t xml:space="preserve">I-Vcd; ACV 524a</t>
  </si>
  <si>
    <t xml:space="preserve">papier</t>
  </si>
  <si>
    <t xml:space="preserve">[1697]</t>
  </si>
  <si>
    <t xml:space="preserve">Cavallo 2016</t>
  </si>
  <si>
    <t xml:space="preserve">S. 266–280</t>
  </si>
  <si>
    <t xml:space="preserve">Per la pace a 8Giovanni Ambrogio Bissone&amp;nbsp;&amp;nbsp;Ad plausus ad cantus venite festiviDum currunt meliflui riviAd plausus ad cantus venite fidelesDeponit feroces Bellona furoresEt Pacis amori iam concinant vocesAd plausus ad cantus ad gaudia gentes / Ad plausus ad cantus ad iubila populiAd plausus ad cantus nunc resonet paxPost bellica nubilaPost moestos terrores / Post Martis horroresIam facta est pax /nunc facta est paxCantate virgines sonantes tympanis phialis organisPax veni nobis grata, pax diu suspirataNostra fides, nostra salusEst per te desiderataPax veni nobis grata, pax diu suspirataSi victo tartaroDefracto baratroGloriae coelicis paxTerrigenis canitur paxResonet gloria coeloIn terris vero paxO quanta gaudia extolluntRomuli Innocentii gloria / Populi in arma in victoriaFacta pace inter sceptra regum fideliumCantate vos omnes / cantemus nos omnesCantate omnes ilares animi paxVivat semper paxVivat semper nobis pax.</t>
  </si>
  <si>
    <t xml:space="preserve">Per la pace a 8, I-Vcd; ACV 524a</t>
  </si>
  <si>
    <t xml:space="preserve">Per la pace a 8</t>
  </si>
  <si>
    <t xml:space="preserve">Dei Beneficia &amp; Nostra Officia, Das ist Christliche Friedens-Predigt</t>
  </si>
  <si>
    <t xml:space="preserve">T 1166.4° Helmst. (27)</t>
  </si>
  <si>
    <t xml:space="preserve">Zur Horst, Andreas</t>
  </si>
  <si>
    <t xml:space="preserve">Beuther</t>
  </si>
  <si>
    <t xml:space="preserve">23:334948B</t>
  </si>
  <si>
    <t xml:space="preserve">[16] Bl.</t>
  </si>
  <si>
    <t xml:space="preserve">Darinn von den Wolthaten Gottes und unserer Danckbarkeit gehandelt wird. Aus dem Propheten Nahum am 1. cap. v. 15. </t>
  </si>
  <si>
    <t xml:space="preserve">In der Kirchen zu S. Marienberg ... am Tage Mariae Magdalenae war der 22 Tag Julii als zuvor den 16 Tag Junii die Tractaten zu Nürnberg wegen Abführung der Kriegsvölcker zu Ende gebracht gehalten</t>
  </si>
  <si>
    <t xml:space="preserve">http://friedensbilder.gnm.de/sites/default/files/Zwischenablage04.jpg</t>
  </si>
  <si>
    <t xml:space="preserve">Instrumentum Pacis Spirituale, Das ist Geistlich Friedens-Instrument </t>
  </si>
  <si>
    <t xml:space="preserve">Pon Yb 860, QK</t>
  </si>
  <si>
    <t xml:space="preserve">Zopff, Johann-Caspar</t>
  </si>
  <si>
    <t xml:space="preserve">Mamitzsch</t>
  </si>
  <si>
    <t xml:space="preserve">3:634083X</t>
  </si>
  <si>
    <t xml:space="preserve">http://nbn-resolving.de/urn:nbn:de:gbv:3:1-60709</t>
  </si>
  <si>
    <t xml:space="preserve">Ps 85,9f</t>
  </si>
  <si>
    <t xml:space="preserve">[23] Bl</t>
  </si>
  <si>
    <t xml:space="preserve">Verfasset In den Worten des 85. Psalms v. 9. &amp; 10. Ach daß ich hören solt, daß GOTT der HErr redet, daß Er Friede zusagte seinem Volck etc.</t>
  </si>
  <si>
    <t xml:space="preserve">Wie dasselbige Den 31. Julii instehenden 1650. Jahrs bey dem gleich wie in andern Reußischen Kirchen also auch zu Gerau wohlangeordneten Fried und Freuden, Lob und Danck, Buß und Bet-Fest in dem Hause des HErrn bey Herrlicher hochansehnlicher und Volckreichert Versamblung öffentlich von der Cantzel abgelesen, erkläret Und darauff Zu immerwärenden Andencken der wunderlichen Güte und allmächtigen Hülffe GOttes zum Druck außgeantwortet von</t>
  </si>
  <si>
    <t xml:space="preserve">http://friedensbilder.gnm.de/sites/default/files/732782.jpg</t>
  </si>
  <si>
    <t xml:space="preserve">Laetum Nuncium </t>
  </si>
  <si>
    <t xml:space="preserve">LP Q 8° IV, 00035 (27)</t>
  </si>
  <si>
    <t xml:space="preserve">Zachariae, Christophorus
Waldeck, Wolrath von
Waldeck, Johann von
Waldeck, Georg Friedrich von
Langenhayn, Johannes Michael
Poppo, Ludovicus</t>
  </si>
  <si>
    <t xml:space="preserve">39:113266W</t>
  </si>
  <si>
    <t xml:space="preserve">Das ist: Eine Christliche Frieden frewden- und Danck-Predigt aus den Propheten Nahum cap. 1. v. 15. Siehe auff den Bergen kommen Fösse eines guten Boten der Frieden prediget &amp;c. : Gott dem Allerhöchsten zu Lob Ehr und Preiß/ und zu unsterblicher Gedächtnis deß hohen Christlichen Pacification-Werckes </t>
  </si>
  <si>
    <t xml:space="preserve">Auff das von dem Durchläuchtigen ... Fürsten Herrn/ Herrn Friedrich Wilhelmen/ Hertzogen zu Sachsen ... den 19. Augusti, Anno 1650. in Ihrer F. Gn. Landen zu feyren angestelte Danck-Fest</t>
  </si>
  <si>
    <t xml:space="preserve">http://friedensbilder.gnm.de/sites/default/files/39-113266W_001,800,600.gif</t>
  </si>
  <si>
    <t xml:space="preserve">Encomium Pacis, </t>
  </si>
  <si>
    <t xml:space="preserve">Hist 8° 01392-1393 (23)</t>
  </si>
  <si>
    <t xml:space="preserve">Wernick, Philipp
Lange, Christian
Mamitzsch, Andreas</t>
  </si>
  <si>
    <t xml:space="preserve">39:126065U</t>
  </si>
  <si>
    <t xml:space="preserve">http://archive.thulb.uni-jena.de/ufb/receive/ufb_cbu_00005554?derivate=ufb_derivate_00004829</t>
  </si>
  <si>
    <t xml:space="preserve">In quo Pax Christi &amp; pax Mundi diligenter describitur In Dei gloriam &amp; Pacis in Sacro Romano Imperio &amp; inclyto Regno Sueciae divinitus datae memoriam publicatum &amp; in Synodo Pastorali Ronnenburgensi ad fraternam de Pace Spirituali collocutionem propositum</t>
  </si>
  <si>
    <t xml:space="preserve">http://friedensbilder.gnm.de/sites/default/files/15e56373b98-3.jpg</t>
  </si>
  <si>
    <t xml:space="preserve">Zusätzlich zu den drei &amp;nbsp;deutschen&amp;nbsp; Predigten, die Philipp Wernick (1594–1665) aus Anlass des Westfälischen Friedens drucken ließ, veröffentlichte er auch noch dieses lateinische Encomium, eine Lobrede auf den Frieden. Den Text hatte er als Superintendent im Pastorenkolleg seines Sprengels zur Diskussion gestellt; als Respondent ist der Pastor von Schmirgau, Friedrich Menser, genannt. Gedruckt wurde das Encomium nach dem Abschluss der Nürnberger Verhandlungen über den Hauptrezess am 26.7.1650. Wernicke untersucht in seiner Lobrede das Verhältnis von Frieden Christi und Frieden der Welt und beklagt, dass die Einfältigen den weltlichen Frieden zu Unrecht höher schätzten. Mit gelehrten etymologischen Erläuterungen der Wörter „shalom“,&amp;nbsp;„eirene“,&amp;nbsp;„pax“&amp;nbsp;und&amp;nbsp;„Friede“&amp;nbsp;entfaltet er seine Aussagen und zieht dabei auch Luther, Thomas von Aquin und antike Schriftsteller als Belege heran.&amp;nbsp;Die Responsio seines Kollegen ist in dem Druck nicht wiedergegeben, dafür aber eine kurze Stellungnahme des Leipziger Superintendenten Christian Lange in Gedichtform sowie ein abschließendes Lobgedicht auf Kaiser Ferdinand III. des Autors. Wernicks lateinische Friedens-Lobrede bietet einen beispielhaften Beleg für die theologische Deutung des Westfälischen Friedens als Werk göttlichen Handelns.&amp;nbsp;
HPJ
</t>
  </si>
  <si>
    <t xml:space="preserve">Encomium Pacis,, Hist 8° 01392-1393 (23)</t>
  </si>
  <si>
    <t xml:space="preserve">https://friedensbilder-neu.gnm.de/sites/default/files/2019-06/Hist-8-01392-1393-23.png</t>
  </si>
  <si>
    <t xml:space="preserve">Encomium Pacis,</t>
  </si>
  <si>
    <t xml:space="preserve">http://friedensbilder.gnm.de/content/frieden_foto_order1a281a</t>
  </si>
  <si>
    <t xml:space="preserve">Ronnenburgisch Lob- und Danck-Opfer / Welcher Der Allerheiligsten Dreyfaltigkeit...für den im H. Römischen Reiche gegebenen Frieden</t>
  </si>
  <si>
    <t xml:space="preserve">Pon Yd 4966, QK</t>
  </si>
  <si>
    <t xml:space="preserve">Wernick, Philipp</t>
  </si>
  <si>
    <t xml:space="preserve">Jürgens 2017</t>
  </si>
  <si>
    <t xml:space="preserve">39:110864A</t>
  </si>
  <si>
    <t xml:space="preserve">http://digitale.bibliothek.uni-halle.de/urn/urn:nbn:de:gbv:3:1-69881</t>
  </si>
  <si>
    <t xml:space="preserve">LP P 8° III, 00019 (03)</t>
  </si>
  <si>
    <t xml:space="preserve">Gothaer Exemplar enthält keine Widmungsempfänger</t>
  </si>
  <si>
    <t xml:space="preserve">84 S.</t>
  </si>
  <si>
    <t xml:space="preserve">Auff Hochlöbliche Anordnung ... Des ... Herrn Friderich Wilhelms Hertzogen zu Sachsen ... Am angestelten Fried- und Danckfeste den 19. Monats-Tag Augusti, und am Tage Sebaldi in der Christlichen Kirchen zu Ronnenburg bey Erklärung des 116. Psalms mit demütigen und danckbaren Hertzen und mit andächtiger Anhörung und hertzlicher Einstimmung/ vieler frommen Christen in der Ampts-Predigt offeriret und gethan worden ...</t>
  </si>
  <si>
    <t xml:space="preserve">Sampt einer kurtzen Erzehlung Was sich in diesem zwey und dreysig Jährigen Kriege im H. Römischen Reiche / und insonderheit im Meissner Lande / und deroselbigen Nachbarschafft denckwürdiger habe zugetragen.</t>
  </si>
  <si>
    <t xml:space="preserve">Gedruckt zu Gera/ durch Andream Mamitzsch Im Jahr 1650.</t>
  </si>
  <si>
    <t xml:space="preserve">http://friedensbilder.gnm.de/sites/default/files/763527_0.jpg</t>
  </si>
  <si>
    <t xml:space="preserve">GND-Verknüpfuung Zeidler einfügen:&amp;nbsp;
			&amp;nbsp;
			http://d-nb.info/gnd/128433388
Beschreibung Variante A mit Widmungungsempfänger --&amp;gt; Unter zusatzinfo Duplikat könnte man doch auch einfach sagen, dass dieses Exemplar keinen Widmungsempfänger hat; GND-Verknüpfung Zeidler einfügen; zu den Motiven: Friede von Naumburg, Ausgburger Religionsfriede und Westfälischer Friede sind keine Motive --&amp;gt; muss entweder zu Ereignis oder in Kommentar/Anmerkung, außerdem sind die Motive Gang nach Canossa und Thesenanschlag nicht in der Liste von Hr. Wittke enthalten und was soll Motiv "magdeburger" ? Ist Magdeburger Hochzeit gemeint? Dann ist es aber auch eher ein Ereignis und kein Motiv&amp;nbsp;
Anmerkung Red: Fehlerhafte Auswahl nach Autokorrektur, korrigiert zu 'Magdeburger Tyrannei'; das ist ein inhatliches Motiv. In die Ereignismaske gehört nur das Ereignis, auf das sich die Predigt bezieht. Die oben genannten Friedensereignisse sind in dem Moment Motive und nicht der historische Hintergrund der Predigt. Motive Gang nach Canossa, Thesenanschlag erst angelegt. Durch die Nachbearbeitung der Predigt sind noch einige Motive hinzugekommen (bereits an Herrn Wittke gemeldet).
</t>
  </si>
  <si>
    <t xml:space="preserve">Die dritte Predigt, die der Ronneburger Superintendent Philipp Wernick (1594–1665) nach Ende des Dreißigjährigen Kriegs hält und drucken lässt, entsteht aus Anlass des obrigkeitlich angeordneten Dankfests nach dem Nürnberger Exekutionstag am 19.08.1650. Wernick spricht demgemäß schon in der Einleitung von einem 32jährigen Krieg, der nun beendet sei. Im Verlauf der Predigt geht er sehr persönlich auf Ereignisse der Vergangenheit ein: Er sei selbst unter brandschatzende Kroaten und plündernde Reiter gefallen, „dass zwischen mir und dem Tod nur ein Schritt lag. ... Wenn ich nun ... nacheinander fragen solte, wo hast Du gesteckt, wohin bist du geflohen ..., auf was weise hat dich dein lieber GOTT erhalten, so würden wir soviel erzelen hören, daß es in einem gantzen Jahr nicht könnte zuende gebracht werden.“Als Lehre und Anwendung des 116. Psalms, der für den Gedenktag als Predigttext vorgegeben war, formuliert er seine Vorstellung der gesellschaftlichen Ordnung:&amp;nbsp;&amp;nbsp;„Wir haben zu bedenken bona positiva, wie Gott unser Gebet erhöret, uns geheilet und gesund gemacht und seinen Segen zu uns gewendet habe, daß wir nun sollen in allen dreyen Ständen, in Geist, Welt und Haußstande gesegnet sein, und ein stilles und geruhliches Leben führen. Nun sollen die Städte und Dörfer wieder gebauet werden, ...&amp;nbsp;und sol das Feldt wieder angebauet und die Viehzucht vermehret und der Nahme Christi herrlichen in H. Römischen Reiche geprediget werden.“&amp;nbsp;Gemäß der Drei-Stände-Lehre, die der Nachkriegsordnung selbstverständlich weiterhin zugrunde liegen soll, folgt ein Appell an die Vertreter dieser Stände:&amp;nbsp;eine Ermahnung zur Freude an Lehrer und Prediger, weil sie nun wieder in Frieden lehren und predigen können, an Regenten hohen und niedrigen Stands, dass Friede in ihren Palästen sei und sie ungehindert Gericht und Gerechtigkeit ausüben, gute Ordnung halten und die Frommen schützen können, und an die aus dem Hausstand, Herren, Frauen und Kinder, dass sie ihre Berufe sicher ausüben und ihr Handwerk unbehindert betreiben können, im Lande bleiben und sich redlich mehren können.&amp;nbsp;„In Summa es sey frölich alles, was in Deutschland webert und lebet, der Himmel freue sich, die Erde sei frölich.“&amp;nbsp;Andererseits ist der Prediger nicht optimistisch:&amp;nbsp;„Wenn ich ... einen Blick tue in die zukünftige Welt, sehe ich ..., wie die gottlose Welt des lieben Friedens wird schändlich mißbrauchen mit Verachtung göttliches Worts und seiner Diener, mit greulichen Fluchen und Schweren, Geitzen, Fressen und Saufen, Hurerei und Hofahrt, Zancken und Streiten. ... Aber irrt euch nicht, Gott lässt sich nicht spotten.“&amp;nbsp;Die drei Stände sollen deshalb&amp;nbsp;„mit einem christlichen gottseligen Leben den Anfang machen, nach den heiligen zehn Geboten ihr Leben anstellen und also ihren Zuhörern und ihren Unterthanen, Kinder und Gesinde mit löblichen und guten Exempeln fürleuchten.“&amp;nbsp;An die Predigt schließt sich eine Erzählung der Ereignisse an, die Ronneburg und seine Nachbargebiete in den Kriegszeiten erlebt haben. So wie die Predigt das kollektive Erleben des Kriegs thematisiert, so bietet der Druck eine Art&amp;nbsp;Ortschronik.HPJ</t>
  </si>
  <si>
    <t xml:space="preserve">Ronnenburgisch Lob- und Danck-Opfer / Welcher Der Allerheiligsten Dreyfaltigkeit...für den im H. Römischen Reiche gegebenen Frieden., Pon Yd 4966, QK</t>
  </si>
  <si>
    <t xml:space="preserve">https://friedensbilder-neu.gnm.de/sites/default/files/2019-06/Pon-Yd-4966,-QK.png</t>
  </si>
  <si>
    <t xml:space="preserve">Ronnenburgisch Lob- und Danck-Opfer / Welcher Der Allerheiligsten Dreyfaltigkeit...für den im H. Römischen Reiche gegebenen Frieden.</t>
  </si>
  <si>
    <t xml:space="preserve">http://friedensbilder.gnm.de/content/frieden_foto_order175779</t>
  </si>
  <si>
    <t xml:space="preserve">Des Friedens-Tempels Edler Bau Das ist Die Geistliche Beschauung (1) des Grundes darauff dieser Tempel beruhet (2) Des herrlichen Daches und Gewölbs (3) Des schönen Tafelwercks oder Seiten Und denn (4) Der köstlichen Orgel und Predigstuls Von Gott dem Herrn selbsten also aufgerichtet im 3. Cap. der Klagl. v. 22. 23. 24. und erkläret</t>
  </si>
  <si>
    <t xml:space="preserve">Hist.Germ.C.584,45</t>
  </si>
  <si>
    <t xml:space="preserve">Weller, Jacob</t>
  </si>
  <si>
    <t xml:space="preserve">Bergen</t>
  </si>
  <si>
    <t xml:space="preserve">14:006334Z</t>
  </si>
  <si>
    <t xml:space="preserve">http://digital.slub-dresden.de/id399601619</t>
  </si>
  <si>
    <t xml:space="preserve">Threni 3,22-24</t>
  </si>
  <si>
    <t xml:space="preserve">[28] Bl.</t>
  </si>
  <si>
    <t xml:space="preserve">An dem Von Churfürstl. Duchl. zu Sachsen in deroselben Chur- und Fürstenthümber ... Angesetzten allgemeinen Frieden-Danckfest Dem 22. Julii In der Churfürstl. SchloßKirche</t>
  </si>
  <si>
    <t xml:space="preserve">http://friedensbilder.gnm.de/sites/default/files/Zwischenablage03.jpg</t>
  </si>
  <si>
    <t xml:space="preserve">Friedens Leben In welches Gott auß Gnaden das TeutschLand wider gesetzet und wie es hinfüro beständig könne erhalten werden</t>
  </si>
  <si>
    <t xml:space="preserve">Theol 4° 00928-929 (22)</t>
  </si>
  <si>
    <t xml:space="preserve">Waldschmidt, Bernhard
Angelinus, Jacobus</t>
  </si>
  <si>
    <t xml:space="preserve">Hüttner</t>
  </si>
  <si>
    <t xml:space="preserve">39:136590F</t>
  </si>
  <si>
    <t xml:space="preserve">http://archive.thulb.uni-jena.de/ufb/receive/ufb_cbu_00010756?derivate=ufb_derivate_00009903</t>
  </si>
  <si>
    <t xml:space="preserve">55 S. </t>
  </si>
  <si>
    <t xml:space="preserve">Am angestellten Christlichen Frieden: und Danck-Fest zu Franckfurt am Mayn In zweyen unterschiedlichen Predigten Den 8. Sontag nach Trinitatis Nachmittag zu Sachsenhausen und den folgenden Mittwochen als den 7. Tag Augusti Anno 1650. zun Barfüssern der Gemeine Gottes gezeiget ...</t>
  </si>
  <si>
    <t xml:space="preserve">http://friedensbilder.gnm.de/sites/default/files/Zwischenablage02.jpg</t>
  </si>
  <si>
    <t xml:space="preserve">Christliche Friedens-Predigt/ bey Dem angestelleten herrlichen und seligen Freuden- Danck- und Beth-Fest/ gehalten zu Waldenburg/ am Tage Claren/ Des höchst gewünschten Friedens-Jahres 1650.</t>
  </si>
  <si>
    <t xml:space="preserve">Hist.Germ.C.584,48</t>
  </si>
  <si>
    <t xml:space="preserve">Voigt, Georg
Göpner, Melchior</t>
  </si>
  <si>
    <t xml:space="preserve">14:006328Y</t>
  </si>
  <si>
    <t xml:space="preserve">http://digital.slub-dresden.de/id33260893X</t>
  </si>
  <si>
    <t xml:space="preserve">[26] Bl.</t>
  </si>
  <si>
    <t xml:space="preserve">da uns der Gott und Herr des Friedens/ der den Frieden allein in seiner Hand hat / und denselbigen bestimmet / wann Er wil / wo Er wil / wie Er wil/ nunmehr/ Gott lob und Danck / denselben verkündigen lassen / durch den Frieden-Fürst Jesum / aus dem Propheten Esaia am 45. c. v. 6/7.</t>
  </si>
  <si>
    <t xml:space="preserve">Ich bin der HERR und keiner mehr / u. und nunmehr in Druck gegeben/</t>
  </si>
  <si>
    <t xml:space="preserve">Zwickau / Gedruckt bey Melchior Göpnern / im Jahr / 1650.</t>
  </si>
  <si>
    <t xml:space="preserve">http://friedensbilder.gnm.de/sites/default/files/Hist.Germ_.C.584,48.pdf</t>
  </si>
  <si>
    <t xml:space="preserve">GND-Verknüpfung Göpner einfügen&amp;nbsp;http://d-nb.info/gnd/1037514580GND-Verknüpfung Georg Ernst von Schönburg einfügen&amp;nbsp;http://d-nb.info/gnd/102536287GND-Verknüpfung Schönburg-Hartenstein einfügen&amp;nbsp;http://d-nb.info/gnd/124604005Anm. Redaktion: Datensätze nicht im eingespielten Dump enthalten.</t>
  </si>
  <si>
    <t xml:space="preserve">Christliche Friedens-Predigt/ bey Dem angestelleten herrlichen und seligen Freuden- Danck- und Beth-Fest/ gehalten zu Waldenburg/ am Tage Claren/ Des höchst gewünschten Friedens-Jahres 1650., Hist.Germ.C.584,48</t>
  </si>
  <si>
    <t xml:space="preserve">http://friedensbilder.gnm.de/content/frieden_foto_order1a51ac</t>
  </si>
  <si>
    <t xml:space="preserve">Praevio Principe Pacis Pax Pretiosissima Prodiit</t>
  </si>
  <si>
    <t xml:space="preserve">H 272.4° Helmst. (6)</t>
  </si>
  <si>
    <t xml:space="preserve">Stang, Julius Georg</t>
  </si>
  <si>
    <t xml:space="preserve">Holwein</t>
  </si>
  <si>
    <t xml:space="preserve">Celle</t>
  </si>
  <si>
    <t xml:space="preserve">23:257967Z</t>
  </si>
  <si>
    <t xml:space="preserve">[5] Bl., 34 S., [2] Bl</t>
  </si>
  <si>
    <t xml:space="preserve">Friedens Danckfest Uff Des Hochwürdigsten Durchleuchtigsten Hochgebornen Fürsten und Herrn Herrn Augusti, Postulierten des Primat und Ertz-Stiffts Magdeburgk Hertzogen zu Sachsen ... Anordnung </t>
  </si>
  <si>
    <t xml:space="preserve">In grosser Versamlung un[d] hertzlicher Frewde hochfeyerlich gehalten zu Sandow ... den 13. Augusti DoMIne IesV ChrIste, gratIa tVa atqVe paX argento; aVrea paX aVro praestantIor</t>
  </si>
  <si>
    <t xml:space="preserve">http://friedensbilder.gnm.de/sites/default/files/073b9c37-c4f1-45df-809b-c41824cb808d.gif</t>
  </si>
  <si>
    <t xml:space="preserve">Epinicium Davidicum Et Doebelense Irenicum</t>
  </si>
  <si>
    <t xml:space="preserve">3.A.5506,angeb.2</t>
  </si>
  <si>
    <t xml:space="preserve">Schütze, Johann</t>
  </si>
  <si>
    <t xml:space="preserve">Döbeln</t>
  </si>
  <si>
    <t xml:space="preserve">14:085496F</t>
  </si>
  <si>
    <t xml:space="preserve">http://digital.slub-dresden.de/ppn324249977</t>
  </si>
  <si>
    <t xml:space="preserve">Ps 68,20f</t>
  </si>
  <si>
    <t xml:space="preserve">[14] Bl.?</t>
  </si>
  <si>
    <t xml:space="preserve">Das ist Davidisches TriumphLiedlein und Döbelische Friedens-Frewde</t>
  </si>
  <si>
    <t xml:space="preserve">Bey dem nächst abgewichenen wohlangeordneten Danck- Denck- und FriedensFest So Anno 1650 den 22 Julii eben am Tage Mariae Magdalenae im gantzen Churfürstenthumb Sachsen hochfeyerlich ist gehalten worden Aus K. Davids Worten Psalm 68 v. 20,21. In der Pfarrkirchen zu S. Nicolai allhier zu Döbeln in volckreicher freqventz erkläret und einfältigst fürgetragen. Auch zu schuldiger Danckbarkeit dem grossen FriedensGott für den beschehrten edlen Reichs- und Land-Frieden und zum stetswehrenden Memorial auff begehren in Druck übergeben </t>
  </si>
  <si>
    <t xml:space="preserve">Das digitalisierte Exemplar aus Dresden ist offenkundig unvollständig und endet nach 14 Seiten mitten in der Predigt. In VD17 keine weiteren Ex. nachgewiesen.</t>
  </si>
  <si>
    <t xml:space="preserve">http://friedensbilder.gnm.de/sites/default/files/00000003.tif(2).jpg</t>
  </si>
  <si>
    <t xml:space="preserve">Sacra Irenica Polizio-Langenbergensia oder Christliche Friedens-Danck-Buß- und Bet-Fest-Predigt</t>
  </si>
  <si>
    <t xml:space="preserve">Schröter, Christoph</t>
  </si>
  <si>
    <t xml:space="preserve">Michael</t>
  </si>
  <si>
    <t xml:space="preserve">39:111224W</t>
  </si>
  <si>
    <t xml:space="preserve">http://archive.thulb.uni-jena.de/ufb/receive/ufb_cbu_00000087</t>
  </si>
  <si>
    <t xml:space="preserve">54 S. </t>
  </si>
  <si>
    <t xml:space="preserve">Darinnen nach Erklärung des verordneten Texts aus dem 85. Psalm V. 9, 10 ... gelehret und gewiesen wird 1. Welches das gewisseste und bewärteste Mittel sey Friede zu erlangen? 2. Was der wiedererlangte Friede vor ein groß- und thewrer Schatz sey? 3. Wem der langgewünschte Teutsche Friede vornehmlich zuzuschreiebn sey? 4. Wie wir uns verhalten müssen, wenn wir desselben fruchtbarlich genießen wollen? 5. Welches bey und vor diesem Frieden so gegen den nechsten so gegen Gott unsere Schuldigkeit sey? </t>
  </si>
  <si>
    <t xml:space="preserve">welche an dem in allen Reussischen Herrschafften wolverordnetem und am 31. Iulii dieses Jahrs mit hertzlicher frewde und Andacht celebrirtem allgemeinem Friedens-Lob ud Danck zugleich auch wegen des mit einfallenden Monatlichen Buß- und Bet-Tages demüthigem Buß- Beicht- und Bekehrungs-Feste dem grundgütigen Gott zu schuldigstem Lob Ruhm Ehr und Preiß in der Haupt-Kirchen Langenberg und derselben Filial Politz gehalten. Nunmehr aber allen Seinen/ doselbsthin gehörigen ... Pfarrkindern/ in ihren Hauß-Kirchen ... zugeschrieben und durch den Abdruck mitgetheilet</t>
  </si>
  <si>
    <t xml:space="preserve">http://friedensbilder.gnm.de/sites/default/files/15e575fbe7f-2.jpg</t>
  </si>
  <si>
    <t xml:space="preserve">Christliche Danck-Predigt Bey dem/ auf Gott-seelige anordnung / eines Ehrsamen Raths und Löblichen Magistrats/ dero / deß Heyl: Röm: Reichs freyen Staat Straßburg/ den 30. Julij dieses 1650. Jahrs/ hochfeyerlich begangenen Frewdenfest.</t>
  </si>
  <si>
    <t xml:space="preserve">A: 145.4 Theol. (3)</t>
  </si>
  <si>
    <t xml:space="preserve">Verfasser
Drucker
Verleger</t>
  </si>
  <si>
    <t xml:space="preserve">Schmidt, Johann
Mülbe, Johann Philipp
Staedel, Josias</t>
  </si>
  <si>
    <t xml:space="preserve">39:135605M</t>
  </si>
  <si>
    <t xml:space="preserve">http://diglib.hab.de/drucke/145-4-theol-3s/start.htm</t>
  </si>
  <si>
    <t xml:space="preserve">Ps 116,16-18</t>
  </si>
  <si>
    <t xml:space="preserve">[4] Bl., 39 S.</t>
  </si>
  <si>
    <t xml:space="preserve">Wegen deß/ auß Göttlicher Gnad und Barmhertzigkeit verlihenen lang-gewünschten allgemeinen Teutschen Fridens...</t>
  </si>
  <si>
    <t xml:space="preserve">Sampt vorgesetzem Oberkeitlichem Mandand und Befehl / die Celebration gedachten Fests betreffend / und Danckgebett / so nach gehaltenen Danckpredigten in allen Kirchen Straßburgischen gebiets in Statt und Land gesprochen worden.</t>
  </si>
  <si>
    <t xml:space="preserve">Straßburg / Verlegt durch Johann Philipp Mülben / und Josiae Städel.</t>
  </si>
  <si>
    <t xml:space="preserve">http://friedensbilder.gnm.de/sites/default/files/A 145.4 Theol. (3).pdf</t>
  </si>
  <si>
    <t xml:space="preserve">Christliche Danck-Predigt Bey dem/ auf Gott-seelige anordnung / eines Ehrsamen Raths und Löblichen Magistrats/ dero / deß Heyl: Röm: Reichs freyen Staat Straßburg/ den 30. Julij dieses 1650. Jahrs/ hochfeyerlich begangenen Frewdenfest., A: 145.4 Theol. (3)</t>
  </si>
  <si>
    <t xml:space="preserve">http://friedensbilder.gnm.de/content/frieden_foto_order1a3ee4</t>
  </si>
  <si>
    <t xml:space="preserve">Zeitzisches Friedens-Gedächtnüß/ </t>
  </si>
  <si>
    <t xml:space="preserve">Ratsschulbibliothek Zwickau</t>
  </si>
  <si>
    <t xml:space="preserve">19.12.2.(13)</t>
  </si>
  <si>
    <t xml:space="preserve">Schacher, Hartmann</t>
  </si>
  <si>
    <t xml:space="preserve">Göpner</t>
  </si>
  <si>
    <t xml:space="preserve">125:009638K</t>
  </si>
  <si>
    <t xml:space="preserve">Ps 68, 20f</t>
  </si>
  <si>
    <t xml:space="preserve">[21] Bl.</t>
  </si>
  <si>
    <t xml:space="preserve">Das ist: Christliche Friedens-Predigt/ </t>
  </si>
  <si>
    <t xml:space="preserve">bey dem allgemeinen In Churförstlicher Durchlauchtigkeit zu Sachsen/ unsers Gnädigsten Herrens/ Erb- und einverleibten Landen/ angeordenten Freuden-Danck- und Beth-Fest am Tage Mariae Magdalenen Des höchst gewönschten Frieden-Jahres 1650. aus dem 20. und 21. Verß des 68. Psalms: Gelobet sey der Herr täglich etc</t>
  </si>
  <si>
    <t xml:space="preserve">Drey Rotenburgische Friedens Predigten</t>
  </si>
  <si>
    <t xml:space="preserve">7 an Ab. 4. 8</t>
  </si>
  <si>
    <t xml:space="preserve">Rücker, Daniel</t>
  </si>
  <si>
    <t xml:space="preserve">Wildeisen
Wachenhäuser</t>
  </si>
  <si>
    <t xml:space="preserve">Ulm
Rothenburg ob der Tauber</t>
  </si>
  <si>
    <t xml:space="preserve">75:704350P</t>
  </si>
  <si>
    <t xml:space="preserve">4 Th Pr 806</t>
  </si>
  <si>
    <t xml:space="preserve">http://www.mdz-nbn-resolving.de/urn/resolver.pl?urn=urn:nbn:de:bvb:12-bsb11229763-0  </t>
  </si>
  <si>
    <t xml:space="preserve">103 S. </t>
  </si>
  <si>
    <t xml:space="preserve">Derer die Erste Conditionem pacis, die Artickel/ auß Psalm. 34. v. 13. Andere Descriptionem pacis, Die Beschaffenheit/ auß Psalm. 147. v. 12. Dritte Fruitionem pacis, den Nutzen deß Friedens/ auß Hos. c. 2. v. 8. uns für augen stellet. In der Kirchen zum H. Geist im Hospital daselbsten den 10. 11. und 18. Augusti diese 1650. Jahrs nacheinander gehalten und auff begehren/ in druck gegeben</t>
  </si>
  <si>
    <t xml:space="preserve">http://friedensbilder.gnm.de/sites/default/files/75_704350P_001,800,600[1].jpg</t>
  </si>
  <si>
    <t xml:space="preserve">Joh. Sebast. Mitternachts...Krieges- und Friedens-Predigt.</t>
  </si>
  <si>
    <t xml:space="preserve">4 CONC FUN II, 97 (1)</t>
  </si>
  <si>
    <t xml:space="preserve">Mitternacht, Johann Sebastian
Mamitzsch, Andreas</t>
  </si>
  <si>
    <t xml:space="preserve">3:670565X</t>
  </si>
  <si>
    <t xml:space="preserve">Fasciculus Concionum Miscellanearum, </t>
  </si>
  <si>
    <t xml:space="preserve">S. 1593–1675</t>
  </si>
  <si>
    <t xml:space="preserve">Darinnen nach Anleitung des gewöhnlichen Evangelions am 8. Sontage nach Trinit. ... verzeichnet/ Der Krieg mit Dornen und Disteln/ darvon man weder Trauben noch Feigen lesen kan: </t>
  </si>
  <si>
    <t xml:space="preserve">Der Friede aber mit dem Weinstock/ und Feigen-Baume/ so die süssesten und heilsamsten Früchte tragen...In der Pfarr-Kirchen zu Gera an obgemeltem Sontage...gehaltenem Frieden-Freuden- und Danck-Feste...</t>
  </si>
  <si>
    <t xml:space="preserve">http://friedensbilder.gnm.de/sites/default/files/4 CONC FUN II, 97.pdf</t>
  </si>
  <si>
    <t xml:space="preserve">Joh. Sebast. Mitternachts...Krieges- und Friedens-Predigt., 4 CONC FUN II, 97 (1)</t>
  </si>
  <si>
    <t xml:space="preserve">http://friedensbilder.gnm.de/content/frieden_foto_order1a617e</t>
  </si>
  <si>
    <t xml:space="preserve">4 CONC FUN II, 97</t>
  </si>
  <si>
    <t xml:space="preserve">Zimmermann, Gottfried</t>
  </si>
  <si>
    <t xml:space="preserve">http://resolver.sub.uni-goettingen.de/purl?PPN863052428</t>
  </si>
  <si>
    <t xml:space="preserve">Oder: Sonderbahre Predigten/ Zu Unterschiedenen Zeiten / Von vornehmen Theologis, Und Geistreichen Predigern gehalten.</t>
  </si>
  <si>
    <t xml:space="preserve">PPN863052428</t>
  </si>
  <si>
    <t xml:space="preserve">Wittenberg / bey Gottfried Zimmermann / MDCCVII</t>
  </si>
  <si>
    <t xml:space="preserve">http://friedensbilder.gnm.de/content/frieden_object102b78</t>
  </si>
  <si>
    <t xml:space="preserve">Zehen Christliche Danck- und Friedenspredigten</t>
  </si>
  <si>
    <t xml:space="preserve">1240.18 Theol. (1)</t>
  </si>
  <si>
    <t xml:space="preserve">Lang, Johann
Mack, Christophorus
Ehrhardt, Johann
Reichardt, Bartholomaeus
Wachter, Georgius
Bödenknecht, Johannes Cunradus
Albrecht, Daniel
Ruff, Tobias
Risius, Johannes
Kilian, Wolfgang</t>
  </si>
  <si>
    <t xml:space="preserve">Kühn</t>
  </si>
  <si>
    <t xml:space="preserve">23:649026F</t>
  </si>
  <si>
    <t xml:space="preserve">Th Pr 556</t>
  </si>
  <si>
    <t xml:space="preserve">http://www.mdz-nbn-resolving.de/urn/resolver.pl?urn=urn:nbn:de:bvb:12-bsb11290440-7</t>
  </si>
  <si>
    <t xml:space="preserve">[3] Bl., 626 S., [2] Bl.</t>
  </si>
  <si>
    <t xml:space="preserve">Dissertationes De Bello Et Pace, Cum Gratiarum Actione.</t>
  </si>
  <si>
    <t xml:space="preserve">Gott zu Danck vnd Ehren und der christlichen Gemeine zu immerwärendem Gedächtnus gehalten Jn der löblichen des H. Röm Reichs Stadt Memmingen</t>
  </si>
  <si>
    <t xml:space="preserve">http://friedensbilder.gnm.de/sites/default/files/23-649026F_001,800,600.gif
http://friedensbilder.gnm.de/sites/default/files/23-649026F_002_D,800,600.gif</t>
  </si>
  <si>
    <t xml:space="preserve">Charisterion Altenhoffiense Das ist Altenhöffische Lob- und Danck-Fests Predigt / </t>
  </si>
  <si>
    <t xml:space="preserve">Hist.Sax.H.102,12</t>
  </si>
  <si>
    <t xml:space="preserve">Lindener, Martin
Rappoldt, Johann
Olearius, Johann Gottfried</t>
  </si>
  <si>
    <t xml:space="preserve">14:015128M</t>
  </si>
  <si>
    <t xml:space="preserve">http://digital.slub-dresden.de/id333745914</t>
  </si>
  <si>
    <t xml:space="preserve">An dem von Chur-Fürstl Durchl. zu Sachsen Gnädigst an geordneten Lob- und Danck-Fest / Dem 22. Julii / war der Tag Mariae Magdalenae 1650.</t>
  </si>
  <si>
    <t xml:space="preserve">Dem Gott des Friedens und unserm Friede-Fürsten Christo Jesu zu ehren / und schuldigster Danckbarkeit für den höchsterwündschten / Edlen Frieden / Gehalten / und dem Druck übergeben von M. Martino Lindenern Pfarrern zu Alten-Hoff</t>
  </si>
  <si>
    <t xml:space="preserve">Hall in Sachsen Gedruckt bey Johann Rappoldten.</t>
  </si>
  <si>
    <t xml:space="preserve">Widmungsempfänger sind u.a. Bartholomäus Köpping, Stadtschreiber in Leisnig (Kamprad 1753, S. 368) und der Bürgermeister der Stadt, Georg Zscheiper, seit 1637 Ratsmitglied, 1654 ein letztes Mal unter den Ratsmitgliedern aufgeführt (Kamprad 1753, S. 141–142).Predigt von Lindener, lateinischer Text auf der letzten Seite von Olearius.ALS</t>
  </si>
  <si>
    <t xml:space="preserve">http://friedensbilder.gnm.de/sites/default/files/Hist.Sax_.H.102,12.pdf</t>
  </si>
  <si>
    <t xml:space="preserve">Charisterion Altenhoffiense Das ist Altenhöffische Lob- und Danck-Fests Predigt /, Hist.Sax.H.102,12</t>
  </si>
  <si>
    <t xml:space="preserve">Charisterion Altenhoffiense Das ist Altenhöffische Lob- und Danck-Fests Predigt /</t>
  </si>
  <si>
    <t xml:space="preserve">http://friedensbilder.gnm.de/content/frieden_foto_order194c9b</t>
  </si>
  <si>
    <t xml:space="preserve">Magnalium Pacis Restitutae Praeconium</t>
  </si>
  <si>
    <t xml:space="preserve">Ry 12448</t>
  </si>
  <si>
    <t xml:space="preserve">Lilien, Georg</t>
  </si>
  <si>
    <t xml:space="preserve">Runge</t>
  </si>
  <si>
    <t xml:space="preserve">3:308308A</t>
  </si>
  <si>
    <t xml:space="preserve">http://digital.staatsbibliothek-berlin.de/werkansicht?PPN=PPN767885198&amp;PHYSID=PHYS_0001&amp;DMDID=</t>
  </si>
  <si>
    <t xml:space="preserve">Ps 126,3</t>
  </si>
  <si>
    <t xml:space="preserve">[10] Bl.</t>
  </si>
  <si>
    <t xml:space="preserve">Christ-gebürlicher Danck-AußRuef derer grossen Fridens-Thaten Gottes Aus den Kleinen Fridens-Magnificat In CXXVI. Psalm: ... </t>
  </si>
  <si>
    <t xml:space="preserve">Bey allgemeinem in der Chur- und Marck Brandenburg angestellten H. Dankc- und Beth-Fest-Tag Für den in H. Röm. Reiche auffgerichteten und mit Gott erlebten Land-Friede War der VI. Novembr. dieses 1650. Jahrs In der Ober-Pfarrkirch der Churf. Residentz-Stadt Berlin Bey Volckreicher Versamblung Nach Mittage Gehalten und abgefasset</t>
  </si>
  <si>
    <t xml:space="preserve">http://friedensbilder.gnm.de/sites/default/files/Lilie.png</t>
  </si>
  <si>
    <t xml:space="preserve">Fröliche Friedens-Post/</t>
  </si>
  <si>
    <t xml:space="preserve">Koch, Johannes
Clauder, Joseph
Crell, Michael</t>
  </si>
  <si>
    <t xml:space="preserve">Fürstl. Sächß. Officin</t>
  </si>
  <si>
    <t xml:space="preserve">547:653247Q</t>
  </si>
  <si>
    <t xml:space="preserve">http://archive.thulb.uni-jena.de/ufb/receive/ufb_cbu_00000086</t>
  </si>
  <si>
    <t xml:space="preserve">Nah 1,15</t>
  </si>
  <si>
    <t xml:space="preserve">24 S. </t>
  </si>
  <si>
    <t xml:space="preserve">so Nach der 32. Jährigen Kriegs-Unruhe/ im Jahr nach unsers Friede-Fürstens Christi Jesu Geburt 1650. bey uns ankommen/ </t>
  </si>
  <si>
    <t xml:space="preserve">und An dem von Ihrer Churfürstl. Durchl. zu Sachsen ... am 25. Iulii gnädigst angeordneten Frieden- und Frewden-Feste aus dem 1. cap. Nahums v. 15. in einer kurtzen Predigt/ der Gemeine zu Zeitz fürgetragen</t>
  </si>
  <si>
    <t xml:space="preserve">Die Angabe des Predigtdatums auf dem Titelblatt mit 25.7. dürfte ein Satzfehler sein, denn das vom Kurfürst Johann Georg angesetzte Dankfest fand am 22.7.1560, dem Maria Magdalenen-Tag statt.Vgl. die Anordnung VD 3:625673Z, http://nbn-resolving.de/urn:nbn:de:gbv:3:1-95731</t>
  </si>
  <si>
    <t xml:space="preserve">http://friedensbilder.gnm.de/sites/default/files/15e5787a917-2.jpg</t>
  </si>
  <si>
    <t xml:space="preserve">Fröliche Friedens-Post</t>
  </si>
  <si>
    <t xml:space="preserve">Bergkmännischer GlücksWuntzsch und Jubel-Geschrey/...mit dem lange Zeit her gewünschten Edlen lieben Frieden einmal so gnädigst beseeliget/</t>
  </si>
  <si>
    <t xml:space="preserve">Hist.Sax.C.906</t>
  </si>
  <si>
    <t xml:space="preserve">Illgen, Jacob Heinrich
Beuther, Georg</t>
  </si>
  <si>
    <t xml:space="preserve">14:009440U</t>
  </si>
  <si>
    <t xml:space="preserve">http://digital.slub-dresden.de/id367598329</t>
  </si>
  <si>
    <t xml:space="preserve">Ihme dem lieben Gott zu förderst zu Lob/ Dann auch zu Ehren unsers allergn. herztlichen alten Herrn...Johann Georgen/ Hertzogen zu Sachsen/...</t>
  </si>
  <si>
    <t xml:space="preserve">Auff ietzo vorgehendes hohes Danckfest/ ...hochfeyerlich zu celebriren in offentlichen Druck gnädigst publiciren und außschreiben lassen/ So geschehen am Tage Marien Magdalenen den 22. Julii Anno 1650</t>
  </si>
  <si>
    <t xml:space="preserve">Freyberg/ Druckts Georg Beuther.</t>
  </si>
  <si>
    <t xml:space="preserve">http://friedensbilder.gnm.de/sites/default/files/Hist.Sax_.C.906.pdf
http://friedensbilder.gnm.de/sites/default/files/00000005.tif.large_.jpg</t>
  </si>
  <si>
    <t xml:space="preserve">Redaktion:gemeinsames Objekt von Bauer und Jürgens, angelegt als Gedicht (Gattung) dann jedoch folgen Angaben zur Predigt (Ort, Datum) eventuell eine Lösung finden, die weniger verwirrend ist im Bezug auf den Inhalt; eventuell: Gattung: Predigt, Textform: Gedicht oder so? Damit eindeutiger wird, worum es sich hier handelt; GND-Verknüpfung; Anmerkungen in Inhaltsmaske stilistisch überarbeitet&amp;nbsp;&amp;nbsp;</t>
  </si>
  <si>
    <t xml:space="preserve">Bergkmännischer GlücksWuntzsch und Jubel-Geschrey Als Gott ... das ...Churfürstenthumb zu Sachsen sampt den Ländern Meissen mit dem lange Zeit her gewüntschten ... Frieden ... beseeliget , Hist.Sax.C.906</t>
  </si>
  <si>
    <t xml:space="preserve">Bergkmännischer GlücksWuntzsch und Jubel-Geschrey Als Gott ... das ...Churfürstenthumb zu Sachsen sampt den Ländern Meissen mit dem lange Zeit her gewüntschten ... Frieden ... beseeliget </t>
  </si>
  <si>
    <t xml:space="preserve">http://friedensbilder.gnm.de/content/frieden_foto_order193ef1</t>
  </si>
  <si>
    <t xml:space="preserve">TEMPLVM PACIS, Danck- und Friedens-Predigt</t>
  </si>
  <si>
    <t xml:space="preserve">Staatsarchiv der Freien und Hansestadt Hamburg</t>
  </si>
  <si>
    <t xml:space="preserve">Nr. 23 in Smbd A 650/0008</t>
  </si>
  <si>
    <t xml:space="preserve">Grosse, Jakob</t>
  </si>
  <si>
    <t xml:space="preserve">Papen</t>
  </si>
  <si>
    <t xml:space="preserve">Sach 8,1-6</t>
  </si>
  <si>
    <t xml:space="preserve">Von dem numehr durch Gottes Gnade im Teutschlande wider erbaweten Friedens-Tempel </t>
  </si>
  <si>
    <t xml:space="preserve">an dem am 5. Sept. dieses 1650. Jahres in der Stadt Hamburg hochfeyerlich begangenenen  Danck- und Friedens-Fest auß dem 8. Capitel des Propheten Zachariae vom 1. vers. biß auff den 6. gehalten Und zur beständigen Erinnerung dieser sonderbaren Wolthat GOttes des HErrn zum Abdruck übergeben ANNO, quo gaVDens eXerta GermManIa paCe reVIXIt nostrIs eX Votis</t>
  </si>
  <si>
    <t xml:space="preserve">nur im Staatsarchiv Hamburg vorhanden, nicht in VD17 nachgewiesen, dort bestellen/einsehen</t>
  </si>
  <si>
    <t xml:space="preserve">Irenephasis, Friedens-Bothschafft </t>
  </si>
  <si>
    <t xml:space="preserve">7.A.1772,angeb.13</t>
  </si>
  <si>
    <t xml:space="preserve">nach 18.10.1650</t>
  </si>
  <si>
    <t xml:space="preserve">Götting, Matthias</t>
  </si>
  <si>
    <t xml:space="preserve">14:065074Z</t>
  </si>
  <si>
    <t xml:space="preserve">http://digital.slub-dresden.de/ppn32441613X</t>
  </si>
  <si>
    <t xml:space="preserve">Das ist Christliche Freud- und Friedens-Predigt </t>
  </si>
  <si>
    <t xml:space="preserve">Auff sonderbahre gnädigste Anordnung Des Durchlauchtigsten Hochgebornen Fürsten und Herrn Herrn Johann Georgens Hertzogens zu Sachsen ... und Chur-Fürstens ... Als der Allerhöchste Gott Seiner werthen Christenheit unserm lieben Vaterlande dem Edlen hocherwünschten Frieden in Gnaden wiederumb gegeben und  bescheret hat. An dem wohlangestellten und hochfeyerlich begangenem Danck- und Beth-Fest Den 22. Julii dieses 1650. Jahres War der Tag Mariae Magdalenae In der Alten-Stadt Dresden Nach Mittage in der Kirchen zum H. Drey Königen nach Anleitung Göttliches Worts bey Volckreicher Versamlung abgeleget und auff vielfaltiges Begehren in Druck befördert </t>
  </si>
  <si>
    <t xml:space="preserve">http://friedensbilder.gnm.de/sites/default/files/Irenephasis.jpg</t>
  </si>
  <si>
    <t xml:space="preserve">Irenephasis, Friedens-Bothschafft, 7.A.1772,angeb.13</t>
  </si>
  <si>
    <t xml:space="preserve">Irenephasis, Friedens-Bothschafft</t>
  </si>
  <si>
    <t xml:space="preserve">Corona Pacis Speciosissima</t>
  </si>
  <si>
    <t xml:space="preserve">Hist.Germ.C.583,30</t>
  </si>
  <si>
    <t xml:space="preserve">Dyeck, Sebastian
Pfeiffer, Michael</t>
  </si>
  <si>
    <t xml:space="preserve">14:006504R</t>
  </si>
  <si>
    <t xml:space="preserve">http://digital.slub-dresden.de/id332610586</t>
  </si>
  <si>
    <t xml:space="preserve">Die herrliche und mit den allerköstlichsten Edelgesteinen außgefaßte Friedens-Krone/ Womit der Allergnädigste und Barmherzigste Gott/ sein/ eine geraume Zeit her / geängstetes Teutsche Jerusalem / und bedrengetes Evangelisches Zion / nunmehr wieder in Gnaden gezteret und geschmücekt hat/ aus den 12. 13. 14. Verß. deß 147. Psalms/ Preise Jerusalem den Herrn / lobe Zion deinen Gott / denn er machet feste die Rigel u. zusammen gefüget und auf dem von Der Durchleuchtigsten / Großmächtigsten Fürstin und Fräwlein Christina / der Schweden / Gothen und Wenden Königin und Erb Prinzeßinnen...</t>
  </si>
  <si>
    <t xml:space="preserve">zugeeigneten Provincien und Städten / angestaltem allgemeinen Danck-Feste den 8. Dec An. 1649. In der Pfarrkirchen zu Lambstäd deß Herzogthumbs Bremen / bey hochfeylicher delebration deßelben / und volckreicher Versamblung erkläret und vorgetragen/ durch Sebastianum Dycken Halberstadensem, Dienern Göttliches Worts und Diaconum daselbsten.</t>
  </si>
  <si>
    <t xml:space="preserve">Hamburg / Gedruckt bey Michael Pfeiffern / im Jahr 1650.</t>
  </si>
  <si>
    <t xml:space="preserve">http://friedensbilder.gnm.de/sites/default/files/Hist.Germ_.C.583,30.pdf
http://friedensbilder.gnm.de/sites/default/files/Hist.Germ_.C.583,30.jpg</t>
  </si>
  <si>
    <t xml:space="preserve">In seiner Predigt zum Friedensfest im Herzogtum Bremen-Verden, das Königin Christina von Schweden für den 8. Dezember 1649 angeordnet hatte, setzt Pastor Sebastian Dyeck&amp;nbsp;der neuen Herrscherin&amp;nbsp;in Worten symbolisch eine Friedenskrone auf. Er sieht sie geschmückt mit Edelsteinen,&amp;nbsp;wie Diamanten, Smaragde und Saphire,&amp;nbsp;denen er jeweils besondere Bedeutung zumisst, und hebt vor allem die Rolle der Königin als Bewahrerin der wahren, lutherischen Religion hervor. Erkennbar bemüht er sich, die neue Herrscherin&amp;nbsp;– das Herzogtum Bremen-Verden war durch den Westfälischen Frieden endgültig zu einem schwedischen Herrschaftsgebiet geworden&amp;nbsp;–&amp;nbsp;seinen Zuhörerinnen und Zuhörern als Friedensfürstin nahezubringen.&amp;nbsp;Ob seine rhetorisch ausgefeilte, umfangreiche Predigt in dieser Form tatsächlich seine kleine Landgemeinde in Lamstedt unweit dem heutigen Bremerhaven erreichte, mag dahingestellt bleiben. Immerhin nimmt Dyeck im Predigttext einige Einwände auf, die offenkundig in der Gemeinde kursierten. In ihnen kommt keine allzu große Freude über den Frieden zum Ausdruck, sondern eher Unzufriedenheit, etwa über anhaltende finanzielle Belastungen auch nach Ende des Krieges. Dyeck ließ die Predigt im folgenden Jahr mit einer Widmung an Christina in Hamburg drucken, wohl in der Hoffnung auf Förderung oder finanzielle Gegenleistungen. Doch dürfte er mit seinen Appellen an die Verantwortung einer wahren lutherischen Herrscherin bei seiner Adressatin wenig Resonanz gefunden haben&amp;nbsp;–&amp;nbsp;nur wenige Jahre später dankte Christina als Königin ab und konvertierte am 24.12.1654 in Rom zum Katholizismus.&amp;nbsp;&amp;nbsp;HPJ</t>
  </si>
  <si>
    <t xml:space="preserve">Corona Pacis Speciosissima., Hist.Germ.C.583,30</t>
  </si>
  <si>
    <t xml:space="preserve">https://friedensbilder-neu.gnm.de/sites/default/files/2019-06/Hist_Germ_C_583_30_2.png</t>
  </si>
  <si>
    <t xml:space="preserve">Corona Pacis Speciosissima.</t>
  </si>
  <si>
    <t xml:space="preserve">http://friedensbilder.gnm.de/content/frieden_foto_order175a2b</t>
  </si>
  <si>
    <t xml:space="preserve">Johann Georg Dorschen der H. Schrifft D. Professoren und Predigers bey der Universität Straßburg Frieden Schall Im Peters Thal</t>
  </si>
  <si>
    <t xml:space="preserve">Pon Vc 4578, QK</t>
  </si>
  <si>
    <t xml:space="preserve">Dorsche, Johann Georg</t>
  </si>
  <si>
    <t xml:space="preserve">Mülbe</t>
  </si>
  <si>
    <t xml:space="preserve">39:135608K</t>
  </si>
  <si>
    <t xml:space="preserve">http://digitale.bibliothek.uni-halle.de/urn/urn:nbn:de:gbv:3:1-30162</t>
  </si>
  <si>
    <t xml:space="preserve">Amos 7,4-6</t>
  </si>
  <si>
    <t xml:space="preserve">[2] Bl., 56 S.</t>
  </si>
  <si>
    <t xml:space="preserve">Denen bey der SaurbrunnenCur daselbst versambleten Fürstlichen Hochadelichen Hochherrlichen Hochansehnlichen unterschiedener Stätte und Ort Regiments und Rahts-personen [et]c. auch anderer Gottergebenen Hertzen Aus dem Propheten Amos cap. 7 v. 4.5.6 den 30. Julii Anno 1650 auff begehren fürgetragen und in truck verfertiget</t>
  </si>
  <si>
    <t xml:space="preserve">http://friedensbilder.gnm.de/sites/default/files/409194.jpg</t>
  </si>
  <si>
    <t xml:space="preserve">Gottseliges Friedens-Gedächtniß</t>
  </si>
  <si>
    <t xml:space="preserve">Asc. 1962</t>
  </si>
  <si>
    <t xml:space="preserve">12:000777G</t>
  </si>
  <si>
    <t xml:space="preserve">[1] gef. Bl., [12] Bl., 167 S., [4] Bl : Kupfert</t>
  </si>
  <si>
    <t xml:space="preserve">Welches den Ersten und den Andern Sonntag nach dem Fest der Heiligen Dreyeinigkeit Dieses lauffenden 1650. Jahrs zu Nürnberg In der Kirchen zu S. Sebald angestellet worden</t>
  </si>
  <si>
    <t xml:space="preserve">http://friedensbilder.gnm.de/sites/default/files/1e530e3d-6092-4752-a50a-a97dabbd565f.png
http://friedensbilder.gnm.de/sites/default/files/748bac01-3807-402b-9f87-955bc69790b2_0.png</t>
  </si>
  <si>
    <t xml:space="preserve">Christliche Friedens-Danck-Predigt/ Auß der Ersten Epistel S. Pauli an die Thessal. im Fünfften Capitel/ vers. 3, 4, 5, 6.</t>
  </si>
  <si>
    <t xml:space="preserve">A: 145.4 Theol. (5)</t>
  </si>
  <si>
    <t xml:space="preserve">Dannhauer, Johann Conrad
Mülbe, Johann Philipp
Staedel, Josias</t>
  </si>
  <si>
    <t xml:space="preserve">39:136584E</t>
  </si>
  <si>
    <t xml:space="preserve">http://diglib.hab.de/drucke/145-4-theol-5s/start.htm</t>
  </si>
  <si>
    <t xml:space="preserve">32 S. </t>
  </si>
  <si>
    <t xml:space="preserve">Auff den Dreyssigsten Hewmonat/ im Jahr Tausend Sechshundert und Funfftzig/ Zu Straßburg im Münster auff Mittag bey Volckreicher Versamlung/ abgelegt/ und auff begeren in Truck gegeben</t>
  </si>
  <si>
    <t xml:space="preserve">Straßburg/ Verlegt durch Johann Philipp Mülben/ und Josiae Städel.</t>
  </si>
  <si>
    <t xml:space="preserve">http://friedensbilder.gnm.de/sites/default/files/A 145.4 Theol. (5).pdf</t>
  </si>
  <si>
    <t xml:space="preserve">GND-Verknüpfung von Mülbe einfügen&amp;nbsp;http://d-nb.info/gnd/1037532767Anm. Redaktion: Datensatz nicht im eingespielten Dump.</t>
  </si>
  <si>
    <t xml:space="preserve">Christliche Friedens-Danck-Predigt/ Auß der Ersten Epistel S. Pauli an die Thessal. im Fünfften Capitel/ vers. 3, 4, 5, 6., A: 145.4 Theol. (5)</t>
  </si>
  <si>
    <t xml:space="preserve">http://friedensbilder.gnm.de/content/frieden_foto_order1a49e8</t>
  </si>
  <si>
    <t xml:space="preserve">Danck- Buß- und Bet-Altar Das ist Zehen underschiedliche Predigten/ darinnen auß Gottes Wort gezeiget wird / wie wir den lieben Frieden-Schluß ansehen/ Gott darfür recht dancken / die Sünde ernstlich meiden / und seiner Allmächtigen Hülff noch fernen mit Gedult erwarten sollen.</t>
  </si>
  <si>
    <t xml:space="preserve">Thüringer Universitäts- und Landesbibliothek</t>
  </si>
  <si>
    <t xml:space="preserve">2005 A 3754(9)</t>
  </si>
  <si>
    <t xml:space="preserve">Creide, Hartmann
Beyer, Johannes
Humm, Anton</t>
  </si>
  <si>
    <t xml:space="preserve">23:660281L</t>
  </si>
  <si>
    <t xml:space="preserve">https://archive.thulb.uni-jena.de/hisbest/rsc/viewer/HisBest_derivate_00008121/VD17-715390791_0001.tif?x=-1985.7763401109055&amp;y=96.69230769230785&amp;scale=0.16321652355534927&amp;rotation=0&amp;layout=singlePageLayout</t>
  </si>
  <si>
    <t xml:space="preserve">[8] Bl., 172 S</t>
  </si>
  <si>
    <t xml:space="preserve">Gehalten in der Keyserlichen freyen Reichs-Statt Augspurg</t>
  </si>
  <si>
    <t xml:space="preserve">Franckfurt/ Bey Anthoni Hummen / in Verlegung Johann Beyers.</t>
  </si>
  <si>
    <t xml:space="preserve">http://friedensbilder.gnm.de/sites/default/files/Creide.png</t>
  </si>
  <si>
    <t xml:space="preserve">Predigten auswählen und dazu noch eine Objektmaske anlegen und Inhaltsmaske umhängen.
GND-Verknüpfung Creide einfügen&amp;nbsp;http://d-nb.info/gnd/124735320Anm. Redaktion: Datensatz nicht im eingespielten Dump enthalten.</t>
  </si>
  <si>
    <t xml:space="preserve">Danck- Buß- und Bet-Altar Das ist Zehen underschiedliche Predigten/ darinnen auß Gottes Wort gezeiget wird / wie wir den lieben Frieden-Schluß ansehen/ Gott darfür recht dancken / die Sünde ernstlich meiden / und seiner Allmächtigen Hülff noch fernen mit Gedult erwarten sollen., 2005 A 3754(9)</t>
  </si>
  <si>
    <t xml:space="preserve">http://friedensbilder.gnm.de/content/frieden_foto_order1bffe3</t>
  </si>
  <si>
    <t xml:space="preserve">Delitzscher Friedes-Predigt von der schweren Krieges-Last</t>
  </si>
  <si>
    <t xml:space="preserve">Pon Ya 1625, QK</t>
  </si>
  <si>
    <t xml:space="preserve">Clauder, Jacob
Michael, Otto</t>
  </si>
  <si>
    <t xml:space="preserve">3:633076K</t>
  </si>
  <si>
    <t xml:space="preserve">http://nbn-resolving.de/urn:nbn:de:gbv:3:1-52878</t>
  </si>
  <si>
    <t xml:space="preserve">36 S.</t>
  </si>
  <si>
    <t xml:space="preserve">Wie solche binnen XXXII. Jahren gantz Teutschland und in demselben Jung und Alt auffs hefftigste bedrücket: Nun aber durch deß Allerhöchsten Güte wieder weggenommen worden. Über König Davids Wort: Psalm LXVIII v. 20 Gelobet sey der Herr täglich! Gott legt uns eine Last auf: Aber er hilft uns auch. Sela. </t>
  </si>
  <si>
    <t xml:space="preserve">Bey sonderbarer hochfeyerlichen Begehung deß von Churfl. Durchl. zu Sachsen am 22. Julii gnädigst-verordneten Lob- und Danck-Festes gehalten</t>
  </si>
  <si>
    <t xml:space="preserve">Gedruckt zu Altenburg / bey Otto Michaeln</t>
  </si>
  <si>
    <t xml:space="preserve">http://friedensbilder.gnm.de/sites/default/files/607607.jpg</t>
  </si>
  <si>
    <t xml:space="preserve">Beim Sächsischen Friedensfest aus Anlass der Abschlusses der Verhandlungen in Nürnberg, das am 22.7.1650 überall in Kursachsen begangen wurde, hielt der Superintendent von Delitzsch, Jacob Clauder (1617–1669), eine Friedenspredigt. Sie thematisiert die 32 Kriegsjahre bis 1650 und erörtert ausgiebig die Lasten, die der Krieg für Menschen, Tiere und auch Landschaften bis hin zu Straßen und Äckern mit sich bringt. Der Prediger wendet sich explizit gegen die Annahme, dass Mars oder Saturn oder auch die Ratschläge böser Papisten für diesen Krieg verantwortlich sein könnten. Nein, Gott hat den Menschen den Krieg als Last auferlegt. „Daß aber gleichwol Krieg über ein Land kömmet / geschicht / wenn die Einwohner nicht gehorchen der Stimme ihres Gottes. …Insonderheit sind Abgötterey / Blutschande / Ehebruch / Fressen / Sauffen / Geitz / Gotteslästerung / Hoffart / Hurerey / Lügen / Meineyd / Mord / Totschlag / Ungehorsam / Ungerechtigkeit / Verachtung des Worts / Zauberey / etc. in heiliger Schrifft specificiret / daß sie von Gott durch Krieg pflegen abgestraffet zu werden.“ Aber: Gott hebt diese Last auch wieder auf. „Geholffen hat uns der allmächtige Gott am allerbesten / in dem Er / Ihme sey dafür ewiges Lob und Danck gesaget! bey ietziger exsecution deß vor zwey Jahren gemachten Frieden-Schlusses / die Kriegs-Last mit allen anhängenden Unwesen / von uns genommen / und lässt nun erschallen die Stimme des Friedes / die Stimme der Frewden und Wonne.“ Gegen Ende der ausführlichen Erörterungen der verschiedenen Kriegslasten wird deutlich, dass die Stadt Delitzsch, verglichen mit sächsischen Nachbarstädten, den Krieg relativ glimpflich überstanden hat.
HPJ
</t>
  </si>
  <si>
    <t xml:space="preserve">Delitzscher Friedes-Predigt von der schweren Krieges-Last, Pon Ya 1625, QK</t>
  </si>
  <si>
    <t xml:space="preserve">https://friedensbilder-neu.gnm.de/sites/default/files/2019-06/Pon-Ya-1625-QK.png</t>
  </si>
  <si>
    <t xml:space="preserve">http://friedensbilder.gnm.de/content/frieden_foto_order175a37</t>
  </si>
  <si>
    <t xml:space="preserve">Einblattdruck</t>
  </si>
  <si>
    <t xml:space="preserve">Auff den so langst und hertzlich verlangten Tag/ Auf welchen...Herr Johann Georg/ Hertzog zu Sachsen...</t>
  </si>
  <si>
    <t xml:space="preserve">Hist.Sax.C.81,122</t>
  </si>
  <si>
    <t xml:space="preserve">Brehme, Christian
Bergen, Melchior
Bergen, Christian</t>
  </si>
  <si>
    <t xml:space="preserve">14:010027B</t>
  </si>
  <si>
    <t xml:space="preserve">http://www.gbv.de/vd/vd17/14:010027B</t>
  </si>
  <si>
    <t xml:space="preserve">Ein allgemeines...Danck-Fest/ Vor die von Gott gnädigst verliehene wieder Erhaltung des lieben Friedens/ hat ausschreiben lassen:</t>
  </si>
  <si>
    <t xml:space="preserve">Gehalten am Marien Magdalenen Tag/ ...des 1650sten Jahres</t>
  </si>
  <si>
    <t xml:space="preserve">Dresden/ Gedruckt bey Christiani und Melchior Bergen/ Gebrüdern/ Churfürstl. Sächß. Hoff-Buchdruckern.</t>
  </si>
  <si>
    <t xml:space="preserve">&amp;nbsp;&amp;nbsp;</t>
  </si>
  <si>
    <t xml:space="preserve">Redaktion:&amp;nbsp;GND-Verknüpfung, hier ist außerdem irgendetwas falsch: Das ist ein Einblattdruck mit einem Sonett, aber keine Predigt&amp;nbsp;--&amp;gt; laut Eingabeleitfaden soll das Feld 'Textform' gestrichen werden. Weiterhin ist Sonett nicht aufgeführt. (ALS)</t>
  </si>
  <si>
    <t xml:space="preserve">http://friedensbilder.gnm.de/sites/default/files/Hist.Sax_.C.81,122.jpg</t>
  </si>
  <si>
    <t xml:space="preserve">Auff den so langst und hertzlich verlangten Tag/ Auf welchen...Herr Johann Georg/ Hertzog zu Sachsen..., Hist.Sax.C.81,122</t>
  </si>
  <si>
    <t xml:space="preserve">http://friedensbilder.gnm.de/content/frieden_foto_order1bfe13</t>
  </si>
  <si>
    <t xml:space="preserve">Electoratus Saxoniae. Oneratus, Exoneratus Deoq[ue] gratus</t>
  </si>
  <si>
    <t xml:space="preserve">Pon Vc 3504, QK</t>
  </si>
  <si>
    <t xml:space="preserve">Zeis, Christianus</t>
  </si>
  <si>
    <t xml:space="preserve">3:627788H</t>
  </si>
  <si>
    <t xml:space="preserve">http://nbn-resolving.de/urn:nbn:de:gbv:3:1-26039</t>
  </si>
  <si>
    <t xml:space="preserve">[36] Bl. </t>
  </si>
  <si>
    <t xml:space="preserve">Das ist Das mit dem Krieg hefftig belästigte numehr aber von dem Krieg entlästigte und Gott dem Allmächtigen danckbare Chur-SachsenLand</t>
  </si>
  <si>
    <t xml:space="preserve">Wie solches nach Anleitung des 68. Psalms in 20. und 21. Versickel an dem von Churf. Durchl. zu Sachsen durch dero gantzes Churfürstenthumb löblich angeordnetem Lob- Danck- Bet- und Friedens-Feste so den 22. Iulii Anno 1650 gehalten wurde ein und auffgeführet, auch seinen Zuhörern in der gehabten Früpredigt zu beschawen fürgestellet hat </t>
  </si>
  <si>
    <t xml:space="preserve">http://friedensbilder.gnm.de/sites/default/files/406207.jpg</t>
  </si>
  <si>
    <t xml:space="preserve">FriedensGedächtnüß der Fürstl. Sächs. Residentz-Stadt Weimar</t>
  </si>
  <si>
    <t xml:space="preserve">Hist.Germ.C.446</t>
  </si>
  <si>
    <t xml:space="preserve">Zapf, Nicolaus
Chemnitius, Christianus
Zochmann, Johannes
Mose, Martinus</t>
  </si>
  <si>
    <t xml:space="preserve">Freyschmidt</t>
  </si>
  <si>
    <t xml:space="preserve">14:017862P</t>
  </si>
  <si>
    <t xml:space="preserve">http://digital.slub-dresden.de/id383388171</t>
  </si>
  <si>
    <t xml:space="preserve">Micha 7,18f</t>
  </si>
  <si>
    <t xml:space="preserve">[89] Bl.</t>
  </si>
  <si>
    <t xml:space="preserve">Wegen des von Gott dem Heil. Röm. Reiche Gnädig verliehenen Allgemeinen Friedens</t>
  </si>
  <si>
    <t xml:space="preserve">Am 19. Augusti 1650. in fürstlicher Volckreicher versamlung und procession feyerlich gehalten</t>
  </si>
  <si>
    <t xml:space="preserve">http://friedensbilder.gnm.de/sites/default/files/Friedensgedächtnus.jpg</t>
  </si>
  <si>
    <t xml:space="preserve">FriedensPredigt</t>
  </si>
  <si>
    <t xml:space="preserve">8 an Ab. 4. 8</t>
  </si>
  <si>
    <t xml:space="preserve">Weller, Rudolph</t>
  </si>
  <si>
    <t xml:space="preserve">Kühne</t>
  </si>
  <si>
    <t xml:space="preserve">75:704353M</t>
  </si>
  <si>
    <t xml:space="preserve">Ps 65,8</t>
  </si>
  <si>
    <t xml:space="preserve">27 S.</t>
  </si>
  <si>
    <t xml:space="preserve">Darinnen die Grosse Uberschwengliche Wol- und Gutthat welche der getrewe Gott seiner hochbetrangten Kirchen durch den zu Münster und Oßnabruck den 14. Octobr. Anno 1648. geschlossenen anjetzo aber durch seine Gnad nunmehr in das Werck gesetzten Frieden Vätterlich erzeiget hat männiglich erbawlich vor Augen gestellet und zu Hertzen geführet wird </t>
  </si>
  <si>
    <t xml:space="preserve">Auß dem 8. verß deß 65. Psalmens ... Den 11. Augusti deß 1650. Jahrs An dem damals angestellten grossen Danck- und FriedensFest zu Eßlingen in der Barfüsser Kirchen bey Volckreicher Versamblung gehalten</t>
  </si>
  <si>
    <t xml:space="preserve">http://friedensbilder.gnm.de/sites/default/files/b04d3e12-282d-442c-a9f2-412fb37efa71.jpg</t>
  </si>
  <si>
    <t xml:space="preserve">Eine Christliche Predigt Auß dem Worten in den Apostolischen Geschichten am 9. Capitel Vers. 31. So hatten nun die Gemeinen Friede durch gantz Judaea und Galilaea und Samaria, und baweten sich und wandelten in der Furcht deß Herrn und warden erföllet mit Trost deß Heiligen Geistes</t>
  </si>
  <si>
    <t xml:space="preserve">Theol.ev.asc.514.w,misc.2</t>
  </si>
  <si>
    <t xml:space="preserve">Walther, Michael</t>
  </si>
  <si>
    <t xml:space="preserve">23:327752M</t>
  </si>
  <si>
    <t xml:space="preserve">http://digital.slub-dresden.de/id367356589</t>
  </si>
  <si>
    <t xml:space="preserve">Apg 9,31</t>
  </si>
  <si>
    <t xml:space="preserve">Am Neunden Sonntag Trinitatis, Anno 1650. Bey dem öffentlichen Danck- und Frewdenfest wegen Wiederstattung deß edelen Friedes </t>
  </si>
  <si>
    <t xml:space="preserve">In der Kirchen zu Zell bey Volckreicher Versammlung gehalten</t>
  </si>
  <si>
    <t xml:space="preserve">http://friedensbilder.gnm.de/sites/default/files/Walther.jpg</t>
  </si>
  <si>
    <t xml:space="preserve">4 an Ab. 4. 8</t>
  </si>
  <si>
    <t xml:space="preserve">Wagner, Tobias</t>
  </si>
  <si>
    <t xml:space="preserve">1:085459C</t>
  </si>
  <si>
    <t xml:space="preserve">4Hom.189</t>
  </si>
  <si>
    <t xml:space="preserve">http://www.mdz-nbn-resolving.de/urn/resolver.pl?urn=urn:nbn:de:bvb:12-bsb11065824-1</t>
  </si>
  <si>
    <t xml:space="preserve">[1] Bl., 60 S.</t>
  </si>
  <si>
    <t xml:space="preserve">Das ist Eßlinger FrewdenFest Uber dem Allgemeinen ReichsFrieden</t>
  </si>
  <si>
    <t xml:space="preserve">Mit Ankünden Singen Betten Predigen Loben und Dancken den 11. Tag Augusti dieses hinlauffenden 1650. Jahrs celebrirt. Sampt beygefügter Glückwünschungs-Predig uber der Ordentlichen den 28. Iulii vorhergangenen RegentenWahl Gott zu Ehren und Erbawung der Gemein auff Begehren publicirt</t>
  </si>
  <si>
    <t xml:space="preserve">http://friedensbilder.gnm.de/sites/default/files/1504711242bsb11065824.jpg</t>
  </si>
  <si>
    <t xml:space="preserve">Predigt</t>
  </si>
  <si>
    <t xml:space="preserve">Danck-Predicatie / Uyt den CXXII. Psalm,</t>
  </si>
  <si>
    <t xml:space="preserve">Belg. 321 q-8</t>
  </si>
  <si>
    <t xml:space="preserve">Streso, Casparus
Doll, Jasper</t>
  </si>
  <si>
    <t xml:space="preserve">Knuttel</t>
  </si>
  <si>
    <t xml:space="preserve">Nr. 7036</t>
  </si>
  <si>
    <t xml:space="preserve">http://www.mdz-nbn-resolving.de/urn/resolver.pl?urn=urn:nbn:de:bvb:12-bsb10277122-4</t>
  </si>
  <si>
    <t xml:space="preserve">Gedaen in ‘Graven-Hage den 21 Augusti 1651, Op de groote Zaele / in de Doorluchtige ende Hoogh-aensienlicke Vergaderinge van de Hooge Machten der Seven Gheuniierde Nederlandtsche Provintien.</t>
  </si>
  <si>
    <t xml:space="preserve">Voor de eendrachtige vast-stellinge van ghewichtige saecken, behoorende tot den Vrede van Staet en Kercke.</t>
  </si>
  <si>
    <t xml:space="preserve">IN ‘s GRAVEN-HAGE, Voor JASPER DOLL, Boeck-verkooper, woonende inde Gort-straet.</t>
  </si>
  <si>
    <t xml:space="preserve">http://friedensbilder.gnm.de/sites/default/files/1504211297bsb10277122_page2_image2.jpg</t>
  </si>
  <si>
    <t xml:space="preserve">Danck-Predicatie / Uyt den CXXII. Psalm,, Belg. 321 q-8</t>
  </si>
  <si>
    <t xml:space="preserve">Laugingische Newe Jahrs-Schanckung/</t>
  </si>
  <si>
    <t xml:space="preserve">4 Hom. 1732 f</t>
  </si>
  <si>
    <t xml:space="preserve">Pistorius, Georg</t>
  </si>
  <si>
    <t xml:space="preserve">Akademische Truckerei, Dillingen a. d. Donau</t>
  </si>
  <si>
    <t xml:space="preserve">Dillingen a.d. Donau</t>
  </si>
  <si>
    <t xml:space="preserve">12:204660A</t>
  </si>
  <si>
    <t xml:space="preserve">http://reader.digitale-sammlungen.de/resolve/display/bsb10986852.html</t>
  </si>
  <si>
    <t xml:space="preserve">[5] Bl., 46 S.</t>
  </si>
  <si>
    <t xml:space="preserve">Oder/ Catholische Predig/ uber die Wort deß Propheten Joëlis/ Cap. 2. 25. Ich will Euch die Jahr widerumb Erstatten / welche Euch die Hewschrecken / Keffer / Rauppen / und Milthaw / mein groß Kriegsheer / welches Ich hab under Euch geschickt / Abgefressen haben.</t>
  </si>
  <si>
    <t xml:space="preserve">Darauß / Erklärt wirdt / was die Vergangene Jahr / die Verderbliche Krieg den Menschen für Schaden zugefügt: Wie krafft deß wahren Fridens/ die Alte gute Jahr / und guldene Zeiten zuhoffen/ und durch was Mittel/ wir uns derselben theilhafftig machen sollen: Den 1. Tag Januarii / 1651. Gehalten...</t>
  </si>
  <si>
    <t xml:space="preserve">Gedruckt zu Dilingen / in der Academischen Truckery.</t>
  </si>
  <si>
    <t xml:space="preserve">http://friedensbilder.gnm.de/sites/default/files/bsb10986852_00005.jpg</t>
  </si>
  <si>
    <t xml:space="preserve">Die Neujahrs-Predigt, die der Priester Georg Pistorius (1600–1665) in seiner Gemeinde Lauingen an der Donau hielt, ist eine der wenigen katholischen Friedenspredigten, die im Druck erschienen sind. Bezeichnenderweise nimmt die Predigt im Titel nicht direkt auf den Westfälischen Frieden oder der Einigung auf dem Nürnberger Friedensexekutionskongress Bezug, sondern handelt allgemein über die „Kriege der vergangenen Jahre“ und den wahren Frieden „und guldene Zeiten zu hoffen und durch was Mittel wir uns derselben theilhafftig machen sollen.“ In detaillierter Exegese legt Pistorius die im Predigttext Joel 2,25 genannten Plagen aus und zieht eine Vielzahl von Kirchenvätern und anderen Autoritäten heran, bevor er auf S. 13 erstmals eine konkrete Verbindung zu seiner Gegenwart herstellt: „...mehr als bey dreyssig Jahren her haben inn dem Teutschlandt auch underschidliche, Großmächtige Kriegs-Heer von allerhand, auch von außländischen Nationen und grimmigen Völckern alswie Panterthier grassiert, und aller Orthen Einfall gethan, allenthalben als wie die Abentwölff Barabrisch gehauset und alles, als wie die hayßhungerige Raubthier und Vögel hinweg genommen und verderbt: auch böse und gefährliche Zeitten verursacht.“ Laugingen selber habe unter Hunger, Plünderungen und erzwungenen Kontributionen gelitten. Wie seine protestantischen Zeitgenossen hebt auch Pistorius den Krieg als die schlimmste göttliche Strafe hervor. Er betont die Tröstungen des Friedens: Abzug fremder Heere, Ende der Einquartierungen und Kontributionen und Wiederherstellung der rechten Regierung. Jedoch:„... mercket, daß Gott wegen deß Frids, und darauf folgender guten Jahren zur Frewd ladet und frölich sein lasset die Töchteren Syon, das ist die rechtglaubige Kinder der Allein Seeligmachenden Catholischen Kirchen. Welche sich aber ausser dises Glaubens, ab dem Frieden und dardurch erlangter Freyheit in allerhand Secten frey sicher zu Leben erfrewen: Laetantur in NIHILO. Die frewen sich in nichts, und sagen, sie haben Hörner auß eiygner Krafft uberkommen.“ Auch im abschließenden Teil der Predigt, in dem erörtert wird „durch was Mittel wir die gute Jahr und Guldene Zeitten erlangen, und uns deß Zeitlichen und Ewigen Friedens Theylhafftig machen sollen“, propagiert Pistorius für die bevorstehende Friedenszeit allein die Rückkehr zu den alten Werten: „Die alte Jahr seind gutt, und die alten Zeitten Gulden gewesen, weylen die Leutt in disen Jahren in Frombkeit und GottsForcht gelebt haben.“HPJ</t>
  </si>
  <si>
    <t xml:space="preserve">Laugingische Newe Jahrs-Schanckung/, 4 Hom. 1732 f</t>
  </si>
  <si>
    <t xml:space="preserve">https://friedensbilder-neu.gnm.de/sites/default/files/2019-06/4-Hom_0.png</t>
  </si>
  <si>
    <t xml:space="preserve">http://friedensbilder.gnm.de/content/frieden_foto_order1ad954</t>
  </si>
  <si>
    <t xml:space="preserve">Friedens-Mittel Des Geistreichen Propheten Esaiae/</t>
  </si>
  <si>
    <t xml:space="preserve">19 an: Ee 710-181</t>
  </si>
  <si>
    <t xml:space="preserve">Lesemann, Heinrich
Philipp, Graf zu Schawenburg Lippe und Sternberg
Wilhelm VI., Landgraf zu Hessen</t>
  </si>
  <si>
    <t xml:space="preserve">56:738444V</t>
  </si>
  <si>
    <t xml:space="preserve">Stadtbibliothek Braunschweig</t>
  </si>
  <si>
    <t xml:space="preserve"> M 506/7 (4°)</t>
  </si>
  <si>
    <t xml:space="preserve">Vorrede datiert 11.6.1651</t>
  </si>
  <si>
    <t xml:space="preserve">Ministerialbibliothek</t>
  </si>
  <si>
    <t xml:space="preserve">32 S.</t>
  </si>
  <si>
    <t xml:space="preserve">Wodurch dem Kriege gestewret und der liebe Friede wiedergebracht/ und hinfüro beständig kan erhalten werden</t>
  </si>
  <si>
    <t xml:space="preserve">Am angestellten Christlichen Buß- und Bet-Tage In einer Predigt den 18. Tag Decembr. Anno 1650 der Gemeine Gottes zu Obernkirchen gezeiget</t>
  </si>
  <si>
    <t xml:space="preserve">http://friedensbilder.gnm.de/sites/default/files/1_037448F_001,800,600[1].gif</t>
  </si>
  <si>
    <t xml:space="preserve">Postilion, Sive Nuncius Pacis, Daß ist Frölicher Friedens Botte</t>
  </si>
  <si>
    <t xml:space="preserve">Alv. Lf 107 (14)</t>
  </si>
  <si>
    <t xml:space="preserve">Christiani, Christian</t>
  </si>
  <si>
    <t xml:space="preserve">23:251494T</t>
  </si>
  <si>
    <t xml:space="preserve">http://nbn-resolving.de/urn:nbn:de:gbv:3:1-511361</t>
  </si>
  <si>
    <t xml:space="preserve">[26] Bl. </t>
  </si>
  <si>
    <t xml:space="preserve">Oder Ein Christlicher Theologischer Bericht von der frölichen Friedens avise und Friedens Zeitung die der Allerhöchste dem H. Römischen Reich Teutscher Nation kurtz verruckter Zeit in verleihung und ankündigung des Friedens bezeiget und gnediglich wiederfahren lassen. Was für eine grosse Wolthat es sey die wir billig erkennen und wie wir uns gegen dieselbe hinwieder bezeigen und verhalten sollen, daß wir uns dafür gegen Gott und unsern Nechsten danckbar beweisen mögen.</t>
  </si>
  <si>
    <t xml:space="preserve">Zu Confirmirung und Geistlichen Benedeyung deren hievon allbereit vorhin genungsam erschollenen und außgebrochenen Zeitungen, die uns durch allerleyi pacta pacis vorhin kund worden, daß dieselbe dadurch möchten gesegnet und vervestiget werden, der Heiligen Christlichen Kirchen aller örter und sonderlich den AltMärckschen und Prignitzischen Städten in ChurFürstenthumb Brandenburg zur allgemeinen congratulation des Friedens zugeschickt.</t>
  </si>
  <si>
    <t xml:space="preserve">http://friedensbilder.gnm.de/sites/default/files/8275531.jpg</t>
  </si>
  <si>
    <t xml:space="preserve">Patheticum Patriae nostrae, &amp; Chori Evangelici Iubilate</t>
  </si>
  <si>
    <t xml:space="preserve">J 323.4° Helmst. (7)</t>
  </si>
  <si>
    <t xml:space="preserve">Carrl, Johann
Kobürger, Johann Philip
Witkopff, Georg
Schirmer, Paul
Stempel, Johan
Pfau, Casparus
Windeln, Nicolaus
Hedling, Michel
Töpffer, Mauritius
Schröder, Cosmus
Wegner, Lippolt
Klein, Sebastian</t>
  </si>
  <si>
    <t xml:space="preserve">Kolwald</t>
  </si>
  <si>
    <t xml:space="preserve">23:272312F</t>
  </si>
  <si>
    <t xml:space="preserve">38 Bl.</t>
  </si>
  <si>
    <t xml:space="preserve">Eine hertzliche Klag- Danck- und- Vermanungs Predigt auß dem 66. Psalm. Iubilate Deo: Jauchtzet Gott alle Land etc. ...</t>
  </si>
  <si>
    <t xml:space="preserve">Als das in Böhmen anfänglich angezündete und durch ganz Europam über 30. Jahr wütende Kriegsfewer wiederumb gedämpffet und durch einen allgemeinen Frieden aussgelöschet worden</t>
  </si>
  <si>
    <t xml:space="preserve">http://friedensbilder.gnm.de/sites/default/files/23_272312F_001,800,600[1].gif</t>
  </si>
  <si>
    <t xml:space="preserve">Actions Pvbliqves De M. François Ogier Prestre Et Predicatevr</t>
  </si>
  <si>
    <t xml:space="preserve">916373 4 Hom. 1616</t>
  </si>
  <si>
    <t xml:space="preserve">
Villac, Louis de</t>
  </si>
  <si>
    <t xml:space="preserve">http://reader.digitale-sammlungen.de/resolve/display/bsb10365450.html</t>
  </si>
  <si>
    <t xml:space="preserve">03 - T.hom. 4° 00227</t>
  </si>
  <si>
    <t xml:space="preserve">http://friedensbilder.gnm.de/sites/default/files/1505133614bsb10365450.jpg</t>
  </si>
  <si>
    <t xml:space="preserve">http://friedensbilder.gnm.de/content/frieden_object14854e</t>
  </si>
  <si>
    <t xml:space="preserve">Krieges-Last an den Schwerdtern und Friedens-Rast am Rauten-Krantz im Chur-Fürstlichen Sächsischen Wappen</t>
  </si>
  <si>
    <t xml:space="preserve">Pon Vc 3511, QK</t>
  </si>
  <si>
    <t xml:space="preserve">Lehmann, Michael Theophilus</t>
  </si>
  <si>
    <t xml:space="preserve">14:015540L</t>
  </si>
  <si>
    <t xml:space="preserve">http://nbn-resolving.de/urn:nbn:de:gbv:3:1-36713</t>
  </si>
  <si>
    <t xml:space="preserve">[38] Bl.</t>
  </si>
  <si>
    <t xml:space="preserve">beym Höchsterfreulichen Friedens-Danck-Fest Anno 1650 in zwo Predigten betrachtet </t>
  </si>
  <si>
    <t xml:space="preserve">Und wie eines mit dem andern übereinkomme oder nicht gewiesen</t>
  </si>
  <si>
    <t xml:space="preserve">http://friedensbilder.gnm.de/sites/default/files/423177.jpg</t>
  </si>
  <si>
    <t xml:space="preserve">Trinum irenicum, Deo sacrum. Oder Drey kurtze Friedens-Sermonen </t>
  </si>
  <si>
    <t xml:space="preserve">1299.1 Theol. (2)</t>
  </si>
  <si>
    <t xml:space="preserve">Reinmann, Georg Friederich</t>
  </si>
  <si>
    <t xml:space="preserve">Birckner</t>
  </si>
  <si>
    <t xml:space="preserve">23:651477M</t>
  </si>
  <si>
    <t xml:space="preserve">[60] Bl.</t>
  </si>
  <si>
    <t xml:space="preserve">deren 1. Eine christliche Vorbereitung zum Friedens Fest. 2. Ein geistliches Echo, oder Nachschall. 3. Ein geistliches Vergißmeinnicht gedachten lieben Frieden-Fests </t>
  </si>
  <si>
    <t xml:space="preserve">Aus der Trawrigen Histori von der Erbärmlichen Zerstörung der Stadt Jerusalem und nach Verlesung derselben Zu Rudelstadt in der Pfarrkirchen zur Ehre gottes unterschiedlich gehalten und ... nebenst angehengtem Bericht, wie das Friedens-Fest zu Rudelstadt begangen worden, in Druck geben ... darbey ist zu finden ein Abdruck des Rudelstadischen Danck und Frieden Gebehts</t>
  </si>
  <si>
    <t xml:space="preserve">http://friedensbilder.gnm.de/sites/default/files/23-651477M_001.jpg</t>
  </si>
  <si>
    <t xml:space="preserve">Friedens-Predig Am Fest aller lieben Heiligen Gottes 1653</t>
  </si>
  <si>
    <t xml:space="preserve">4 Hom. 1876</t>
  </si>
  <si>
    <t xml:space="preserve">Rosenthal, Johannes</t>
  </si>
  <si>
    <t xml:space="preserve">Krafft</t>
  </si>
  <si>
    <t xml:space="preserve">12:206674W</t>
  </si>
  <si>
    <t xml:space="preserve">http://www.mdz-nbn-resolving.de/urn/resolver.pl?urn=urn:nbn:de:bvb:12-bsb10365804-0</t>
  </si>
  <si>
    <t xml:space="preserve">Als Bey wehrender Pontifical Meeß Deß ... H. Maximiliani Henrici Ertzbischoffs zu Cölln deß H. Römischen Reichs durch Italien Ertz-Cantzlers unnd Chur-Fürstens ... Die Durchleuchtigste Fürstin und Fraw F. Elisabeth Amelia Pfaltzgrävin bey Rhein in Bäyern zu Gülich Cleve und Berg Hertzogin gebohrne Landgrävin zu Hessen [et]c. ... Offentliche Bekantnuß deß Catholischen Glaubens thäte in S. Andreae Kirch zu Düsseldorff</t>
  </si>
  <si>
    <t xml:space="preserve">http://friedensbilder.gnm.de/sites/default/files/1505135644bsb10365804.jpg</t>
  </si>
  <si>
    <t xml:space="preserve">Friedenspredig am Fest aller lieben Heiligen Gottes 1653, 4 Hom. 1876</t>
  </si>
  <si>
    <t xml:space="preserve">Friedenspredig am Fest aller lieben Heiligen Gottes 1653</t>
  </si>
  <si>
    <t xml:space="preserve">Action De Graces Povr La Pvblication De La Paix Entre L'Angleterre Et Les Provinces Vnies</t>
  </si>
  <si>
    <t xml:space="preserve">Johannes a Lasco Bibliothek</t>
  </si>
  <si>
    <t xml:space="preserve">Emden</t>
  </si>
  <si>
    <t xml:space="preserve">Theol. 8° 7540 YB (n.3)</t>
  </si>
  <si>
    <t xml:space="preserve">Gaches, Raymond
Vendsome, Louis</t>
  </si>
  <si>
    <t xml:space="preserve">Charenton-le-Pont</t>
  </si>
  <si>
    <t xml:space="preserve">https://books.google.de/books?id=MJsOAAAAQAAJ&amp;printsec=frontcover&amp;hl=de&amp;source=gbs_ge_summary_r&amp;cad=0#v=onepage&amp;q&amp;f=false</t>
  </si>
  <si>
    <t xml:space="preserve">42 S.</t>
  </si>
  <si>
    <t xml:space="preserve">Ov Sermon Svr Le Pseaume CXXII. verset 6. Prononcé dans l'Hostel de Monseigneur l'Ambassadeur des Provinces Vnies, le 2. Iuin 1654</t>
  </si>
  <si>
    <t xml:space="preserve">http://friedensbilder.gnm.de/sites/default/files/Action_de_graces_pour_la_publication_de.jpg</t>
  </si>
  <si>
    <t xml:space="preserve">Action De Graces Povr La Pvblication De La Paix Entre L'Angleterre Et Les Provinces Vnies., Theol. 8° 7540 YB (n.3)</t>
  </si>
  <si>
    <t xml:space="preserve">Action De Graces Povr La Pvblication De La Paix Entre L'Angleterre Et Les Provinces Vnies.</t>
  </si>
  <si>
    <t xml:space="preserve">Brennender Pusch / Das ist/ Zwo Jubel- und Danck-Predigten</t>
  </si>
  <si>
    <t xml:space="preserve">Pon Yb 531, QK</t>
  </si>
  <si>
    <t xml:space="preserve">Weller, Jacob
Bergen, Melchior
Bergen, Christian</t>
  </si>
  <si>
    <t xml:space="preserve">14:009302C</t>
  </si>
  <si>
    <t xml:space="preserve">http://nbn-resolving.org/urn:nbn:de:gbv:3:1-57745</t>
  </si>
  <si>
    <t xml:space="preserve">52 Bl.</t>
  </si>
  <si>
    <t xml:space="preserve">auff den / von Churfürstl. Durchl. zu Sachsen / aus höchst-gottseligem Gemüthe / Gott zu Ehren und schuldigster Danckbarkeit/ in deroselben Chur: Fürstenthümern und Landen/ wegen deß vor hundert Jahren auffgerichteten Religions-Frieden in Teutschland / geordneten Jubel-Fest / In beyseyn Seiner Churfürstlichen Durchlaucht. und den sich damahls habendem Churfüstl. Hause / Hoffstat / auch vielen Voclks / gehalten / </t>
  </si>
  <si>
    <t xml:space="preserve">Den 24. und 25. Tag Septembris dieses 1655. Jahrs in der Churfürstl. Schloßkirchen zu Freyberg / und auff gnädigstes Begehren in Truck gegeben</t>
  </si>
  <si>
    <t xml:space="preserve">Dreßden / In Verlegung Christian/ Druckts Melchior Bergen / Gebrüder.</t>
  </si>
  <si>
    <t xml:space="preserve">http://digitale.bibliothek.uni-halle.de/urn/urn:nbn:de:gbv:3:1-39030
&amp;nbsp;
Instruction Und Ordnung/ Nach welcher in Unsern/ von Gottes Gnaden Johanns Georgen/ Hertzogen zu Sachsen/ Jülich/ Cleve und Berg ... und Churfürstens ... Churfürstenthumb/ und gehörigen Alten und Neuen Landen/ das instehende Iubilaeum, Und Evangelische Danckfest/ auf den 25. Septemb. Anno 1655. zu halten.
</t>
  </si>
  <si>
    <t xml:space="preserve">http://friedensbilder.gnm.de/sites/default/files/632806.jpg</t>
  </si>
  <si>
    <t xml:space="preserve">Die vorliegende Ausgabe enthält zwei Predigten: eine Vorbereitungspredigt über Psalm 149 vom 24.9.1655 und eine Festpredigt über Psalm 125&amp;nbsp;vom 25.9.1655. Beide Predigten wurden aus Anlass des hundertsten Jahrestags des Augsburger Religionsfriedens&amp;nbsp;in Freiberg/Sachsen&amp;nbsp;gehalten&amp;nbsp;in Beisein des sächsischen Kurfürsten Johann Georg I., der das Fest auch angeordnet hatte.&amp;nbsp;Der Druck seiner Anordnung&amp;nbsp;hat sich ebenfalls erhalten. Beide Predigten erfüllen natürlich die in der Anordnung vorgesehenen&amp;nbsp;Anforderungen.Hofprediger Jakob Weller (1602–1664) nutzt beim Druck der Predigten eine übliche Technik: Er verschränkt seine eigenen Aussagen auf engste mit biblischen Zitaten. Die Nachweise für die Zitate werden am Rand gedruckt. Um Zitat und Predigt leichter auseinanderhalten zu können, sind die Zitate in einer etwas größeren Drucktype gesetzt. Bei der Vorbereitungspredigt wird diese Technik aber auch für andere Quellen angewendet. Hier zitiert Weller in den einleitenden Passagen nicht nur die Heilige Schrift, sondern vor allem historische Werke über den Augsburger Religionsfrieden und seine Bewertung, wobei er durchaus auch Schriften von konfessionellen Gegnern heranzieht. Er lässt mehrere Kaiser zu Wort kommen und betont, der Augsburger Religionsfrieden sei „der höchsten Wohlthaten Gottes eine, dardurch Friede und Ruhe im gantzen Römischen Reich erhalten und diese nicht eher in den blutigen Krieg verwandelt worden, biß man zuvorher durch allerley Räncke und Jesuitische Practicken, darduch unschuldigerweise viel hohe Personen verführet worden, solchen allgemeinen Religions-Frieden durchzulöchern gesuchet, weswegen wir auch, wegen Erhaltung dieses edlen Kleinods, so auffs neue im Osnabrüggischen Frieden bestätiget, Gott zu dancken höchstes Fleisses uns sollen bemühen.“&amp;nbsp;&amp;nbsp;HPJ</t>
  </si>
  <si>
    <t xml:space="preserve">Brennender Pusch / Das ist/ Zwo Jubel- und Danck-Predigten/ auff den / von Churfürstl. Durchl. zu Sachsen / aus höchst-gottseligem Gemüthe / Gott zu Ehren und schuldigster Danckbarkeit/ in deroselben Chur: Fürstenthümern und Landen/ wegen deß vor hundert Jahren auffgerichteten Religions-Frieden in Teutschland / geordneten Jubel-Fest / In beyseyn Seiner Churfürstlichen Durchlaucht. und den sich damahls habendem Churfüstl. Hause / Hoffstat / auch vielen Voclks / gehalten / Den 24. und 25. Tag Septembris dieses 1655. Jahrs in der Churfürstl. Schloßkirchen zu Freyberg / und auff gnädigstes Begehren in Truck gegeben/ von höchstgedachter Churfürstl Durchlauchtigkeit Ober Hoff-Predigern Jacobo Wellern D., Pon Yb 531, QK</t>
  </si>
  <si>
    <t xml:space="preserve">https://friedensbilder-neu.gnm.de/sites/default/files/2019-06/Pon-Yb-531-QK.png</t>
  </si>
  <si>
    <t xml:space="preserve">Brennender Pusch / Das ist/ Zwo Jubel- und Danck-Predigten/ auff den / von Churfürstl. Durchl. zu Sachsen / aus höchst-gottseligem Gemüthe / Gott zu Ehren und schuldigster Danckbarkeit/ in deroselben Chur: Fürstenthümern und Landen/ wegen deß vor hundert Jahren auffgerichteten Religions-Frieden in Teutschland / geordneten Jubel-Fest / In beyseyn Seiner Churfürstlichen Durchlaucht. und den sich damahls habendem Churfüstl. Hause / Hoffstat / auch vielen Voclks / gehalten / Den 24. und 25. Tag Septembris dieses 1655. Jahrs in der Churfürstl. Schloßkirchen zu Freyberg / und auff gnädigstes Begehren in Truck gegeben/ von höchstgedachter Churfürstl Durchlauchtigkeit Ober Hoff-Predigern Jacobo Wellern D.</t>
  </si>
  <si>
    <t xml:space="preserve">http://friedensbilder.gnm.de/content/frieden_foto_order195828</t>
  </si>
  <si>
    <t xml:space="preserve">Jubel-Fest-Posaune So zwölff unterschiedene Thöne Am Evangelisch-Lutherischen Friedes-Jubel und Danck-Fest Im Jahr nach Christus Geburt 1655. den 25. Herbstmonats gehalten</t>
  </si>
  <si>
    <t xml:space="preserve">Pon Yd 5125, QK</t>
  </si>
  <si>
    <t xml:space="preserve">Vinhold, Andreas</t>
  </si>
  <si>
    <t xml:space="preserve">3:636717D</t>
  </si>
  <si>
    <t xml:space="preserve">http://nbn-resolving.de/urn:nbn:de:gbv:3:1-64967</t>
  </si>
  <si>
    <t xml:space="preserve">Aus dem ... Text Jesaia Cap. 49. v. 7. 8. 9. 10. 11. 12. 13. erschallen lässet …</t>
  </si>
  <si>
    <t xml:space="preserve">http://friedensbilder.gnm.de/sites/default/files/738259.jpg</t>
  </si>
  <si>
    <t xml:space="preserve">Himlischer Reichs-Tag Gottes </t>
  </si>
  <si>
    <t xml:space="preserve">Pon Yd 3706, QK</t>
  </si>
  <si>
    <t xml:space="preserve">Stoltz, Christian</t>
  </si>
  <si>
    <t xml:space="preserve">Bergen
Löffler</t>
  </si>
  <si>
    <t xml:space="preserve">3:636557U</t>
  </si>
  <si>
    <t xml:space="preserve">http://nbn-resolving.org/urn:nbn:de:gbv:3:1-64926</t>
  </si>
  <si>
    <t xml:space="preserve">Welchen der Gott deß Friedens ... über das Aureum Seculum deß Neuen Testaments das ist: den Güldenen und nunmehr Hundert-Jährigen Cantzel-Kirchen- und Religion-Frieden im Heiligen Römischen Reich allergnädigst gehalten udn uff gnädigste Anordnung Churfürstl. Durchl. zu Sachsen etc. Aus dem XLIX. Cap. Esaja v. 7. biß 14. am Jubeltage A. 1655 der Gemeine Gottes in Pirn einfältig gewiesen hat</t>
  </si>
  <si>
    <t xml:space="preserve">http://friedensbilder.gnm.de/sites/default/files/737546.jpg</t>
  </si>
  <si>
    <t xml:space="preserve">Schuldige Freuden- und Lob-Rede über Das Jubel- und Dank-Fest/ </t>
  </si>
  <si>
    <t xml:space="preserve">463.3 Theol. 2° (3)</t>
  </si>
  <si>
    <t xml:space="preserve">Petermann, Tobias
Bergen, Melchior</t>
  </si>
  <si>
    <t xml:space="preserve">23:633687F</t>
  </si>
  <si>
    <t xml:space="preserve">http://diglib.hab.de/drucke/463-3-theol-2f-3s/start.htm</t>
  </si>
  <si>
    <t xml:space="preserve">5 Bl. </t>
  </si>
  <si>
    <t xml:space="preserve">Welches auf gnädigste Anordnung Ihrer Churfürstl. Durchl. zu Sachsen/ Wegen des vor Hundert Jahren löblich erhaltenen hochverpoenten Religion-Friedens/ auf dem instehenden 25. Tag des Herbstmonats hochfeierlich zubegehen</t>
  </si>
  <si>
    <t xml:space="preserve">Dreßden / Melchior Bergens Druck.</t>
  </si>
  <si>
    <t xml:space="preserve">http://friedensbilder.gnm.de/sites/default/files/463.3 Theol. 2° (3).jpg</t>
  </si>
  <si>
    <t xml:space="preserve">Der Rektor Tobias Petermann (ca. 1605–1687) verfasste 1655 eine poetische Rede, in der er die Situation des Luthertums im Reich seit dem Augsburger Religionsfrieden beschrieb. Anlass war ein Dankfest in Pirna am 25.09.1655 anlässlich des hundertjährigen Jubiläums des Augsburger Religionsfriedens. Die Feierlichkeiten waren von dem sächsischen Kurfürsten Johann Georg I. von Sachsen (1585–1656) angeordnet. Nachdem Petermann zum Dank an Gott aufruft, spricht er in seiner Dichtung das Luthertum direkt an und nimmt explizit Bezug auf das Jubiläum: „Hundert Jahre sind vorbei/ da dir [dem Luthertum] theuer ist beschworen/ das du seiest immer frei/ und dein Friede nicht verloren.“ Auch die Vorgeschichte des für die Lutheraner so bedeutenden Ereignisses werden im Text angesprochen, wenn es heißt: „Jenes Buch/ das Interim/ wart zugleich aufgehoben.“ Ferdinand I. (1503–1564), als Vertreter Kaiser Karls V. (1515–1558) am Reichstag, wird für die Beschlüsse gepriesen. Weiter geht der Verfasser auf die jeweilige Situation der Lutheraner unter den nachfolgenden Herrschern seit 1555 ein und stellt dabei zum Ende des Textes vor allem das Haus Sachsen heraus.&amp;nbsp;
FB
</t>
  </si>
  <si>
    <t xml:space="preserve">Schuldige Freuden- und Lob-Rede über Das Jubel- und Dank-Fest, 463.3 Theol. 2° (3)</t>
  </si>
  <si>
    <t xml:space="preserve">https://friedensbilder-neu.gnm.de/sites/default/files/2019-06/463-3-Theol.png</t>
  </si>
  <si>
    <t xml:space="preserve">Schuldige Freuden- und Lob-Rede über Das Jubel- und Dank-Fest</t>
  </si>
  <si>
    <t xml:space="preserve">http://friedensbilder.gnm.de/content/frieden_foto_order19f522</t>
  </si>
  <si>
    <t xml:space="preserve">Wunder des Religions Friedens</t>
  </si>
  <si>
    <t xml:space="preserve">Pon Ya 1104, QK</t>
  </si>
  <si>
    <t xml:space="preserve">Peisker, Gottfried Siegmund
Schede, Johann
Schreiter, Johann
Werdermann, Petrus
Peißker, Zacharias
Nitze, Oswals
Kotte, Caspar</t>
  </si>
  <si>
    <t xml:space="preserve">3:632658Q</t>
  </si>
  <si>
    <t xml:space="preserve">http://nbn-resolving.org/urn:nbn:de:gbv:3:1-52758</t>
  </si>
  <si>
    <t xml:space="preserve">Wie solches I. Von unsern Vorfahren eiverig begehrt II. Ihnen und uns in Gnaden worden gewehrt III. und Gott dafür soll werden geehrt. </t>
  </si>
  <si>
    <t xml:space="preserve">An dem deßwegen Von Churfürstl. Durchl. zu Sachsen [et]c. unsern gnädigsten Herrn Höchstrühmlich ausgeschriebenen und in dero gantzen Churfürstenthum und Landen hochfeyerlich begangenen Jubel-Fest den XXV. Septtembr. Anno 1655. In volckreicher Versammlung der Christlichen Gemeine zu Bischoffswerda gezeiget hernach übersehen und etwas vermehret auch Gott zu Ehren und den Nachkommen zum gedächtnüs in Druck gegeben</t>
  </si>
  <si>
    <t xml:space="preserve">http://friedensbilder.gnm.de/sites/default/files/606287.jpg</t>
  </si>
  <si>
    <t xml:space="preserve">Jubilum Davidico Christianum</t>
  </si>
  <si>
    <t xml:space="preserve">AB 154374 (3)</t>
  </si>
  <si>
    <t xml:space="preserve">Olearius, Gottfried</t>
  </si>
  <si>
    <t xml:space="preserve">Salfeld</t>
  </si>
  <si>
    <t xml:space="preserve">3:601382H</t>
  </si>
  <si>
    <t xml:space="preserve">http://digitale.bibliothek.uni-halle.de/vd18/content/pageview/6350460</t>
  </si>
  <si>
    <t xml:space="preserve">[12] Bl.</t>
  </si>
  <si>
    <t xml:space="preserve">Das ist Christliche Jubel-Feyr Aus des hocherleuchteten Propheten und Königs Davids CXXII. Psalm</t>
  </si>
  <si>
    <t xml:space="preserve">An dem Von des postulirten Administratoris, des Primats und Ertz-Stiffts Magdeburg Hertzogs Augusti zu Sachsen ... Den 25. Septembris dieses 1655. Jahres angestellten und hochfeyerlich gehaltenen Religion-Friedens-Jubel-Fest</t>
  </si>
  <si>
    <t xml:space="preserve">http://friedensbilder.gnm.de/sites/default/files/3_601382H_001,800,600[1].gif</t>
  </si>
  <si>
    <t xml:space="preserve">Christliche Huldigungs-Predigt öber die Worte 1. Chron. XIII. vs. 18. ... </t>
  </si>
  <si>
    <t xml:space="preserve">J 361.4° Helmst. (26)</t>
  </si>
  <si>
    <t xml:space="preserve">Lüdemann, Daniel</t>
  </si>
  <si>
    <t xml:space="preserve">Villiers</t>
  </si>
  <si>
    <t xml:space="preserve">23:630277Q</t>
  </si>
  <si>
    <t xml:space="preserve">Alß zwischen Dem ... Herrn Carolo Gustavo, der Schweden ... Könige ... Und Einem Edlen/ Ehrenvesten und Hochweisen Rath ... Der löblichen Stadt Bremen/ Guter Friede ... durch die gewöhnliche Huldigungs-Pflicht mit geböhrlichen solennitäten ... gestifftet worden/ Gehalten</t>
  </si>
  <si>
    <t xml:space="preserve">Wolfenbüttler Ex. nicht digitalisierbar, Berliner Ex. Kriegsverlust</t>
  </si>
  <si>
    <t xml:space="preserve">Rückfrage an Herrn Jürgens bzgl. Wolfenbütteler bzw. UB Bremen Exemplar (Signatur:&amp;nbsp;Brem.b.0593).</t>
  </si>
  <si>
    <t xml:space="preserve">Evangelischer Kirchen Leid/ Heil und Freud</t>
  </si>
  <si>
    <t xml:space="preserve">Pon Ya 3189, QK</t>
  </si>
  <si>
    <t xml:space="preserve">Lucius, Johannes Andreas</t>
  </si>
  <si>
    <t xml:space="preserve">125:010192Q</t>
  </si>
  <si>
    <t xml:space="preserve">http://nbn-resolving.de/urn:nbn:de:gbv:3:1-52025</t>
  </si>
  <si>
    <t xml:space="preserve">[4] Bl., 71 S.</t>
  </si>
  <si>
    <t xml:space="preserve">Aus dem 49. Cap. Esaiae vers. 7. 8. 9. 10. 11. 12. 13. An dem von wegen deß durch Gottes Gnade den 25. Septemb. deß 1555. Jahres auf dem Reichstage zu Augspurg im Heil. Röm. Reiche einhelliglich aufgerichteten und nunmehr hundert Jahr mächtiglich erhaltenen heilsamen und hochverpönten Religion-Friedens Gott im Himmel zu schuldigen Danck-Opffer Von Churfürstl. Durchlaucht. zu Sachsen ... Den 25. Tag Septemb. dieses 1655sten Jahres Angordneten und hochfeyerlich begangenen Evangelischen Jubel-Feste </t>
  </si>
  <si>
    <t xml:space="preserve">In der Churfürstl. Sächs. Residentz und Haupt-VestungsStadt Dreßden nach Mittage in der Kirchen zum Heil. Creutze bey Volckreicher Versamlung einfälig angeführet</t>
  </si>
  <si>
    <t xml:space="preserve">http://friedensbilder.gnm.de/sites/default/files/588684.jpg</t>
  </si>
  <si>
    <t xml:space="preserve">Hist.Sax.H.749,21.w</t>
  </si>
  <si>
    <t xml:space="preserve">125:010198L</t>
  </si>
  <si>
    <t xml:space="preserve">Die besten Tage eines rechtschaffenen Christen </t>
  </si>
  <si>
    <t xml:space="preserve">Aus dem II. versicul des 84. Psalms In zwo Predigten Deren Eine Bey Einweihung Der wieder auffgebauten Creutz-Kirchen Vor der Churfürstlichen Sächsischen Sechs-Stadt Zittau den 2. Dec. Die Andere aber An dem darauff angestellten Danck-Fest Den 18. Dito anno 1654</t>
  </si>
  <si>
    <t xml:space="preserve">http://friedensbilder.gnm.de/sites/default/files/a3aa2e4c-2c3e-4f38-97c4-148139166d88.jpg</t>
  </si>
  <si>
    <t xml:space="preserve">Jubel-Freud über den vor hundert Jahren publicirten Religion Frieden in Teutschland</t>
  </si>
  <si>
    <t xml:space="preserve">Hülsemann, Johann</t>
  </si>
  <si>
    <t xml:space="preserve">Wittigau</t>
  </si>
  <si>
    <t xml:space="preserve">39:114666X</t>
  </si>
  <si>
    <t xml:space="preserve">http://archive.thulb.uni-jena.de/ufb/receive/ufb_cbu_00000076</t>
  </si>
  <si>
    <t xml:space="preserve">30 S.</t>
  </si>
  <si>
    <t xml:space="preserve">Auff sonderbahren Befehl Churfürstlicher Durchl. zu Sachsen in dero Chur. und andern Landen Am XXV. Tag Septembris dieses MDCLV. Jahres hochfeyerlich gehalten unter andern auch aus dem CXXV. Psalm Davids In der Haubt-Kirchen zu S. Nicolai in Leipzig erkläret ...</t>
  </si>
  <si>
    <t xml:space="preserve">http://friedensbilder.gnm.de/sites/default/files/15e717153a1-2.jpg</t>
  </si>
  <si>
    <t xml:space="preserve">Silbernes Bollwerck der Kirchen Gottes und frommer Christen Betschule</t>
  </si>
  <si>
    <t xml:space="preserve">Hist.Sax.C.925</t>
  </si>
  <si>
    <t xml:space="preserve">Facilides, Christoph Siegmund
Johann Georg, Herzog zu Sachsen und Kurfürst</t>
  </si>
  <si>
    <t xml:space="preserve">14:009304T</t>
  </si>
  <si>
    <t xml:space="preserve">http://digital.slub-dresden.de/id333190645</t>
  </si>
  <si>
    <t xml:space="preserve">Das ist: Einfältige und kurtze Erklärung deß CXXV. Psalms An dem Von Churfürstl. Durchl. zu Sachsen ... wegen deß vor hundert Jahren auffgerichteten Religions-Frieden in Deutschland angesetzten allgemeinen Jubel-Fest Dem 25. Septembr. dieses 1655. Jahrs gehalten zu Possendorf ...</t>
  </si>
  <si>
    <t xml:space="preserve">http://friedensbilder.gnm.de/sites/default/files/Facilidis.png</t>
  </si>
  <si>
    <t xml:space="preserve">Christliche Betrachtung Deß Religion-Friedes / Wie derselbe / nach entstandenem / schweren Religion-Kriege / und besorglicher grossen Zerrüttung des Heiligen Römischen Reichs / zwischen den Römisch-Catholischen / und Augspurgischer Confeßion-Verwandten / nunmehro vor hundert Jahren anfangs zu Passau beredet / hernach zu Augspurg ratificiret und vollzogen worden:</t>
  </si>
  <si>
    <t xml:space="preserve">Clauder, Jacob
Wittigau, Johann</t>
  </si>
  <si>
    <t xml:space="preserve">125:010196V</t>
  </si>
  <si>
    <t xml:space="preserve">http://archive.thulb.uni-jena.de/ufb/receive/ufb_cbu_00000072</t>
  </si>
  <si>
    <t xml:space="preserve">Auff gnädigste Verordnung Deß Durchl. Hochgebornen Churf. zu Sachsen. am 25. Septem. 1655. </t>
  </si>
  <si>
    <t xml:space="preserve">Bey der Christlichen Gemeinde zu Delitzsch / in einer Jubel-Fests-Predigt / über den CXXV. Psalm. angestellet/ und frommer Zuhörer Begehren zu erfüllen/ zum Gedächtnüß publiciret von L. Jacob Claudern/Pfarrern und Superinr. daselbst.</t>
  </si>
  <si>
    <t xml:space="preserve">Gedruckt und zufinden bey Johann Wittigaun/ Anno 1656.</t>
  </si>
  <si>
    <t xml:space="preserve">http://friedensbilder.gnm.de/sites/default/files/Christliche Betrachtung.jpg</t>
  </si>
  <si>
    <t xml:space="preserve">Jacob Clauder (1617–1669), Pfarrer und Superintendent im sächsischen Delitzsch, hielt am 100. Jahrestag der Ratifikation des Augsburger Religionsfriedens, dem 25.9.1655, eine Jubiläumspredigt. Darin bemühte er sich erkennbar um historische Detailgenauigkeit, weshalb er den Frieden nicht wie schon damals üblich als Augsburger Religionsfrieden bezeichnete, sondern ihn als „Passauischen Religion-Friede“ titulierte, weil er auf Grundlage des Passauer Vertrags von 1552 geschlossen wurde. Clauder baute seine Predigt über den 125. Psalm nach einer kurzen Auslegung des Predigttexts als Entfaltung einer Aussage auf: „Der Passawische Religion-Friede, welcher am heutigen Tage vor hundert Jahren zwischen denen so genannten Römisch-Catholischen und der Augspurgischen Confeßion Verwandten zu Augspurg ratificiret und vollzogen worden, ist ein Göttliches, heilsames und höchstnotwendiges Werk. Aus dieser Proposition folget ein Stück aus dem andern, darum Euer Christliche Liebe recht aufmerckende Andacht hierzu behalten wolle und ob sichs etwa damit über die gewöhnliche Zeit verweilen möchte, solches der ungewöhnlichen Marteri und daß unser keiner diesen Tag über hundert Jahr wieder erleben werde, vernünfftig beymessen.“&amp;nbsp;Er leitet den Friedensschluss aus der Vorgeschichte her, beginnend mit der Confessio Augustana, und spart nicht mit Vorwürfen gegen die als „Papisten“ geschmähte römisch-katholische Seite. In ihrer detailverliebten Argumentation mit zahlreichen Nachweisen aus Luthers Werken und der protestantischen Chronik des Johannes Sleidan ähnelt die gedruckte Fassung seiner Predigt eher einer historischen Vorlesung, die ihre Zuhörer bei mehr als 20 engbedruckten Quartseiten Text vermutlich in der Tat länger als üblich in Anspruch genommen hat.HPJ</t>
  </si>
  <si>
    <t xml:space="preserve">https://friedensbilder-neu.gnm.de/sites/default/files/2019-06/Th-8-03012-17.png</t>
  </si>
  <si>
    <t xml:space="preserve">http://friedensbilder.gnm.de/content/frieden_foto_order195204</t>
  </si>
  <si>
    <t xml:space="preserve">Verus &amp; Maerus Jubilaeum Celebrandi Modus</t>
  </si>
  <si>
    <t xml:space="preserve">48.1.11.(15)</t>
  </si>
  <si>
    <t xml:space="preserve">Beerensprung, Daniel
Bose, Carl
Stibar von Buttenheim, Sophia</t>
  </si>
  <si>
    <t xml:space="preserve">Goepner</t>
  </si>
  <si>
    <t xml:space="preserve">125:013908H</t>
  </si>
  <si>
    <t xml:space="preserve">das ist Rechte Art und gute Weiß Wie doch das Jubel-Fest sey feyerlich zu halten </t>
  </si>
  <si>
    <t xml:space="preserve">... Welche Aus dem 125. Psalm Davids Am H. in Churfuerstenthumb Sachsen angeordneten und den 25. Septembris im Jahre Christi gehaltenen Danck- und Jubel-Fest In der Schloß-Kirchen zu Netzschkau bey der Frueh- und Ampts-Predigt ist gezeiget ausgefuehret und hernach zum Druck ueberreichet worden </t>
  </si>
  <si>
    <t xml:space="preserve">Festum Iobeleum Eucharistico-Votivum</t>
  </si>
  <si>
    <t xml:space="preserve">Bu 5918:14</t>
  </si>
  <si>
    <t xml:space="preserve">Calov, Abraham</t>
  </si>
  <si>
    <t xml:space="preserve">Borckardt</t>
  </si>
  <si>
    <t xml:space="preserve">35:730292S</t>
  </si>
  <si>
    <t xml:space="preserve">[19] Bl. </t>
  </si>
  <si>
    <t xml:space="preserve">Oder Christliches Jobel- Danck- und Bett-Fest Wegen des vor hundert Jahren durch Gottes sonderbare Gnade erhaltenen Augspurgischen Friedens/ </t>
  </si>
  <si>
    <t xml:space="preserve">Und auf gnädigste Anordnung Ihrer Churfürst. Durchl. zu Sachsen &amp;c. Zu Lob und Preiß Gottes des Allerhöchsten am offentlichen Jobel-Fest/ Den 25. Septembris Des 1655sten Jahres ... In der Pfar-Kirchen der Chur-Stadt Wittenberg/ In sehr volckreicher Versamlung Auß dem CXXV Pslam Vorgetragen und auff begehren ausgefertiget</t>
  </si>
  <si>
    <t xml:space="preserve">http://friedensbilder.gnm.de/sites/default/files/35_730292S_001,800,600.png</t>
  </si>
  <si>
    <t xml:space="preserve">CASUAL Predigten/ Über allerhand bedenckliche schwere Fäll/ welche sich in nechst verschlossenen Jahren und gefährlichen Zeiten haben begeben/ Sampt underschiedlichen / mit einlauffenden/ wichtigen Tractaten und Discursen,</t>
  </si>
  <si>
    <t xml:space="preserve">158.3 Theol.</t>
  </si>
  <si>
    <t xml:space="preserve">Wagner, Tobias
Wächtler, Kaspar</t>
  </si>
  <si>
    <t xml:space="preserve">23:324061K</t>
  </si>
  <si>
    <t xml:space="preserve">[8] Bl., 920, 16 S., S. 921 - 1080 [i.e. 1072] S., [9] Bl.</t>
  </si>
  <si>
    <t xml:space="preserve">Männiglichen/ sowol Staats-Personen/ als andern zu erwegen nöthig und erbaulich: </t>
  </si>
  <si>
    <t xml:space="preserve">Durch Tobiam Wagnern / der H. Schrift Doct. Professorn und Procancellarium bey der Universitet Tübingen / der Kirch Decanum und deß Fürst. Stipendii Superintendenten.</t>
  </si>
  <si>
    <t xml:space="preserve">Gedruckt zu Stutgart/ In Verlegung Caspar Wächtlers / Buchhändlers in Franckfurt.</t>
  </si>
  <si>
    <t xml:space="preserve">Predigtsammlung, enthält laut Praetorius, Bibliotheca Homiletica Pars Prima 1711, S. 1178, auf S. 249 und 487 Predigten zum Thema Frieden.</t>
  </si>
  <si>
    <t xml:space="preserve">http://friedensbilder.gnm.de/sites/default/files/158.3 Theol..pdf</t>
  </si>
  <si>
    <t xml:space="preserve">Redaktion:GND-Verknüpfung zum Verleger Kaspar Wächtler muss hinterlegt werden:&amp;nbsp;http://d-nb.info/gnd/103155864--&amp;gt; nicht eingespielt (ALS)</t>
  </si>
  <si>
    <t xml:space="preserve">http://friedensbilder.gnm.de/content/frieden_object1946d7
http://friedensbilder.gnm.de/content/frieden_object194862</t>
  </si>
  <si>
    <t xml:space="preserve">http://friedensbilder.gnm.de/content/frieden_foto_order194490</t>
  </si>
  <si>
    <t xml:space="preserve">Il 4344 (3)</t>
  </si>
  <si>
    <t xml:space="preserve">Zum andernmal aufgelegt/ und von neuem übersehen</t>
  </si>
  <si>
    <t xml:space="preserve">3:613933C</t>
  </si>
  <si>
    <t xml:space="preserve">http://vd17.bibliothek.uni-halle.de/pict/2002/3:613933C/</t>
  </si>
  <si>
    <t xml:space="preserve">[11] Bl, 125 S., [4] Bl. 2 Kupfert.</t>
  </si>
  <si>
    <t xml:space="preserve">Welches den Ersten und den Andern Sonntag nach dem Fest der heiligen Dreyeinigkeit dieses laufenden 1650. Jahrs zu Nürnberg in der Kirchen zu S. Sebald angestellet worden</t>
  </si>
  <si>
    <t xml:space="preserve">http://friedensbilder.gnm.de/sites/default/files/3-613933C_002_X.jpg</t>
  </si>
  <si>
    <t xml:space="preserve">The things of peace: or, Some means thereof, and motives thereto</t>
  </si>
  <si>
    <t xml:space="preserve">E.1023.(17.)</t>
  </si>
  <si>
    <t xml:space="preserve">Warre, Richard</t>
  </si>
  <si>
    <t xml:space="preserve">printed by D. Maxwell for Edward Brewster at the Crane in Paul's Churchyard</t>
  </si>
  <si>
    <t xml:space="preserve">http://gateway.proquest.com/openurl?ctx_ver=Z39.88-2003&amp;res_id=xri:eebo&amp;rft_val_fmt=&amp;rft_id=xri:eebo:image:119863</t>
  </si>
  <si>
    <t xml:space="preserve">Propounded in a sermon preached before the associated ministers of the county of Somerset, at their general meeting on the 13th of April, 1659. at Wells</t>
  </si>
  <si>
    <t xml:space="preserve">http://friedensbilder.gnm.de/sites/default/files/Warre_Richard-The_things_of_peace_or_Some_means-Wing-W949-151_E_1023_17_-p1.tif</t>
  </si>
  <si>
    <t xml:space="preserve">Frieden- und Frewdenreicher Gottesdienst Bey Wieder Erlangter Friedens Cron</t>
  </si>
  <si>
    <t xml:space="preserve">Fl-1245.1</t>
  </si>
  <si>
    <t xml:space="preserve">Wagner, Michael</t>
  </si>
  <si>
    <t xml:space="preserve">23:631898X</t>
  </si>
  <si>
    <t xml:space="preserve">http://purl.uni-rostock.de/rosdok/ppn730418731</t>
  </si>
  <si>
    <t xml:space="preserve">[3] Bl., 56 S. ; Frontisp. (Portr.), Kupfert., Tbl. r&amp;s</t>
  </si>
  <si>
    <t xml:space="preserve">welcher den 3. Octob. 1660. in Rostock geleistet und in ansehnlicher Versamblung zu S. Catharinen gehalten auch zum Druck befodert </t>
  </si>
  <si>
    <t xml:space="preserve">http://friedensbilder.gnm.de/sites/default/files/rosdok_ppn730418731 8.jpg
http://friedensbilder.gnm.de/sites/default/files/rosdok_ppn730418731 7.jpg</t>
  </si>
  <si>
    <t xml:space="preserve">Seize sermons sur diuers textes de l'Ecriture Sainte.</t>
  </si>
  <si>
    <t xml:space="preserve">VOL MISC.1625 1-3</t>
  </si>
  <si>
    <t xml:space="preserve">Gaches, Raymond
Tournes, Jean Antoine de
Tournes, Samuel de</t>
  </si>
  <si>
    <t xml:space="preserve">Genf</t>
  </si>
  <si>
    <t xml:space="preserve">https://books.google.de/books?id=4dYlOFVPtXsC&amp;dq=Seize%20sermons%20sur%20divers%20textes%20De%20l'Ecriture%20Sainte&amp;hl=de&amp;pg=PP1#v=onepage&amp;q=Seize%20sermons%20sur%20divers%20textes%20De%20l'Ecriture%20Sainte&amp;f=false</t>
  </si>
  <si>
    <t xml:space="preserve">779, 52, 61 S.</t>
  </si>
  <si>
    <t xml:space="preserve">Par Raimond Gaches, pasteur de l'eglise reformee de Paris. Auec vn sermon sur la paix entre les deux couronnes de France &amp; d'Espagne, par Charles Drelincourt pasteur de la meme eglise</t>
  </si>
  <si>
    <t xml:space="preserve">A Geneve, pour Iean Antoine &amp; Samuel de Tournes</t>
  </si>
  <si>
    <t xml:space="preserve">http://friedensbilder.gnm.de/content/frieden_object15200c
http://friedensbilder.gnm.de/content/frieden_object152091
http://friedensbilder.gnm.de/content/frieden_object1520ba</t>
  </si>
  <si>
    <t xml:space="preserve">Le bon-heur de la paix </t>
  </si>
  <si>
    <t xml:space="preserve">8 TH PAST 272/38 (7)</t>
  </si>
  <si>
    <t xml:space="preserve">Drelincourt, Charles</t>
  </si>
  <si>
    <t xml:space="preserve">Cellier</t>
  </si>
  <si>
    <t xml:space="preserve">Charenton</t>
  </si>
  <si>
    <t xml:space="preserve">Lausanne-Dorigny</t>
  </si>
  <si>
    <t xml:space="preserve">https://books.google.ch/books?id=NGsOAAAAQAAJ&amp;hl=de&amp;pg=PA1#v=onepage&amp;q&amp;f=false</t>
  </si>
  <si>
    <t xml:space="preserve">ou sermon sur ces mots de l'Apôtre Saint Paul, Rom. 10. v. 15 …</t>
  </si>
  <si>
    <t xml:space="preserve">http://friedensbilder.gnm.de/sites/default/files/Drelincourt.jpg</t>
  </si>
  <si>
    <t xml:space="preserve">Heilige Friedens-Arbeit über Den durch Gottes Gnade getroffenen Nordischen Frieden/</t>
  </si>
  <si>
    <t xml:space="preserve">Hist.Holsat.79,misc.1</t>
  </si>
  <si>
    <t xml:space="preserve">Stökken, Christian von</t>
  </si>
  <si>
    <t xml:space="preserve">Koch</t>
  </si>
  <si>
    <t xml:space="preserve">14:079057E</t>
  </si>
  <si>
    <t xml:space="preserve">18 Bl., 404 S.</t>
  </si>
  <si>
    <t xml:space="preserve">Darinn enthalten I. Die gute Bohtschaft vom Nordischen Frieden, wessen sich ein jeder dabei zuerinnern und wie er sich dagegen zuverhalten; In Zweien Predigten so bei öffentlicher Ankündigung dieses Friedens gehalten worden.  II. Holsteinisches Memorial, wegen des geschlossenen Friedens ... III. Schüldige Friedensfeier; auf dem von Ihrer Hoch-Fürstl. Durchlaucht selbst außgeschriebenen Holsteinischen Dank- Fried- und Freudenfest in zweien Dank- und Friedenspredigten abgeleget   ; </t>
  </si>
  <si>
    <t xml:space="preserve">Nuhnmehr auch Seinen lieben Pfarrkindern zum freundlichen gefallen/ und allen Friedliebenden Herzen zum Unterricht ... / In ofnen Drukk verfertigt und heraus gegeben/ auch mit andächtigen Friedens-Liedern ausgezieret/ </t>
  </si>
  <si>
    <t xml:space="preserve">http://friedensbilder.gnm.de/sites/default/files/26786af4-7840-4e51-9a82-95382bf16385.gif</t>
  </si>
  <si>
    <t xml:space="preserve">Conciones Miscellaneae Continuatae:</t>
  </si>
  <si>
    <t xml:space="preserve">221.8 Theol.</t>
  </si>
  <si>
    <t xml:space="preserve">Beyer, Johannes
Creide, Hartmann</t>
  </si>
  <si>
    <t xml:space="preserve">23:291204M</t>
  </si>
  <si>
    <t xml:space="preserve">4 Th Pr 198 -2</t>
  </si>
  <si>
    <t xml:space="preserve">http://www.mdz-nbn-resolving.de/urn/resolver.pl?urn=urn:nbn:de:bvb:12-bsb11229106-3</t>
  </si>
  <si>
    <t xml:space="preserve">[1] Bl., 858 S., [5] Bl., 172 S</t>
  </si>
  <si>
    <t xml:space="preserve">Das ist: Unterschiedliche Predigten von allerhand Materien/ fortgeführet auß denen 3. Ersten Capiteln der I. Epistel S. Petri.</t>
  </si>
  <si>
    <t xml:space="preserve">Sampt einem appendice der jenigen zehen Friedens-Predigten/ so hiebevor absonderlich getruckt gewesen: gehalten von M. Hartmanno Creidio, Weyland Pfarrern bey S. Anna in Augspurg. und Jetzo nach seinem seel. Todt ... gantz neu getruckt/ und als der II. Theil voriger Concionum Miscellanearum herauß gegeben.</t>
  </si>
  <si>
    <t xml:space="preserve">Franckfurt In Verlegung Johann Beyers.</t>
  </si>
  <si>
    <t xml:space="preserve">http://friedensbilder.gnm.de/sites/default/files/221.8 Theol..pdf</t>
  </si>
  <si>
    <t xml:space="preserve">Predigthandbücher</t>
  </si>
  <si>
    <t xml:space="preserve">Eine Predigt exemplarisch auswerten?
GND-Verknüpfung Creide einfügen&amp;nbsp;http://d-nb.info/gnd/124735320&amp;nbsp;(ist er das?) --&amp;gt; Die Verknüpfung erscheint zwar beim Eintragen, aber nach dem Speichern ist der Name nicht sichtbar. Siehe Inhaltsmaske&amp;nbsp;</t>
  </si>
  <si>
    <t xml:space="preserve">Conciones Miscellaneae Continuatae:, 221.8 Theol.</t>
  </si>
  <si>
    <t xml:space="preserve">http://friedensbilder.gnm.de/content/frieden_foto_order1a6a63</t>
  </si>
  <si>
    <t xml:space="preserve">Lob- und Danck-Opffer </t>
  </si>
  <si>
    <t xml:space="preserve">Theol 4° 00928-929 (24)</t>
  </si>
  <si>
    <t xml:space="preserve">Söllner, Johann</t>
  </si>
  <si>
    <t xml:space="preserve">Bauhofer</t>
  </si>
  <si>
    <t xml:space="preserve">39:136599Z</t>
  </si>
  <si>
    <t xml:space="preserve">[2] Bl., 27 Bl.</t>
  </si>
  <si>
    <t xml:space="preserve">das ist Eine Christliche Predigt aus dem 3. Cap. der Klaglieder Jeremiae Gott dem Allerhöchsten zu Lob Ehre und Preiß und den Einfältigen zur gewißen Erinnerung des zwischen der Röm. Keyserl. Majestät unserm allergnädigsten Herrn ... und den Türcken getroffenen Friedens</t>
  </si>
  <si>
    <t xml:space="preserve">An dem von dem ... Hn. Ernsten Hertzogen zu Sachsen ... den XXII. Trinitatis angestelten Danck-Fest gehalten in der Christlichen Gemeinde zu Mulda</t>
  </si>
  <si>
    <t xml:space="preserve">http://friedensbilder.gnm.de/sites/default/files/3b538c3e-135a-4a83-80fd-10b361805a8a.gif</t>
  </si>
  <si>
    <t xml:space="preserve">Hexaemeron Solenni &amp; Publicae Metanoeae Sacrum </t>
  </si>
  <si>
    <t xml:space="preserve">AB 55405</t>
  </si>
  <si>
    <t xml:space="preserve">Pistorius, Elias</t>
  </si>
  <si>
    <t xml:space="preserve">Fromman</t>
  </si>
  <si>
    <t xml:space="preserve">3:303085S</t>
  </si>
  <si>
    <t xml:space="preserve">[4] Bl., 148 S., [2] Bl</t>
  </si>
  <si>
    <t xml:space="preserve">Das ist: Sechs Buß-Bilder Oder Buß-Predigten Nebenst einer Danckpredigt </t>
  </si>
  <si>
    <t xml:space="preserve">Uff gnädigste Verordnung Des ... Fürstens ... Herrns Christiani/ Hertzog zu Sachsen ... An sonderbaren Bet- Buß- und Fast-Tagen aus denen vorgeschriebenen Sprüchen/ in der Schloß- und Domb-Kirchen zu Merseburg/ bey volckreicher Versammlung einfältig erkläret/ und der Christenheit zu Erweckung wahrer Busse und Mittheilung herzlichen Trostes uff Begehren vornehmer Gottseliger Hertzen in Druck gegeben</t>
  </si>
  <si>
    <t xml:space="preserve">tatsächlich eine Friedenspredigt?</t>
  </si>
  <si>
    <t xml:space="preserve">http://friedensbilder.gnm.de/sites/default/files/b22148b2-c916-4850-80c4-4fe940bc6bda.gif</t>
  </si>
  <si>
    <t xml:space="preserve">Göttliche Krieges- und Friedens-Gnad Oder Höchstschuldiger Ruhm der Güte und Gnade Gottes</t>
  </si>
  <si>
    <t xml:space="preserve">Theol 4° 00928-929 (25)</t>
  </si>
  <si>
    <t xml:space="preserve">Scheler, Georg</t>
  </si>
  <si>
    <t xml:space="preserve">Schmid</t>
  </si>
  <si>
    <t xml:space="preserve">Schleusingen</t>
  </si>
  <si>
    <t xml:space="preserve">39:136602T</t>
  </si>
  <si>
    <t xml:space="preserve">http://archive.thulb.uni-jena.de/ufb/receive/ufb_cbu_00010757?derivate=ufb_derivate_00009904</t>
  </si>
  <si>
    <t xml:space="preserve">So wol durch unsere in und unter währendem Kriegeswesen allgütige Erhaltung: als durch desselben gäntzliche Endung und Abwendung auch daher erfolgten lieben Frieden von Gott uns erzeiget</t>
  </si>
  <si>
    <t xml:space="preserve">Seinen lieben Zuhörern zu Eichau/ aus dem vom HochFürstl. Consistorio in Coburg zum Friedens-Fest verordneten Text Thren. 3, 22. 23. 24.  gewiesen und gepriesen ... die 19. Aug. An. 1667</t>
  </si>
  <si>
    <t xml:space="preserve">http://friedensbilder.gnm.de/sites/default/files/15e758fce68-2.jpg</t>
  </si>
  <si>
    <t xml:space="preserve">Göttliche Friedens-Verheissung</t>
  </si>
  <si>
    <t xml:space="preserve">Ehemalige Universitätsbibliothek Helmstedt</t>
  </si>
  <si>
    <t xml:space="preserve">II J 351 (1)</t>
  </si>
  <si>
    <t xml:space="preserve">Brauer</t>
  </si>
  <si>
    <t xml:space="preserve">3122:718446D</t>
  </si>
  <si>
    <t xml:space="preserve">Aus denen Worten Zachariae im. VIII. Cap. vs. 15. 16. 17. </t>
  </si>
  <si>
    <t xml:space="preserve">Nach deme Zwischen Ihrer Kön. Maytt. zu Schweden [et]c. Plenipotentiario und Reichs-FeldHerrn Tit. Herrn Carl Gustav Wrangels Hoch-Gräfflichen Excellentz Eines und Herren Bürgermeisteren Raht und gemeiner Bürgerschafft der Stadt Bremen Andern Theils Im Haupt-Quartier zu Habenhausen für Bremen den 15. Novembr. Anno 1666. guter Friede und Vernehmen gestifftet In einer Huldigungs Predigt den 9. Iulii, Anno 1667. Einfältig gezeiget und auff Begehren zum Druck befodert</t>
  </si>
  <si>
    <t xml:space="preserve">66892425X</t>
  </si>
  <si>
    <t xml:space="preserve">http://friedensbilder.gnm.de/sites/default/files/3122_718446D_001,800,600.jpg</t>
  </si>
  <si>
    <t xml:space="preserve">Grundlicher Beweiß und Preiß Unserer bey gegenwertiger Friedens-Zeit seligen Gemeinschafft der Väterlichen Gnade und Güte des Allerhöchsten Gottes und daher erhellenden wahren Glückseligkeit und seligen Zustandes aus seiner des lieben Gottes </t>
  </si>
  <si>
    <t xml:space="preserve">Theol 4° 00928-929 (25a)</t>
  </si>
  <si>
    <t xml:space="preserve">39:136608P</t>
  </si>
  <si>
    <t xml:space="preserve">http://archive.thulb.uni-jena.de/ufb/receive/ufb_cbu_00010758?derivate=ufb_derivate_00009905</t>
  </si>
  <si>
    <t xml:space="preserve">Warhafften Zusag Beständigem Rathschlag und Angehengter Ursach </t>
  </si>
  <si>
    <t xml:space="preserve">Vermittelst derer zum FriedensFest vom HochFürstlichen Consistorio verordneten Prophetischen Worte Zach. 8, 13. 14. 15. Bey Celebrierung gedachten FriedenFestes der Christlichen Gemeinde zu Eichau An. 1668. gezeiget und vorgetragen ... Zu Ende der Predigt ist angefügt die Frage: Obs recht sey, daß bey Fürstlicher etc. Trauer die Orgel gesperret werde? </t>
  </si>
  <si>
    <t xml:space="preserve">09192460X</t>
  </si>
  <si>
    <t xml:space="preserve">http://friedensbilder.gnm.de/sites/default/files/15e75947057-2.jpg</t>
  </si>
  <si>
    <t xml:space="preserve">Sonderbare Predigt Von der Grausamkeit des Krieges</t>
  </si>
  <si>
    <t xml:space="preserve">235.34 Theol. (4)</t>
  </si>
  <si>
    <t xml:space="preserve">Weiss</t>
  </si>
  <si>
    <t xml:space="preserve">23:330228H</t>
  </si>
  <si>
    <t xml:space="preserve">http://diglib.hab.de/drucke/235-34-theol-4s/start.htm</t>
  </si>
  <si>
    <t xml:space="preserve">Als der schrecklichsten Straffe unter allen leiblichen Straffen: </t>
  </si>
  <si>
    <t xml:space="preserve">Ehmals vorgetragen und nebenst anderen Predigten in einem völigen Tractat unterm Titul Göttliche Friedens-Condition, Anno 1641. in Druck gegeben. Jetzo zu dieser Krieg-süchtigen höchst gefährlichen Zeit aus oberwentem Tracta: absonderlich excerpiret und nachgedruckt</t>
  </si>
  <si>
    <t xml:space="preserve">http://friedensbilder.gnm.de/sites/default/files/Schmid.jpg</t>
  </si>
  <si>
    <t xml:space="preserve">Herzlicher Wunsch Aus dem verordneten Buß-Text/ Psalm. 20. Vers. 1/ 2/ 3/ 4/ 5.</t>
  </si>
  <si>
    <t xml:space="preserve">Gm 4° 99</t>
  </si>
  <si>
    <t xml:space="preserve">Ammersbach, Heinrich</t>
  </si>
  <si>
    <t xml:space="preserve">Ockell</t>
  </si>
  <si>
    <t xml:space="preserve">Quedlinburg</t>
  </si>
  <si>
    <t xml:space="preserve">23:318655E</t>
  </si>
  <si>
    <t xml:space="preserve">Auf den ... Herrn Friderich Wilhelm/ Marggraffen zu Brandenburg/ ... Und das gantze hochlöbliche Hauß der Marggraffen zu Brandenburg </t>
  </si>
  <si>
    <t xml:space="preserve">Als er in Christ-löblicher Intention wegen bevorstehender Kriegs-Gefahr ... auszog/ mit Gottes Hülffe seine Unterthanen zu beschüzzen/ die anderweit entstandene Kriegs-Unruhe beyzulegen und Frieden zu stifften / An dem darzu von Sr. Churfürstl. Durchl. angestelten Buß- Fast- und Bet-Tage/ welcher war am 24. Iulii Anno 1672. in gehaltner Buß-Predigt also appliciret und eingerichtet Von Henrico Ammersbach/ Past. zu S. Pauli in Halberstadt</t>
  </si>
  <si>
    <t xml:space="preserve">http://friedensbilder.gnm.de/sites/default/files/23_318655E_001,800,600.gif</t>
  </si>
  <si>
    <t xml:space="preserve">The things that make for peace</t>
  </si>
  <si>
    <t xml:space="preserve">The Huntington Library</t>
  </si>
  <si>
    <t xml:space="preserve">San Marino</t>
  </si>
  <si>
    <t xml:space="preserve">Sharp, John</t>
  </si>
  <si>
    <t xml:space="preserve">Printed by Andrew Clark for Walter Kettilby</t>
  </si>
  <si>
    <t xml:space="preserve">http://eebo.chadwyck.com/search/full_rec?SOURCE=pgimages.cfg&amp;ACTION=ByID&amp;ID=V52747</t>
  </si>
  <si>
    <t xml:space="preserve">Delivered in a sermon preached before   the Right Honourable the Lord Mayor, and the Court of Aldermen, at Guild-Hall   Chappel, upon the 23 of August, 1674</t>
  </si>
  <si>
    <t xml:space="preserve">Der eröffnete Friedens-Tempel</t>
  </si>
  <si>
    <t xml:space="preserve">H00/THL-XVIIII 26 aa</t>
  </si>
  <si>
    <t xml:space="preserve">Wagner, Johann Sebastian
Johann Friedrich, Brandenburg, Markgraf</t>
  </si>
  <si>
    <t xml:space="preserve">Redelhamer</t>
  </si>
  <si>
    <t xml:space="preserve">Neustadt an der Aisch</t>
  </si>
  <si>
    <t xml:space="preserve">29:724641N</t>
  </si>
  <si>
    <t xml:space="preserve">http://nbn-resolving.de/urn:nbn:de:bvb:29-bv040738331-2</t>
  </si>
  <si>
    <t xml:space="preserve">106 [i.e. 102] S.</t>
  </si>
  <si>
    <t xml:space="preserve">Nach geschlossenem allgemeinen Reichs- und Special-Frieden angräntzender Königreichen nach Gelegenheit des am XX. Sonntag SS. Trinitatis Anno 1679 in dem obern Fürstenthumb Bruggraffthumbs Nürnberg angestelltem Friedens-Danck-Fests gezeigt</t>
  </si>
  <si>
    <t xml:space="preserve">http://friedensbilder.gnm.de/sites/default/files/Wagner.jpg</t>
  </si>
  <si>
    <t xml:space="preserve">Vier Christliche Friedens-Predigten</t>
  </si>
  <si>
    <t xml:space="preserve">II J 366</t>
  </si>
  <si>
    <t xml:space="preserve">Tecklenburg, Johann</t>
  </si>
  <si>
    <t xml:space="preserve">Pfeiffer
Knust</t>
  </si>
  <si>
    <t xml:space="preserve">3122:718623D</t>
  </si>
  <si>
    <t xml:space="preserve">[10] Bl., 152 S., [2] Bl.</t>
  </si>
  <si>
    <t xml:space="preserve">Vielen Frommen Hertzen zu Trost zu unterschiedenen Zeiten vorgetragen und gehalten</t>
  </si>
  <si>
    <t xml:space="preserve">Anjetzo aber zu diesen betrübten und sehr gefährligen Krieges-Zeiten  nebenst 2 anderen Predigten zusammen gesucht/ von neuen durch gesehen/ und mit einer neuen Vorrede/ imgleichen dem Lebens-Lauff des sehligen Autoris heraus gegeben</t>
  </si>
  <si>
    <t xml:space="preserve">http://friedensbilder.gnm.de/sites/default/files/3122_718623D_001[1].jpg</t>
  </si>
  <si>
    <t xml:space="preserve">Friedens-Predigten an dem Von Churfl. Durchl. zu Sachsen Wegen des im Röm. Reich und benachbarten König-Reichen getroffenen Allgemeinen Friedens Am XX. Sontag nach Trinit. 2. Novembr. 1679. durch dero Lande angestellten Danck- und Freuden-Fest</t>
  </si>
  <si>
    <t xml:space="preserve">Pon Vc 5034, QK</t>
  </si>
  <si>
    <t xml:space="preserve">Beiträger</t>
  </si>
  <si>
    <t xml:space="preserve">Geier, Martin
Carpzov, Samuel Benedikt</t>
  </si>
  <si>
    <t xml:space="preserve">Bergen
Hübner</t>
  </si>
  <si>
    <t xml:space="preserve">39:136611S</t>
  </si>
  <si>
    <t xml:space="preserve">http://nbn-resolving.org/urn:nbn:de:gbv:3:1-35614</t>
  </si>
  <si>
    <t xml:space="preserve">[9] Bl., 39 S., [1] Bl., S. 41-136</t>
  </si>
  <si>
    <t xml:space="preserve">In der Churfl. Schloß-Kirchen zu Dreßden gehalten</t>
  </si>
  <si>
    <t xml:space="preserve">Vorher werden gesetzet die geschehene Abkündigung und Dancksagung wie auch Nachricht wie es mit dem Gottesdienst selbigen Tages in der Churfl. Schloßkirchen zu Dreßden gehalten worden.z</t>
  </si>
  <si>
    <t xml:space="preserve">http://friedensbilder.gnm.de/sites/default/files/468241.jpg</t>
  </si>
  <si>
    <t xml:space="preserve">enthält mehrere Einzeltitel, noch nachtragen!</t>
  </si>
  <si>
    <t xml:space="preserve">Denck- und Danck-Stein Eben Ezer</t>
  </si>
  <si>
    <t xml:space="preserve">Pon Vc 5023, QK</t>
  </si>
  <si>
    <t xml:space="preserve">Bürger, Georg Adam
Petermann, Daniel</t>
  </si>
  <si>
    <t xml:space="preserve">Günther</t>
  </si>
  <si>
    <t xml:space="preserve">Meißen</t>
  </si>
  <si>
    <t xml:space="preserve">14:050808C</t>
  </si>
  <si>
    <t xml:space="preserve">http://digitale.bibliothek.uni-halle.de/urn/urn:nbn:de:gbv:3:1-30520</t>
  </si>
  <si>
    <t xml:space="preserve">46 S., [1] Bl.</t>
  </si>
  <si>
    <t xml:space="preserve">An d. von Churfürstl. Durchl. zu Sachsen etc. wegen d. im Heil. Röm. Reich von Gott wieder durch Christum erlangten und verlangten Friedens gnädigst angeordneten Hochheiligen Danck-Fest </t>
  </si>
  <si>
    <t xml:space="preserve">war Dominica XX. Trin. Anno M. DC. LXXIX Nachmittage auffgerichtet ... und Piae Gratitudini zum Andencken in Druck gegeben</t>
  </si>
  <si>
    <t xml:space="preserve">http://friedensbilder.gnm.de/sites/default/files/393583.jpg</t>
  </si>
  <si>
    <t xml:space="preserve">Moneta Pacis Propheta, Evangelista in Cista</t>
  </si>
  <si>
    <t xml:space="preserve">Gn 4° Sammelbd. 17 (62)</t>
  </si>
  <si>
    <t xml:space="preserve">Baldovius, Samuel</t>
  </si>
  <si>
    <t xml:space="preserve">Heitmüller</t>
  </si>
  <si>
    <t xml:space="preserve">Bevern</t>
  </si>
  <si>
    <t xml:space="preserve">23:322072Q</t>
  </si>
  <si>
    <t xml:space="preserve">21 S. [1] Bl</t>
  </si>
  <si>
    <t xml:space="preserve">Friedens-Muntze </t>
  </si>
  <si>
    <t xml:space="preserve">Am Friedens-Feste. Dom. XX. post Trinit. Anno 1679. den 2. Novembr. auff HochFürstl. Befehl auß Jacob. III. vers. 13. seqq. In der Fürstl. Schloßkirchen zu Bevern gepregt und außgelegt</t>
  </si>
  <si>
    <t xml:space="preserve">http://friedensbilder.gnm.de/sites/default/files/23_322072Q_001[1].jpg</t>
  </si>
  <si>
    <t xml:space="preserve">Chur-Fürstlich-Sächsische Friedens-Predigt / auf Gnädigste Anordnung ... / H. Johann Georgen Des Andern/ Herztogen zu Sachsen ...</t>
  </si>
  <si>
    <t xml:space="preserve">Hist.Sax.C.1005</t>
  </si>
  <si>
    <t xml:space="preserve">Verleger
Verfasser
Drucker</t>
  </si>
  <si>
    <t xml:space="preserve">Trommer, David
Baumann, Christoph</t>
  </si>
  <si>
    <t xml:space="preserve">14:009399Q</t>
  </si>
  <si>
    <t xml:space="preserve">http://digital.slub-dresden.de/ppn323327850</t>
  </si>
  <si>
    <t xml:space="preserve">[4] Bl., 107 S.</t>
  </si>
  <si>
    <t xml:space="preserve">Am allgemeinen Danck-und Friedens-Feste/ Wegen des getroffenen Friedens zwischen denen Christl. hohen Potentanten in Europa, den 2. Novembr. 1679. (war der XX. Sontag Trinitatis) ... Und darauf Dem him[m]lischen Friede-Fürsten/ Christo Jesu/ zu Lob und Ehren;</t>
  </si>
  <si>
    <t xml:space="preserve">Dem Durchl. Chur-Fürsten zu Sachsen/ als gewesenen Glückseligen hohen Mediatori und Friedens-Stiffter zum ewigen Ruhm und Andencken...</t>
  </si>
  <si>
    <t xml:space="preserve">Dreßden/ bey Christoph Baumann/ auf des Autoris Verlag.</t>
  </si>
  <si>
    <t xml:space="preserve">http://friedensbilder.gnm.de/sites/default/files/00000009.tif.large_.jpg</t>
  </si>
  <si>
    <t xml:space="preserve">Der eigentlichen Predigt, die er für den Gottesdienst zum kursächsischen Friedensfest aus Anlass des Friedens von Nijmegen am 2. November 1679 verfasst, stellt der Prediger und „Poeta laureatus“ David Trommer (1640–1714) zwei Texte voran:
Unter dem Titel „Gemeiner Eingang“ entfaltet er auf vierzehn Seiten eines der bekanntesten Friedensbilder aus der Natur: die Taube mit dem Ölzweig, die das Ende der Sintflut verkündet. Ausführlich erörtert er, woher die Taube einen grünen Zweig habe bekommen können und erklärt es als göttliches Wirken:&amp;nbsp;„Es hat angezeiget eine frölige Friedens-Post, eine unfalsche und ungefärbte aufrichtige Friedens-Verkündigung, und scheint es, als habe anstatt deutlicher Zuruffung die Taube mit dem Oel-Blatte so viel gemeinet und geschryen: FRIEDE, FRIEDE, FRIEDE, du betrübter Noa!“&amp;nbsp;Es folgt ein ausgiebiges Lob des Ölbaums: er sei „Symbolum Pacis, ein Zeichen und Beweiß des Friedes.“ Mit Verweis auf die „blinden Heiden“ wie Cicero, die in ihrer Torheit den Ölbaum der Minerva, der falschen Göttin der Wissenschaften, gewidmet hätten, fährt Trommer fort: „Ach! lieben Christen, der edle Frieden erhält unsere Schulen und Studia, im Friede kann ein Vater noch für seine Kinder so weit sorgen, daß er sie Gott zu Ehren, der Christenheut zum Nutzen und ihnen selbst zum eigenen Besten ihres Lebens etwas heilsames kann lernen lassen.“
Weiter schlägt er den Bogen zur aktuellen Situation „in unserm Vaterlande des geliebten Teutschlandes“: nach mehr als zwanzig Jahren Frieden seien die Menschen undankbar und „gar zu fleischlich gesinnet&amp;nbsp;geworden. ... Dahero fieng Gott nunmehro vor sieben Jahren, ander mit uns an zu reden, indem er erweckte einen mächtigen Feind, Flagellum Germaniae, der mit grossen Kriegs-Heeren, als mit einer Wasserfluth, unsre Grenzen überschwemmete.“ Nach Jahren schrecklicher Zerstörung sei nun endlich die „so sehr verlangte Taube mit dem Öl-Blate ... bey uns und unseren Nachbarn ankommen“.
Die anschließende Predigt erstreckt sich über weitere 93 Quartseiten. Es ist anzunehmen, dass Trommer sie nicht in dieser Form in seiner kleinen Gemeinde Beyern in einem abgelegenen Winkel Kursachsens gehalten hat. Der Zweck der Predigt erschließt sich aus dem anderen der Predigt vorangestellten Text: Eine ausführliche Widmung an den Kurfürsten Johann Georg II., dessen Sohn sowie beider Ehefrauen. Darin betont er mehrfach, dass er als ehemaliger Kriegs-Prediger im Dienste des Kurfürsten nun wie Johannes in der Wüste zu predigen habe und beklagt die „recht sauren Ambts-Verrichtungen“. Die deutlich erkennbare Hoffnung auf eine Berufung heraus aus der Wüste erfüllte sich nicht: Noch zehn Jahre später ist Trommer als Pfarrer von Beyern nachgewiesen.
</t>
  </si>
  <si>
    <t xml:space="preserve">Chur-Fürstlich-Sächsische Friedens-Predigt / auf Gnädigste Anordnung ... / H. Johann Georgen Des Andern/ Herztogen zu Sachsen...etc., Hist.Sax.C.1005</t>
  </si>
  <si>
    <t xml:space="preserve">https://friedensbilder-neu.gnm.de/sites/default/files/2019-06/Hist.Sax_.C_0.png</t>
  </si>
  <si>
    <t xml:space="preserve">Chur-Fürstlich-Sächsische Friedens-Predigt / auf Gnädigste Anordnung ... / H. Johann Georgen Des Andern/ Herztogen zu Sachsen...etc.</t>
  </si>
  <si>
    <t xml:space="preserve">http://friedensbilder.gnm.de/content/frieden_foto_order1a5c16</t>
  </si>
  <si>
    <t xml:space="preserve">Friedens- und Freudens-Predigt </t>
  </si>
  <si>
    <t xml:space="preserve">Theol 4° 00928-929 (27)</t>
  </si>
  <si>
    <t xml:space="preserve">Schlemm, Johannes
Johann Ernst, II. Sachsen-Weimar, Herzog
Johann Wilhelm, Sachsen-Jena, Herzog</t>
  </si>
  <si>
    <t xml:space="preserve">39:136613G</t>
  </si>
  <si>
    <t xml:space="preserve">https://archive.thulb.uni-jena.de/ufb/receive/ufb_cbu_00010759?derivate=ufb_derivate_00009906</t>
  </si>
  <si>
    <t xml:space="preserve">Welche an dem Von dem ... Herrn Johann Ernsten Hertzogen zu Sachsen ... in Vormundschafft Des ... Herrn Johan Wilhelms Hertzogen zu Sachsen etc. etc. Jenischer Portion-Lande am 18. Januarij des 1680. Heil-Jahrs gnädigst verordnetem und ausgeschriebenem Lob- Danck- und Freuden-Fest Des wiederum beschereten edelen Friedens Uber den 9. 10. 11. und 12. versicul des LXVI. Psalm Davids in der Fürstl. Residenz zu Jehna gehalten</t>
  </si>
  <si>
    <t xml:space="preserve">http://friedensbilder.gnm.de/sites/default/files/15e761759ed-2.jpg</t>
  </si>
  <si>
    <t xml:space="preserve">Gottes Ehr Durch Kinder-Lehr Vermittelst Schrifftmässiger Erklär- und Abhandlung deß kleinern Catechismi Doctor Martin Luthers</t>
  </si>
  <si>
    <t xml:space="preserve">Solg. 8. 463</t>
  </si>
  <si>
    <t xml:space="preserve">Mühlberger, Johann Joachim</t>
  </si>
  <si>
    <t xml:space="preserve">75:654941M</t>
  </si>
  <si>
    <t xml:space="preserve">http://www.mdz-nbn-resolving.de/urn/resolver.pl?urn=urn:nbn:de:bvb:12-bsb11291403-7</t>
  </si>
  <si>
    <t xml:space="preserve">[20] Bl., 788 S., [14], [6] Bl</t>
  </si>
  <si>
    <t xml:space="preserve">Allen Kindern Gottes zuforderst aber der Christlichen Jugend als wie ein edler Blumen- und Stein-Schmuck angepriesen und in zwey und zwantzig Predigten dergestalt vorgetragen ... ; </t>
  </si>
  <si>
    <t xml:space="preserve">Auf vielfältiges Verlangen seiner geliebten Zu- und Anhörer dieser in der H. Röm. Reichs-Freyen Stadt Regenspurg zur H. Dreyfaltigkeit offentlich gehaltenen Kinder- Lehr-Predigten zum Druck nebst einer Anzug- Neu-Jahrs- und Friedens-Predigt übergeben</t>
  </si>
  <si>
    <t xml:space="preserve">http://friedensbilder.gnm.de/sites/default/files/44422924-a45a-47d4-8ee8-64ba25e384f1.gif</t>
  </si>
  <si>
    <t xml:space="preserve">http://friedensbilder.gnm.de/content/frieden_object14468e</t>
  </si>
  <si>
    <t xml:space="preserve">Odor Qvietis Ad Deum Ter Opt. Max. ob redintegratam in Europa Pacem Leopoldum, Imp. Roman. Semper Augustum, Ludovicum XIV. ... Carolum XI ... Christianum V. ... Fridericum Wilhelmum ... ex Ara Piae Devotionis ascendens. </t>
  </si>
  <si>
    <t xml:space="preserve">Xb 3463</t>
  </si>
  <si>
    <t xml:space="preserve">Menckhusen, Matthias</t>
  </si>
  <si>
    <t xml:space="preserve">Doischer</t>
  </si>
  <si>
    <t xml:space="preserve">Greifswald</t>
  </si>
  <si>
    <t xml:space="preserve">23:243940N</t>
  </si>
  <si>
    <t xml:space="preserve">http://diglib.hab.de/drucke/xb-3463/start.htm</t>
  </si>
  <si>
    <t xml:space="preserve">[4] Bl., 80 S.</t>
  </si>
  <si>
    <t xml:space="preserve">"seinen wenigen Zuhörern aber zur Erbauung einfältig auffgerichtet"</t>
  </si>
  <si>
    <t xml:space="preserve">http://friedensbilder.gnm.de/sites/default/files/Menckhusen.jpg</t>
  </si>
  <si>
    <t xml:space="preserve">The terms of peace and reconciliation betwixt all divided parties</t>
  </si>
  <si>
    <t xml:space="preserve">Burke Library at Union Theological Seminary</t>
  </si>
  <si>
    <t xml:space="preserve">New York</t>
  </si>
  <si>
    <t xml:space="preserve">1678 L79</t>
  </si>
  <si>
    <t xml:space="preserve">Beaulieu, Luke</t>
  </si>
  <si>
    <t xml:space="preserve">Printed for Charles Brome</t>
  </si>
  <si>
    <t xml:space="preserve">[5] Bl. 26 S. </t>
  </si>
  <si>
    <t xml:space="preserve">http://gateway.proquest.com/openurl?ctx_ver=Z39.88-2003&amp;res_id=xri:eebo&amp;rft_val_fmt=&amp;rft_id=xri:eebo:image:60427</t>
  </si>
  <si>
    <t xml:space="preserve">A sermon preach'd at the assizes held for the county of Buckingham, at the town of Wicomb, July the I, 1684</t>
  </si>
  <si>
    <t xml:space="preserve">http://friedensbilder.gnm.de/sites/default/files/Beaulieu_Luke-The_terms_of_peace_and_reconciliation-Wing-B1579-650_04-p1.tif</t>
  </si>
  <si>
    <t xml:space="preserve">Geistlicher Triumphs- und Friedens-Berg</t>
  </si>
  <si>
    <t xml:space="preserve">Theol.ev.dogm.217.f,misc.7</t>
  </si>
  <si>
    <t xml:space="preserve">Renner, Johann</t>
  </si>
  <si>
    <t xml:space="preserve">Köler
Weidmann</t>
  </si>
  <si>
    <t xml:space="preserve">14:684250G</t>
  </si>
  <si>
    <t xml:space="preserve">http://digital.slub-dresden.de/id334523621</t>
  </si>
  <si>
    <t xml:space="preserve">[3] Bl., 32 S., [1] Bl.</t>
  </si>
  <si>
    <t xml:space="preserve">Oder Solenne Berg-Predigt </t>
  </si>
  <si>
    <t xml:space="preserve">Welche In der Berg- und Schloß-Kirchen zu Landsberg am andern H. Oster-Feyertage des 1683sten Jahres ... Vor einem volckreichen Auditorio vieler einheimischen und Fremden gehalten worden</t>
  </si>
  <si>
    <t xml:space="preserve">http://friedensbilder.gnm.de/sites/default/files/00000003.tif.tif</t>
  </si>
  <si>
    <t xml:space="preserve">Ander Theil Christlicher Buß-Predigten/ Darinnen verschiedene Texte der heiligen Schrifft Einfältig erkläret und etliche wichtige zur erbauung Des Wahren Christenthums nöthige Materien Auff gehaltene offentliche Buß- Fast- und Bet-Tage Der Gemeinde Gottes vorgetragen worden</t>
  </si>
  <si>
    <t xml:space="preserve">Theol.ev.asc.472,misc.2</t>
  </si>
  <si>
    <t xml:space="preserve">Spener, Philipp Jakob
Zunner, Johann David
Haase, Johann</t>
  </si>
  <si>
    <t xml:space="preserve">39:136030Q</t>
  </si>
  <si>
    <t xml:space="preserve">http://digital.slub-dresden.de/id475536940</t>
  </si>
  <si>
    <t xml:space="preserve">[6] Bl., 491 [i.e. 497] S., [14] Bl</t>
  </si>
  <si>
    <t xml:space="preserve">samt einer Wetterpredigt/ auch zwoer über die Geburt eines Kais. Printzen und erlangten Frieden Danck-predigten ...</t>
  </si>
  <si>
    <t xml:space="preserve">In Verlegung Johann David Zunners/ Druckts Johann Haaß</t>
  </si>
  <si>
    <t xml:space="preserve">http://friedensbilder.gnm.de/sites/default/files/39_136030Q_001,800,600.gif</t>
  </si>
  <si>
    <t xml:space="preserve">http://friedensbilder.gnm.de/content/frieden_object1448d0</t>
  </si>
  <si>
    <t xml:space="preserve">Des Durchlauchtigsten Fürsten ... Johann Georgen des Dritten Herzogen zu Sachsen ... und Churfürsten ... Ruhmwürdigste Gottseeligkeit </t>
  </si>
  <si>
    <t xml:space="preserve">Pon Vc 5187, QK</t>
  </si>
  <si>
    <t xml:space="preserve">Stoltz, Johannes Sigismund
Hilliger, Johann Wilhelm
Fritzsche, Adamus
Facilides, Jacob Sigemundt
Schönburg, Ludwich von</t>
  </si>
  <si>
    <t xml:space="preserve">Hofmann</t>
  </si>
  <si>
    <t xml:space="preserve">3:627078P</t>
  </si>
  <si>
    <t xml:space="preserve">http://nbn-resolving.de/urn:nbn:de:gbv:3:1-33039</t>
  </si>
  <si>
    <t xml:space="preserve">[4] Bl., 75 S., [1] gef. Bl : 1 Ill. (Kupferst.)</t>
  </si>
  <si>
    <t xml:space="preserve">über die durch Hülf und Beystand des Groß-Fürsten Michaelis unsers liebsten Heilands Jesu Christi und gesegnete Waffen Ihr Röm. Keyserlichen Majestät Leopoldi I. und Dero hohen Reichs-Alliirten glücklich eroberte uhralte Köngliche Residenz und Haupt-Stadt Ofen </t>
  </si>
  <si>
    <t xml:space="preserve">in einem allgemeinen Lob- und Danck-Fest durch das ganze Churfürstenthum und alle incorporirte Lande am Tage Michaelis glorwürdigst erwiesen und in öffentlicher Ampt-Predigt zu Franckenberg unthertänigst gewiesen</t>
  </si>
  <si>
    <t xml:space="preserve">http://friedensbilder.gnm.de/sites/default/files/431832.jpg</t>
  </si>
  <si>
    <t xml:space="preserve">Volumen Concionum Miscellanearum, Das ist Unterschiedliche und denckwürdige Predigten/ Von sonderbaren nützlichen Materien zu gewissen Zeiten und Orten gehalten: hiebevor absonderlich, anitzo aber mit Fleiß auf vielfältiges Begehren alle zusammen gedruckt,</t>
  </si>
  <si>
    <t xml:space="preserve">Xb 2444</t>
  </si>
  <si>
    <t xml:space="preserve">Geier, Martin</t>
  </si>
  <si>
    <t xml:space="preserve">Günther
Weidman</t>
  </si>
  <si>
    <t xml:space="preserve">23:240128D</t>
  </si>
  <si>
    <t xml:space="preserve">http://www.gbv.de/vd/vd17/23:240128D</t>
  </si>
  <si>
    <t xml:space="preserve">[8] Bl., 1116 S., [44] Bl.</t>
  </si>
  <si>
    <t xml:space="preserve">Mit einem Vierfachen Register</t>
  </si>
  <si>
    <t xml:space="preserve">http://friedensbilder.gnm.de/sites/default/files/a55694bf-3cf5-4972-b25d-92efc1a2e69c.gif</t>
  </si>
  <si>
    <t xml:space="preserve">http://friedensbilder.gnm.de/content/frieden_object152ce2</t>
  </si>
  <si>
    <t xml:space="preserve">Der in Ungarn bißher verstopffte und nun wieder geöffnete Haupt-Brunn</t>
  </si>
  <si>
    <t xml:space="preserve">Theol 4° 00928-929 (16)</t>
  </si>
  <si>
    <t xml:space="preserve">Bergmann, Nicolaus
Feller, Joachim</t>
  </si>
  <si>
    <t xml:space="preserve">Boetius
Löwe</t>
  </si>
  <si>
    <t xml:space="preserve">Gotha
Rudolstadt</t>
  </si>
  <si>
    <t xml:space="preserve">3:307573Q</t>
  </si>
  <si>
    <t xml:space="preserve">[18] Bl.</t>
  </si>
  <si>
    <t xml:space="preserve">Bey Gelegenheit des Textes ex Num. XXI, 18 ... </t>
  </si>
  <si>
    <t xml:space="preserve">Am XVIII. Sonntage nach Trinitatis MDCLXXXVI. Als auf gnädige Verordnung wegen siegreicher Eroberung der Königlichen Residentz und und Haupt-Stadt Ofen in Ungarn ein Lob- und Danck-Fest in denen Schwartzburgischen Landen solenniter  gehalten wurde Auf dem Hochgräflichen Stamm-Hause Schwartzburg Vor vielen Hochgräflichen Adelichen und andern vornehmen Personen In einer Predigt einfältig vorgestellet und zum Druck befördert</t>
  </si>
  <si>
    <t xml:space="preserve">http://friedensbilder.gnm.de/sites/default/files/3_307573Q_001,800,600.gif</t>
  </si>
  <si>
    <t xml:space="preserve">Organon Sprirituale Oder Geistliches Orgel-Werck</t>
  </si>
  <si>
    <t xml:space="preserve">Theol 4° 00919-920 (32)</t>
  </si>
  <si>
    <t xml:space="preserve">Leichner, Johann Carl</t>
  </si>
  <si>
    <t xml:space="preserve">Reyher</t>
  </si>
  <si>
    <t xml:space="preserve">Gotha</t>
  </si>
  <si>
    <t xml:space="preserve">39:136300M</t>
  </si>
  <si>
    <t xml:space="preserve">https://archive.thulb.uni-jena.de/ufb/receive/ufb_cbu_00010740?derivate=ufb_derivate_00009887</t>
  </si>
  <si>
    <t xml:space="preserve">[14] Bl.</t>
  </si>
  <si>
    <t xml:space="preserve">Wie also Die Christliche Kirche bey Einweihung einer neuen Orgel am XVII. Sonntag Trinitatis, 1689. durch dessen Evangelii Application Der Christlichen Gemein zu Grossen Rettbach vorgestellet wurde Und den Inwohnern zur Erinnerung und Gedächtnis des so gäntzlichen Abnehmens dieses Dorffs in den vorigen Kriegs-Zeiten und des jetzigen erfolgten Aufnehmens in den Friedens-Zeiten zum Druck befördert</t>
  </si>
  <si>
    <t xml:space="preserve">http://friedensbilder.gnm.de/sites/default/files/Leichner 169ß.jpg</t>
  </si>
  <si>
    <t xml:space="preserve">Organon Spirituale Oder Geistliches Orgelwerck, Theol 4° 00919-920 (32)</t>
  </si>
  <si>
    <t xml:space="preserve">Organon Spirituale Oder Geistliches Orgelwerck</t>
  </si>
  <si>
    <t xml:space="preserve">A sermon preach'd at St. Mary Whitechappel on the second of December, 1697</t>
  </si>
  <si>
    <t xml:space="preserve">1675 W91 v.2</t>
  </si>
  <si>
    <t xml:space="preserve">Welton, Richard</t>
  </si>
  <si>
    <t xml:space="preserve">Printed for B. Aylmer</t>
  </si>
  <si>
    <t xml:space="preserve">http://gateway.proquest.com/openurl?ctx_ver=Z39.88-2003&amp;res_id=xri:eebo&amp;rft_val_fmt=&amp;rft_id=xri:eebo:image:106276</t>
  </si>
  <si>
    <t xml:space="preserve">Being the day of thanksgiving for the peace</t>
  </si>
  <si>
    <t xml:space="preserve">1.1 Quellen
2.13 Rijswijk England 1697-12-02</t>
  </si>
  <si>
    <t xml:space="preserve">A sermon preach'd in the parish church of Burcester in the county of Oxford, on the second day of December, 1697</t>
  </si>
  <si>
    <t xml:space="preserve">Taylor, Thomas</t>
  </si>
  <si>
    <t xml:space="preserve">Printed by Tho. Warren for Thomas Bennet</t>
  </si>
  <si>
    <t xml:space="preserve">http://gateway.proquest.com/openurl?ctx_ver=Z39.88-2003&amp;res_id=xri:eebo&amp;rft_val_fmt=&amp;rft_id=xri:eebo:image:53462</t>
  </si>
  <si>
    <t xml:space="preserve">Being the day appointed for a thanksgiving to Almighty God, for His Majesty's safe return, and for the happy and honourable peace, of which God has made him the glorious instrument</t>
  </si>
  <si>
    <t xml:space="preserve">Festivitas Gloriosa,</t>
  </si>
  <si>
    <t xml:space="preserve">Res 4 Hom. 1901,55,11</t>
  </si>
  <si>
    <t xml:space="preserve">Romanus Austriacus
Törring, Johann Adam Franz von</t>
  </si>
  <si>
    <t xml:space="preserve">Höller</t>
  </si>
  <si>
    <t xml:space="preserve">Passau</t>
  </si>
  <si>
    <t xml:space="preserve">12:623978V</t>
  </si>
  <si>
    <t xml:space="preserve">http://www.mdz-nbn-resolving.de/urn/resolver.pl?urn=urn:nbn:de:bvb:12-bsb10901027-4</t>
  </si>
  <si>
    <t xml:space="preserve"> Das ist Glor- und Sigreiches Lob- und Danck-Fest Welches Den 13. October 1697. in der Hohen Thumb-Stiffts-Kirchen zu Passau wegen der den 11. September wider den Erb-Feind der Türcken in Hungarn bey Zenta erworbenen hochansehnlichen Victori, Solenniter gehalten </t>
  </si>
  <si>
    <t xml:space="preserve">Und in einer höchstschuldigsten Danck-Rede die grosse Volcks-Menge zu Danckerstattung gegen Gott ob der Cantzel ist angefrischt ...</t>
  </si>
  <si>
    <t xml:space="preserve">http://friedensbilder.gnm.de/sites/default/files/1505226683bsb10901027.jpg</t>
  </si>
  <si>
    <t xml:space="preserve">A thanksgiving sermon for His Majesty's safe return</t>
  </si>
  <si>
    <t xml:space="preserve">University Library Durham</t>
  </si>
  <si>
    <t xml:space="preserve">Durham</t>
  </si>
  <si>
    <t xml:space="preserve">Bamburgh K.3.15/8</t>
  </si>
  <si>
    <t xml:space="preserve">printed for the author</t>
  </si>
  <si>
    <t xml:space="preserve">http://gateway.proquest.com/openurl?ctx_ver=Z39.88-2003&amp;res_id=xri:eebo&amp;rft_val_fmt=&amp;rft_id=xri:eebo:image:34628</t>
  </si>
  <si>
    <t xml:space="preserve">And for the happy and honourable peace, of which God has made him the glorious instrument, Preached in Highgate Chapel, on Thursday the 2d of December, 1697. BY R. L. V.A.L</t>
  </si>
  <si>
    <t xml:space="preserve">Peace and gratitude</t>
  </si>
  <si>
    <t xml:space="preserve">Wing P3182 (korrekte Signatur nachfragen)</t>
  </si>
  <si>
    <t xml:space="preserve">Pratt, Samuel</t>
  </si>
  <si>
    <t xml:space="preserve">Printed by J. Dawks for John Back</t>
  </si>
  <si>
    <t xml:space="preserve">http://gateway.proquest.com/openurl?ctx_ver=Z39.88-2003&amp;res_id=xri:eebo&amp;rft_val_fmt=&amp;rft_id=xri:eebo:image:42940</t>
  </si>
  <si>
    <t xml:space="preserve">A sermon preached before the Honourable Society of the Natives of the County of Kent, Novemb. 23, 1697 at St. Mary le Bow, London</t>
  </si>
  <si>
    <t xml:space="preserve">The blessed advantages of peace and peace-makers</t>
  </si>
  <si>
    <t xml:space="preserve">4454.cc.2.</t>
  </si>
  <si>
    <t xml:space="preserve">Horneck, Anthony</t>
  </si>
  <si>
    <t xml:space="preserve">printed for B. Aylmer at the Three Pigeons against the Royal Exchange in Cornhill</t>
  </si>
  <si>
    <t xml:space="preserve">http://gateway.proquest.com/openurl?ctx_ver=Z39.88-2003&amp;res_id=xri:eebo&amp;rft_val_fmt=&amp;rft_id=xri:eebo:image:31672</t>
  </si>
  <si>
    <t xml:space="preserve">In a sermon preach'd at the Savoy in London upon the fifth of St. Matthew; Ver. IX. Blessed are the peace-makers, for they shall be called the children of God. By Anthony Horneck, D.D. late preacher at the Savoy</t>
  </si>
  <si>
    <t xml:space="preserve">Omilia eiréniké, or, A thanksgiving sermon for peace abroad with motives to unity at home, especially in matters of religion</t>
  </si>
  <si>
    <t xml:space="preserve">4474.cc.43.</t>
  </si>
  <si>
    <t xml:space="preserve">Gregory, Francis</t>
  </si>
  <si>
    <t xml:space="preserve">Printed for Richard Sare</t>
  </si>
  <si>
    <t xml:space="preserve">http://eebo.chadwyck.com/search/full_rec?SOURCE=pgimages.cfg&amp;ACTION=ByID&amp;ID=18421457&amp;VID=107558&amp;PAGENO=1&amp;RESULTCLICK=param(RESULTCLICK)&amp;FILE=default&amp;SEARCHCONFIG=config.cfg</t>
  </si>
  <si>
    <t xml:space="preserve">Preach'd at Hambleden in the county of Bucks on Thursday the second day of December, 1697 / by Francis Gregory …</t>
  </si>
  <si>
    <t xml:space="preserve">A thanksgiving-sermon for the peace</t>
  </si>
  <si>
    <t xml:space="preserve">226.f.15.(5.)</t>
  </si>
  <si>
    <t xml:space="preserve">Gallaway, William</t>
  </si>
  <si>
    <t xml:space="preserve">Printed for Hugh Newman</t>
  </si>
  <si>
    <t xml:space="preserve">http://gateway.proquest.com/openurl?ctx_ver=Z39.88-2003&amp;res_id=xri:eebo&amp;rft_val_fmt=&amp;rft_id=xri:eebo:image:105395</t>
  </si>
  <si>
    <t xml:space="preserve">Preach'd at the parish-church of St. Dunstan's in the West, Dec. IId, 1697</t>
  </si>
  <si>
    <t xml:space="preserve">A sermon preached in the Cathedral Church of Durham on the second of December</t>
  </si>
  <si>
    <t xml:space="preserve">E.10.37</t>
  </si>
  <si>
    <t xml:space="preserve">Comber, Thomas</t>
  </si>
  <si>
    <t xml:space="preserve">Printed by Samuel Roycroft for Robert Clavell</t>
  </si>
  <si>
    <t xml:space="preserve">http://gateway.proquest.com/openurl?ctx_ver=Z39.88-2003&amp;res_id=xri:eebo&amp;rft_val_fmt=&amp;rft_id=xri:eebo:image:40489</t>
  </si>
  <si>
    <t xml:space="preserve">A form of prayer and thanksgiving to almighty God</t>
  </si>
  <si>
    <t xml:space="preserve">Printed by Charles Bill and the executrix of Thomas Newcomb, deceas'd,</t>
  </si>
  <si>
    <t xml:space="preserve">http://eebo.chadwyck.com/search/full_rec?SOURCE=pgimages.cfg&amp;ACTION=ByID&amp;ID=V152247</t>
  </si>
  <si>
    <t xml:space="preserve">begonnen </t>
  </si>
  <si>
    <t xml:space="preserve">For His Majesties safe return, and for the happy and honourable peace, of which God has made him the glorious instrument</t>
  </si>
  <si>
    <t xml:space="preserve">keine Friedenspredigt, sondern das vorgegebene Dankgebet der Church of England beim Dankgottesdienst am Donerstag, 2.12.1697 nach der Rückkehr des Königs von den Verhandlungen in Rijswijk 1697.</t>
  </si>
  <si>
    <t xml:space="preserve">A sermon preached before the King at Whitehall, on the second of December, 1697</t>
  </si>
  <si>
    <t xml:space="preserve">219061 (anal.)</t>
  </si>
  <si>
    <t xml:space="preserve">Burnet, Gilbert</t>
  </si>
  <si>
    <t xml:space="preserve">Printed for Ri. Chiswell</t>
  </si>
  <si>
    <t xml:space="preserve">http://gateway.proquest.com/openurl?ctx_ver=Z39.88-2003&amp;res_id=xri:eebo&amp;rft_val_fmt=&amp;rft_id=xri:eebo:image:65701</t>
  </si>
  <si>
    <t xml:space="preserve">[4], 31, [1] S.</t>
  </si>
  <si>
    <t xml:space="preserve">A sermon preached before the King at Whitehall, on the second of December, 1697, 219061 (anal.)</t>
  </si>
  <si>
    <t xml:space="preserve">Brady, Nicholas</t>
  </si>
  <si>
    <t xml:space="preserve">Printed by J.B. for Joseph Wilde</t>
  </si>
  <si>
    <t xml:space="preserve">http://gateway.proquest.com/openurl?ctx_ver=Z39.88-2003&amp;res_id=xri:eebo&amp;rft_val_fmt=&amp;rft_id=xri:eebo:image:54281</t>
  </si>
  <si>
    <t xml:space="preserve">Preach'd at the Parish-Church of Richmond in Surry, Decemb. the 2d, 1697</t>
  </si>
  <si>
    <t xml:space="preserve">Folger Shakespeare Library</t>
  </si>
  <si>
    <t xml:space="preserve">Washington, DC</t>
  </si>
  <si>
    <t xml:space="preserve">R1545.5</t>
  </si>
  <si>
    <t xml:space="preserve">Rival, Pierre</t>
  </si>
  <si>
    <t xml:space="preserve">chéz la veuve Marret &amp; Henry Ribotteau en Salisbury-Buildings dans le Strand</t>
  </si>
  <si>
    <t xml:space="preserve">http://gateway.proquest.com/openurl?ctx_ver=Z39.88-2003&amp;res_id=xri:eebo&amp;rft_val_fmt=&amp;rft_id=xri:eebo:image:153521</t>
  </si>
  <si>
    <t xml:space="preserve">Lob- und Danck-Predig Welche wegen der herrlichen Victori, So die Kayserliche Armée wider den Erbfeind in Ungarn den 11. September des verstrichenen 1697. Jahrs erhalten</t>
  </si>
  <si>
    <t xml:space="preserve">2 Hom. 427-1,1/2 Beidbd. 2</t>
  </si>
  <si>
    <t xml:space="preserve">Purselt, Conrad
Lothar Franz, Mainz, Erzbischof</t>
  </si>
  <si>
    <t xml:space="preserve">Bencard</t>
  </si>
  <si>
    <t xml:space="preserve">Augsburg
Dillingen</t>
  </si>
  <si>
    <t xml:space="preserve">12:632098H</t>
  </si>
  <si>
    <t xml:space="preserve">http://reader.digitale-sammlungen.de/resolve/display/bsb10620107.html</t>
  </si>
  <si>
    <t xml:space="preserve">In hoher Anwesenheit Jhro Churfürstlichen Gnaden zu Maintz und Bischoffen zu Bamberg Lotharii Francisci ... inhöchst [!] gedachter ... Residentz-Stadt Bamberg</t>
  </si>
  <si>
    <t xml:space="preserve">http://friedensbilder.gnm.de/sites/default/files/1505227803bsb10620107.jpg</t>
  </si>
  <si>
    <t xml:space="preserve">Lob- und Danck-Predig Wegen des zwischen Ihro Kayserlichen Majestät und der Kron Franckreich aufgerichten [!] Friedens</t>
  </si>
  <si>
    <t xml:space="preserve">2 Hom. 427-1,1/2 Beidbd. 1</t>
  </si>
  <si>
    <t xml:space="preserve">Purselt, Conrad
Lothar Franz, Mainz, Erzbischof
Kaunitz, Dominik Andreas von</t>
  </si>
  <si>
    <t xml:space="preserve">12:632085D</t>
  </si>
  <si>
    <t xml:space="preserve">http://reader.digitale-sammlungen.de/resolve/display/bsb10620106.html</t>
  </si>
  <si>
    <t xml:space="preserve">10 S.</t>
  </si>
  <si>
    <t xml:space="preserve">Jn Gegenwart Jhro Churfürstl. Gnaden zu Maintz Lotharii Francisci, Und ... Herrn Grafen von Kaunitz Kayserlichen Abgesandten und aus Holland von den Friedens-Tractaten zuruck kehrenden Gevollmächtigten gehalten Jn dem ... Dohmstifft zu Bamberg 1697</t>
  </si>
  <si>
    <t xml:space="preserve">http://friedensbilder.gnm.de/sites/default/files/1505228071bsb10620106.jpg</t>
  </si>
  <si>
    <t xml:space="preserve">Lob- und Danck-Predig/ Wegen des zwischen Ihro Kayserlichen Majestät und der Cron Franckreich aufgerichten Friedens</t>
  </si>
  <si>
    <t xml:space="preserve">4 Hom. 2405</t>
  </si>
  <si>
    <t xml:space="preserve">23:294880D</t>
  </si>
  <si>
    <t xml:space="preserve">http://reader.digitale-sammlungen.de/de/fs1/object/display/bsb10366472_00003.html</t>
  </si>
  <si>
    <t xml:space="preserve">10 S. </t>
  </si>
  <si>
    <t xml:space="preserve">In Gegenwart Ihro Churfürstl. Gnaden zu Maintz Lotharii Francisci, Und Ihro Hochgräflichen Excellenz Herrn Grafen von Kaunitz/ Kayserlichen Abgesandten/ und aus Holland von den Friedens-Tractaten zuruck kehrenden Gevollmächtigten gehalten In dem Kayserlichen Hohen Dombstifft zu Bamberg 1697</t>
  </si>
  <si>
    <t xml:space="preserve">http://friedensbilder.gnm.de/sites/default/files/1505228557bsb10366472.jpg</t>
  </si>
  <si>
    <t xml:space="preserve">A sermon preached at St. Mary's Truro, on the second of December, 1697, being the day appointed for a public Thanksgiving for peace</t>
  </si>
  <si>
    <t xml:space="preserve">1698 P13</t>
  </si>
  <si>
    <t xml:space="preserve">Paget, Simon</t>
  </si>
  <si>
    <t xml:space="preserve">Printed by J. Heptinstall for Edward Evets</t>
  </si>
  <si>
    <t xml:space="preserve">http://gateway.proquest.com/openurl?ctx_ver=Z39.88-2003&amp;res_id=xri:eebo&amp;rft_val_fmt=&amp;rft_id=xri:eebo:image:97279</t>
  </si>
  <si>
    <t xml:space="preserve">The great work of God in this present dispensation of peace </t>
  </si>
  <si>
    <t xml:space="preserve">4486.g.123</t>
  </si>
  <si>
    <t xml:space="preserve">Nicholetts, Charles</t>
  </si>
  <si>
    <t xml:space="preserve">Printed by Hugh Newman, and sold at his shop</t>
  </si>
  <si>
    <t xml:space="preserve">http://gateway.proquest.com/openurl?ctx_ver=Z39.88-2003&amp;res_id=xri:eebo&amp;res_dat=xri:pqil:res_ver=0.2&amp;rft_id=xri:eebo:citation:31355284</t>
  </si>
  <si>
    <t xml:space="preserve">consider'd, open'd and apply'd in a sermon </t>
  </si>
  <si>
    <t xml:space="preserve">preach'd at Havant in Hampshire, on Thursday Decemb. 2d. 1697, being the day of publick thanksgiving</t>
  </si>
  <si>
    <t xml:space="preserve">The great work of God in his present dispensation of Peace, 4486.g.123</t>
  </si>
  <si>
    <t xml:space="preserve">The great work of God in his present dispensation of Peace</t>
  </si>
  <si>
    <t xml:space="preserve">The great duty of thankfulness</t>
  </si>
  <si>
    <t xml:space="preserve">A.154 (18)</t>
  </si>
  <si>
    <t xml:space="preserve">Hancocke, John</t>
  </si>
  <si>
    <t xml:space="preserve">Printed for Jonathan Robinson</t>
  </si>
  <si>
    <t xml:space="preserve">http://gateway.proquest.com/openurl?ctx_ver=Z39.88-2003&amp;res_id=xri:eebo&amp;rft_val_fmt=&amp;rft_id=xri:eebo:image:109935</t>
  </si>
  <si>
    <t xml:space="preserve">A sermon preach'd at St. Pauls Covent-Graden, December 2d, 1697, being the day of thanksgiving for the peace</t>
  </si>
  <si>
    <t xml:space="preserve">696.f.10.(12.)</t>
  </si>
  <si>
    <t xml:space="preserve">Collins, Samuel</t>
  </si>
  <si>
    <t xml:space="preserve">Printed by F. Collins for Tho. Guy</t>
  </si>
  <si>
    <t xml:space="preserve">http://gateway.proquest.com/openurl?ctx_ver=Z39.88-2003&amp;res_id=xri:eebo&amp;rft_val_fmt=&amp;rft_id=xri:eebo:image:105698</t>
  </si>
  <si>
    <t xml:space="preserve">A sermon preach'd at Tamworth on the second of December 1697, being the thanksgiving day for His Majesty's safe return, and for the happy and honourable peace</t>
  </si>
  <si>
    <t xml:space="preserve">God's king the people's blessing</t>
  </si>
  <si>
    <t xml:space="preserve">1508/10</t>
  </si>
  <si>
    <t xml:space="preserve">Arwaker, Edmund</t>
  </si>
  <si>
    <t xml:space="preserve">Printed by Joseph Ray and are to be Sold at his Shop</t>
  </si>
  <si>
    <t xml:space="preserve">Dublin</t>
  </si>
  <si>
    <t xml:space="preserve">http://gateway.proquest.com/openurl?ctx_ver=Z39.88-2003&amp;res_id=xri:eebo&amp;rft_val_fmt=&amp;rft_id=xri:eebo:image:171592</t>
  </si>
  <si>
    <t xml:space="preserve">A sermon preached on the day of thanksgiving for peace, at St. Ann's Church in Dungannon, in the diocese of Armagh</t>
  </si>
  <si>
    <t xml:space="preserve">Schuldiges Danck- und Jubel-Opffer Aus CXXXIIX. Psalm Davids </t>
  </si>
  <si>
    <t xml:space="preserve">Pon Yc 6204, QK</t>
  </si>
  <si>
    <t xml:space="preserve">Carpzov, Johann Benedict</t>
  </si>
  <si>
    <t xml:space="preserve">Lanckisch
Grosse</t>
  </si>
  <si>
    <t xml:space="preserve">3:635724H</t>
  </si>
  <si>
    <t xml:space="preserve">http://nbn-resolving.de/urn:nbn:de:gbv:3:1-66194</t>
  </si>
  <si>
    <t xml:space="preserve">[1] Bl., 46 S.</t>
  </si>
  <si>
    <t xml:space="preserve">Bey dem am 25. Septembris dieses M DC. LV. Jahrs angestellten Gedächtnis-Fest des Hundertjährigen Religionsfriedens im Römischen Reich </t>
  </si>
  <si>
    <t xml:space="preserve">Gott zu Ehren in wahrer Andacht bracht und Der Christlichen Gemeine zu Leipzig bey volckreicher Versammlung in der Kirchen zu S. Thomas zu heilsamer Erbauung gezeiget</t>
  </si>
  <si>
    <t xml:space="preserve">http://friedensbilder.gnm.de/sites/default/files/758917.jpg</t>
  </si>
  <si>
    <t xml:space="preserve">Augsburger Religionsfrieden</t>
  </si>
  <si>
    <t xml:space="preserve">Der süsse Friedens-Wein Welchen der gütige Jesus Denen lang darnach dürstenden Europaeischen Nationen mit Wendung des gefährlichen Krieges und wieder Erstattung gemeiner Landes Ruh eingeschencket </t>
  </si>
  <si>
    <t xml:space="preserve">AB 170281 (3)</t>
  </si>
  <si>
    <t xml:space="preserve">Hesse, Johann Caspar</t>
  </si>
  <si>
    <t xml:space="preserve">Hynitzsch</t>
  </si>
  <si>
    <t xml:space="preserve">Nordhausen</t>
  </si>
  <si>
    <t xml:space="preserve">3:002564N</t>
  </si>
  <si>
    <t xml:space="preserve">Als kegen den Außgang des 1676ten Jahrs Zwischen dem Römischen Käyser und dem Könige in Franckreich auch deren beyden hohen Bundsgenossen Ein Universal-Friede geschlossen </t>
  </si>
  <si>
    <t xml:space="preserve">Und dieserwegen Gott dem Geber alles Guten bey einem von ... unser gnädigen Herrschaft am 2. Sontage post Epiphan. 1680 angeordneten solennen Friedens-Fest öffentlich gedancket wurde In einer einfältigen Predigt belobet ...</t>
  </si>
  <si>
    <t xml:space="preserve">http://friedensbilder.gnm.de/sites/default/files/3_002564N_001[1].gif</t>
  </si>
  <si>
    <t xml:space="preserve">Versuch in Scherzhaften Liedern</t>
  </si>
  <si>
    <t xml:space="preserve">M: Lo 1948 (2)</t>
  </si>
  <si>
    <t xml:space="preserve">Gleim, Johann Wilhelm Ludwig</t>
  </si>
  <si>
    <t xml:space="preserve">http://diglib.hab.de/drucke/lo-1948-2s/start.htm</t>
  </si>
  <si>
    <t xml:space="preserve">80 S.</t>
  </si>
  <si>
    <t xml:space="preserve">Zweeter Theil</t>
  </si>
  <si>
    <t xml:space="preserve">http://diglib.hab.de/drucke/lo-1948-2s/00001.jpg</t>
  </si>
  <si>
    <t xml:space="preserve">http://friedensbilder.gnm.de/content/frieden_object10393a</t>
  </si>
  <si>
    <t xml:space="preserve">Der Friedensstifter</t>
  </si>
  <si>
    <t xml:space="preserve">M: Lo 1948 (2) (1)</t>
  </si>
  <si>
    <t xml:space="preserve">http://diglib.hab.de/drucke/lo-1948-2s/00096.jpg</t>
  </si>
  <si>
    <t xml:space="preserve">Der Friedensstifter, M: Lo 1948 (2) (1)</t>
  </si>
  <si>
    <t xml:space="preserve">Scherzhafte Lieder</t>
  </si>
  <si>
    <t xml:space="preserve">H: P 1676oo.8° Helmst. (2)</t>
  </si>
  <si>
    <t xml:space="preserve">Weiße, Christian Felix</t>
  </si>
  <si>
    <t xml:space="preserve">Moritz Georg Weidmann II. Erben </t>
  </si>
  <si>
    <t xml:space="preserve">http://gdz.sub.uni-goettingen.de/dms/load/img/?PID=PPN86150996X|LOG_0001&amp;physid=PHYS_0004</t>
  </si>
  <si>
    <t xml:space="preserve">8 P GERM IV, 433</t>
  </si>
  <si>
    <t xml:space="preserve">160 S.</t>
  </si>
  <si>
    <t xml:space="preserve">http://gdz-srv1.sub.uni-goettingen.de/content/PPN86150996X/800/0/00000005.jpg</t>
  </si>
  <si>
    <t xml:space="preserve">H: P 1676oo.8° Helmst. (2) (1)</t>
  </si>
  <si>
    <t xml:space="preserve">http://gdz-srv1.sub.uni-goettingen.de/content/PPN86150996X/800/0/00000097.jpg</t>
  </si>
  <si>
    <t xml:space="preserve">Der Friede, H: P 1676oo.8° Helmst. (2) (1)</t>
  </si>
  <si>
    <t xml:space="preserve">Gedichte von Anna Louisa Karschin, geb. Dürbach</t>
  </si>
  <si>
    <t xml:space="preserve">M: Lo 3571</t>
  </si>
  <si>
    <t xml:space="preserve">Verfasserin
Herausgeberin
Verleger</t>
  </si>
  <si>
    <t xml:space="preserve">Karsch, Anna Luise
Klencke, Caroline Luise von
Maurer, Friedrich</t>
  </si>
  <si>
    <t xml:space="preserve">http://reader.digitale-sammlungen.de/resolve/display/bsb10112173.html</t>
  </si>
  <si>
    <t xml:space="preserve">P.o.germ. 706</t>
  </si>
  <si>
    <t xml:space="preserve">392 S.</t>
  </si>
  <si>
    <t xml:space="preserve">nach der Dichterin Tode nebst ihrem Lebenslauf</t>
  </si>
  <si>
    <t xml:space="preserve">Unvollst., S. 339-389 fehlen</t>
  </si>
  <si>
    <t xml:space="preserve">http://friedensbilder.gnm.de/content/frieden_object103af0</t>
  </si>
  <si>
    <t xml:space="preserve">An Gott bei dem Ausruf des Friedens</t>
  </si>
  <si>
    <t xml:space="preserve">M: Lo 3571 (1)</t>
  </si>
  <si>
    <t xml:space="preserve">129-130</t>
  </si>
  <si>
    <t xml:space="preserve">An Gott bei dem Ausruf des Friedens, M: Lo 3571 (1)</t>
  </si>
  <si>
    <t xml:space="preserve">Das Friedewünschende Teutschland</t>
  </si>
  <si>
    <t xml:space="preserve">A: 149.7 Pol. (2)</t>
  </si>
  <si>
    <t xml:space="preserve">Rist, Johann
Elzevier, Ludwig</t>
  </si>
  <si>
    <t xml:space="preserve">Althaus 2002</t>
  </si>
  <si>
    <t xml:space="preserve">23:280070H</t>
  </si>
  <si>
    <t xml:space="preserve">http://diglib.hab.de/drucke/149-7-pol-2s/start.htm</t>
  </si>
  <si>
    <t xml:space="preserve">168 S.</t>
  </si>
  <si>
    <t xml:space="preserve">In einem Schauspiele öffentlich vorgestellet und beschrieben Durch Johan Risten Einem Mitgenossen der Hochlöblichen Fruchtbringenden Gesellschafft</t>
  </si>
  <si>
    <t xml:space="preserve">Schauspiel über den Einzug und die Wiederherstellung des Friedens-----------------------Aufbau:Zuschrift an die Fruchtbringende GesellschaftVorwort an den "aufrichtiges Leser"VorberichtGedichte (an den Verfasser)Schauspiel: 3 Akte zu je 5 Aufzügen und ein Zwischenspiel-----------------Gedichte (an den Verfasser):Falsche Friedenshoffnung, Georg Philipp HarsdörfferKlage und hertzlicher Friedenswunsch, Adamus OleariusAn das unempfindliche Teutschland, Franz MüllerDas elende und jämmerliche Teutschland, Batholomeus Bohte(ohne Titel), Georg Reiche(ohne Titel), Joachim PipenburgKling-Gedichte, Michael JacobiAn den mißgünstigen Neidhart, Christianus Christiani(ohne Titel), Johan Garmers(ohne Titel), Christoph Adam (Celadon)------------------------------------Rist gibt in seinem Vorwort an, dass er das Schauspiel innerhalb von acht Tagen nach Bekanntgabe der erfolgreichen Abschlüsse in Münster und Osnabrück geschrieben habe. Das Stücke wurde zunächst öffentlich aufgeführt und von "höheren Ständen" gesehen. Er beschreibt auch die Reaktion und sogar Kritik eines Gegners, der ein Pasquill zum Schauspiel veröffentlich hatte. Aufgrund dieser Kritik hat sich Rist dann dazu entscheiden, das Schauspiel in den Druck zu geben und zu veröffentlichen. Den "Ursprung des Elends" (gemeint ist der Krieg) schreibt Rist der deutschen Bosheit und Gottlosigkeit zu (dies wird besonders im vierten Aufzug der dritten Handlung deutlich).&amp;nbsp;-----------------------------------------------------------------------Personen des Schauspiels:&amp;nbsp;MerkuriusKönig Ehrenvest (Ariovistus)Herzog Herman ( Arminius)Fürst Klaudius CivilisHerzog WedekindTeutschlandFriedeWollustHofmeisterDon Anthonio (Spanien)Monsieur Gaston (Frankreich)Signoro Bartholomeo (Italien?)Herr Karl (Deutschland)MarsSausewindHungerPestMeister Ratio Status (Kirche?)&amp;nbsp;Gott&amp;nbsp;</t>
  </si>
  <si>
    <t xml:space="preserve">http://diglib.hab.de/drucke/149-7-pol-2s/00001.jpg</t>
  </si>
  <si>
    <t xml:space="preserve">Das Friedewünschende Teutschland, A: 149.7 Pol. (2)</t>
  </si>
  <si>
    <t xml:space="preserve">Das dem Churfürstenthum Sachsen durch den Hubertsburger Frieden merkwürdig gewordene 1763ste Jahr</t>
  </si>
  <si>
    <t xml:space="preserve">Pon Vd 3102, QK</t>
  </si>
  <si>
    <t xml:space="preserve">Das dem Churfürstenthum Sachsen durch den Hubertsburger Frieden merkwürdig gewordene 1763ste Jahr, Pon Vd 3102, QK</t>
  </si>
  <si>
    <t xml:space="preserve">Bey der Feyer des Festes über den zwischen den Hohen Berlin- Wiener - und Dresdnischen Höfen den 25ten Dec. 1745 höchsterfreulich geschlossenen Frieden wurde den 21ten Jenner 1746 u. dem öffentl. Stadt- u. Rath-Hause zu Franckfurt an der Oder zu Bezeugung der ... Ehrfurcht ... gegen S. Königl. Majestät ... nachstehende Rede vorgetragen / von Johannes Samuel Ungnad</t>
  </si>
  <si>
    <t xml:space="preserve">Pon Vd 2372 d</t>
  </si>
  <si>
    <t xml:space="preserve">Ungnad, Johannes Samuel
Kleyb, Johann Christian</t>
  </si>
  <si>
    <t xml:space="preserve">http://friedensbilder.gnm.de/sites/default/files/0001.jpg
http://friedensbilder.gnm.de/sites/default/files/0002.jpg
http://friedensbilder.gnm.de/sites/default/files/0003.jpg
http://friedensbilder.gnm.de/sites/default/files/0004.jpg
http://friedensbilder.gnm.de/sites/default/files/0005.jpg
http://friedensbilder.gnm.de/sites/default/files/0006.jpg
http://friedensbilder.gnm.de/sites/default/files/0007.jpg
http://friedensbilder.gnm.de/sites/default/files/0008.jpg
http://friedensbilder.gnm.de/sites/default/files/0009.jpg</t>
  </si>
  <si>
    <t xml:space="preserve">Bey der Feyer des Festes über den zwischen den Hohen Berlin- Wiener - und Dresdnischen Höfen, Pon Vd 2372 d</t>
  </si>
  <si>
    <t xml:space="preserve">Bey der Feyer des Festes über den zwischen den Hohen Berlin- Wiener - und Dresdnischen Höfen</t>
  </si>
  <si>
    <t xml:space="preserve">Friede wird geglaubt, wann er wird gefühlt</t>
  </si>
  <si>
    <t xml:space="preserve">GE 44-0110:113 (18)</t>
  </si>
  <si>
    <t xml:space="preserve">Friede wird geglaubt, wann er wird gefühlt, GE 44-0110:113 (18)</t>
  </si>
  <si>
    <t xml:space="preserve">Friede auff den Frühling</t>
  </si>
  <si>
    <t xml:space="preserve">GE 44-0110:113 (19)</t>
  </si>
  <si>
    <t xml:space="preserve">Friede auff den Frühling, GE 44-0110:113 (19)</t>
  </si>
  <si>
    <t xml:space="preserve">Der oßnabrugische Friede</t>
  </si>
  <si>
    <t xml:space="preserve">GE 44-0110:113 (20)</t>
  </si>
  <si>
    <t xml:space="preserve">Der oßnabrugische Friede, GE 44-0110:113 (20)</t>
  </si>
  <si>
    <t xml:space="preserve">Ein rechtschaffener Friede</t>
  </si>
  <si>
    <t xml:space="preserve">GE 44-0110:113 (21)</t>
  </si>
  <si>
    <t xml:space="preserve">Ein rechtschaffener Friede, GE 44-0110:113 (21)</t>
  </si>
  <si>
    <t xml:space="preserve">Das klagende Deutschland</t>
  </si>
  <si>
    <t xml:space="preserve">H00/DISS.A.S 1124</t>
  </si>
  <si>
    <t xml:space="preserve">29:727311Q</t>
  </si>
  <si>
    <t xml:space="preserve">http://digital.bib-bvb.de/view/bvbmets/viewer.0.6.1.jsp?folder_id=0&amp;dvs=1493293028606~660&amp;pid=6394092&amp;locale=de&amp;usePid1=true&amp;usePid2=true</t>
  </si>
  <si>
    <t xml:space="preserve">9 S.</t>
  </si>
  <si>
    <t xml:space="preserve">auffgesetzet vom Georg Greblinger/ aus Regenspurg</t>
  </si>
  <si>
    <t xml:space="preserve">Das klagende Deutschland, H00/DISS.A.S 1124</t>
  </si>
  <si>
    <t xml:space="preserve">Cantata pastorale a canto solo con vv. </t>
  </si>
  <si>
    <t xml:space="preserve">Stadtbibliothek Hannover, Musikbibliothek</t>
  </si>
  <si>
    <t xml:space="preserve">Kestner 72</t>
  </si>
  <si>
    <t xml:space="preserve">https://opac.rism.info/search?id=451003384</t>
  </si>
  <si>
    <t xml:space="preserve">undefined</t>
  </si>
  <si>
    <t xml:space="preserve">PhD_Pelliccia</t>
  </si>
  <si>
    <t xml:space="preserve">Cantata pastorale a canto solo con vv., Kestner 72</t>
  </si>
  <si>
    <t xml:space="preserve">Cantata pastorale a canto solo con vv.</t>
  </si>
  <si>
    <t xml:space="preserve">Mus.ms.autogr. Scarlatti, A. 5</t>
  </si>
  <si>
    <t xml:space="preserve">https://opac.rism.info/search?id=464131737</t>
  </si>
  <si>
    <t xml:space="preserve">http://digital.staatsbibliothek-berlin.de/werkansicht?PPN=PPN861713443&amp;PHYSID=PHYS_0001&amp;DMDID=DMDLOG_0001</t>
  </si>
  <si>
    <t xml:space="preserve">Cantata Pastorale da Camera</t>
  </si>
  <si>
    <t xml:space="preserve">http://friedensbilder.gnm.de/sites/default/files/PPN861713443_00000001.tif
http://friedensbilder.gnm.de/sites/default/files/PPN861713443_00000013.tif
http://friedensbilder.gnm.de/sites/default/files/PPN861713443_00000014.tif</t>
  </si>
  <si>
    <t xml:space="preserve">https://friedensbilder-neu.gnm.de/sites/default/files/2019-06/Mus.ms_.autogr.-Scarlatti,-A.-5_01_0.png
https://friedensbilder-neu.gnm.de/sites/default/files/2019-06/Mus.ms_.autogr.-Scarlatti,-A.-5_02_0.png
https://friedensbilder-neu.gnm.de/sites/default/files/2019-06/Mus.ms_.autogr.-Scarlatti,-A.-5_03_0.png</t>
  </si>
  <si>
    <t xml:space="preserve">http://friedensbilder.gnm.de/content/frieden_foto_order1df8fa</t>
  </si>
  <si>
    <t xml:space="preserve">Per la pace tra Spagna, e Francia dell’anno 1660</t>
  </si>
  <si>
    <t xml:space="preserve">204. 3.B.12</t>
  </si>
  <si>
    <t xml:space="preserve">Komarek, Giovanni Giacomo</t>
  </si>
  <si>
    <t xml:space="preserve">https://books.google.de/books?id=y3p_Zp-n4OcC&amp;printsec=frontcover&amp;dq=poesie+latine+e+toscane+del+signor+giovanni+lotti&amp;hl=it&amp;sa=X&amp;ved=0ahUKEwixypqm85DZAhUGchQKHVXJA2YQ6AEIKDAA#v=onepage&amp;q&amp;f=true</t>
  </si>
  <si>
    <t xml:space="preserve">6. 18.B.42</t>
  </si>
  <si>
    <t xml:space="preserve">Poesie Latine e Toscane del Sig. Giovanni Lotti. Parte terza</t>
  </si>
  <si>
    <t xml:space="preserve">http://friedensbilder.gnm.de/sites/default/files/2.JPG
http://friedensbilder.gnm.de/sites/default/files/3.JPG</t>
  </si>
  <si>
    <t xml:space="preserve">Per la pace tra Spagna, e Francia dell'anno 1660, 204. 3.B.12</t>
  </si>
  <si>
    <t xml:space="preserve">https://friedensbilder-neu.gnm.de/sites/default/files/2019-06/204.-3.B_0.png</t>
  </si>
  <si>
    <t xml:space="preserve">Per la pace tra Spagna, e Francia dell'anno 1660</t>
  </si>
  <si>
    <t xml:space="preserve">http://friedensbilder.gnm.de/content/frieden_foto_order1df968</t>
  </si>
  <si>
    <t xml:space="preserve">204. 3.B.12_</t>
  </si>
  <si>
    <t xml:space="preserve">Lotti, Giovanni
Komarek, Giovanni Giacomo</t>
  </si>
  <si>
    <t xml:space="preserve">http://friedensbilder.gnm.de/content/frieden_object1041cc</t>
  </si>
  <si>
    <t xml:space="preserve">Tocchin le trombe all'arma</t>
  </si>
  <si>
    <t xml:space="preserve">Music Collections D.4.</t>
  </si>
  <si>
    <t xml:space="preserve">Magni, Bartolomeo</t>
  </si>
  <si>
    <t xml:space="preserve">Venetia : Stampa del Gardano. Appresso Bartolomeo Magni</t>
  </si>
  <si>
    <t xml:space="preserve">http://epapers.bham.ac.uk/1876/25/10_Tocchin_le_trombe.pdf</t>
  </si>
  <si>
    <t xml:space="preserve">Musiche concertate con voci, &amp; Istromenti, a 6, 7, 8, 9, &amp; 10. Con Basso Continuo</t>
  </si>
  <si>
    <t xml:space="preserve">Tocchin le trombe all'arma, Music Collections D.4.</t>
  </si>
  <si>
    <t xml:space="preserve">Drucker
Komponist</t>
  </si>
  <si>
    <t xml:space="preserve">Magni, Bartolomeo
Valentini, Giovanni</t>
  </si>
  <si>
    <t xml:space="preserve">https://opac.rism.info/search?id=00000990065129</t>
  </si>
  <si>
    <t xml:space="preserve">http://friedensbilder.gnm.de/content/frieden_object104362</t>
  </si>
  <si>
    <t xml:space="preserve">Gn Kapsel 13 (10)</t>
  </si>
  <si>
    <t xml:space="preserve">Gruber, Balthasar</t>
  </si>
  <si>
    <t xml:space="preserve">23:307880Q</t>
  </si>
  <si>
    <t xml:space="preserve">http://diglib.hab.de/drucke/gn-kapsel-13-10/start.htm</t>
  </si>
  <si>
    <t xml:space="preserve">44 Bl. </t>
  </si>
  <si>
    <t xml:space="preserve">&amp;nbsp;&amp;nbsp;Der Druck beinhaltet Texte, die zum 63. Geburtstag von August dem Jüngeren von Braunschweig-Wolfenbüttel geschrieben wurden. Folgende Personen haben einen Beitrag dazu geleistet:&amp;nbsp;Baldovius, Johannes Wideburgius, HenricusMollerus, Valentinus Voigt, ChristianSteding, Henningus Peyerlein, HermannWägner, MichelFreydorff, Joachimus  Herzog Rudolf August von Braunschweig-Lüneburg Saurmanus, Thomas Dörer, Philippus Christoph&amp;nbsp;Zigemarius, JohannesBohn, Johannes PhilippusGosky, Rudolph-AugustusSponnagel, JochimGeißmar, JuliusWeichhart, Petrus Schottel, Justus Georg Matthesius, Johann Clauder, Johann Christ, GeorgKerst, Matthes Vogel, MartinMarconnettus, AbrahamusRühmann, ChristoffFuchs, Balthasar Gosky, MartinBrosenius, Henningus S. M.&amp;nbsp;&amp;nbsp;Nur fünf der Beiträge sind auf Deutsch, die restlichen in Latein abgefasst. Der gesamte Druck ist August dem Jüngeren gewidmet. Betont wird in den einzelnen Texten vor allem die aufgeschlossene Haltung des Fürsten den schönen Künsten gegenüber – August selbst war Mitglied der Fruchtbringenden Gesellschaft – als auch die Verdienste der Druckergilde, die für die Verbreitung der Literatur unerlässlich war. &amp;nbsp;</t>
  </si>
  <si>
    <t xml:space="preserve">http://diglib.hab.de/drucke/gn-kapsel-13-10/00003.jpg</t>
  </si>
  <si>
    <t xml:space="preserve">Ohne Titel, Gn Kapsel 13 (10)
Emblema, Gn Kapsel 13 (10)
FriedensLob und DanckLied / Auff deß Durchl. Hochgebornen Fürsten und Herrn AUGUSTI, Herzog zu Braunschweig und Lüneburg u. Hochfeierlichen GeburtsTag / , Gn Kapsel 13 (10)</t>
  </si>
  <si>
    <t xml:space="preserve">Ohne Titel
Emblema
FriedensLob und DanckLied / Auff deß Durchl. Hochgebornen Fürsten und Herrn AUGUSTI, Herzog zu Braunschweig und Lüneburg u. Hochfeierlichen GeburtsTag / </t>
  </si>
  <si>
    <t xml:space="preserve">Prologo_Ercole Amante</t>
  </si>
  <si>
    <t xml:space="preserve">Lyon</t>
  </si>
  <si>
    <t xml:space="preserve">Rés 301956(2)</t>
  </si>
  <si>
    <t xml:space="preserve">Ballard, Robert</t>
  </si>
  <si>
    <t xml:space="preserve">Robert Ballard, seul Imprimeur du Roy puor la Musique</t>
  </si>
  <si>
    <t xml:space="preserve">http://catalogue.bm-lyon.fr/?fn=ViewNotice&amp;Style=Portal3&amp;q=300386</t>
  </si>
  <si>
    <t xml:space="preserve">Prologo Ercole Amante, Rés 301956(2)</t>
  </si>
  <si>
    <t xml:space="preserve">Prologo Ercole Amante</t>
  </si>
  <si>
    <t xml:space="preserve">Rés 301956(2)_</t>
  </si>
  <si>
    <t xml:space="preserve">Drucker
Autor
Komponist</t>
  </si>
  <si>
    <t xml:space="preserve">Ballard, Robert
Buti, Francesco
Cavalli, Francesco</t>
  </si>
  <si>
    <t xml:space="preserve">A Paris: par Robert Ballard, seul Imprimeur du Roy puor la Musique</t>
  </si>
  <si>
    <t xml:space="preserve">http://friedensbilder.gnm.de/content/frieden_object104800</t>
  </si>
  <si>
    <t xml:space="preserve">Medaille auf den Frieden von Rastatt</t>
  </si>
  <si>
    <t xml:space="preserve">Med 1621</t>
  </si>
  <si>
    <t xml:space="preserve">Nürnberger, Georg Friedrich
Brunner, Martin</t>
  </si>
  <si>
    <t xml:space="preserve">Ausst. Kat. Rastatt 2014/2015
Ausst. Kat. Wien 1986/1987
Pax in Nummis 1913
Jordan / Troll 2013
Ohm 2015
Ohm 2014
Ausst. Kat. Stuttgart 2012</t>
  </si>
  <si>
    <t xml:space="preserve">S. 178, Kat.-Nr. 3.23.11
S. 167, Kat.-Nr. 186
S. 115, Nr. 459
S. 74–75
S. 220, Kat.-Nr. II.2.7
S. 82
S. 137, Kat.-Nr. 91 (Hans-Martin Kaulbach)</t>
  </si>
  <si>
    <t xml:space="preserve">15,97
36</t>
  </si>
  <si>
    <t xml:space="preserve">N
MB</t>
  </si>
  <si>
    <t xml:space="preserve">OLIM DVO FVLMINA BELLI.
NVNC INSTRVMENTA QVIETIS.
MDCCXIV</t>
  </si>
  <si>
    <t xml:space="preserve">Da mit dem Vertrag von Utrecht bis auf das Reich alle Mitglieder der großen Allianz Frieden mit Frankreich geschlossen hatten, ging der Krieg zwischen&amp;nbsp;Karl VI.&amp;nbsp;und Ludwig XIV.&amp;nbsp;weiter.Auf die Vermittlung des pfälzischen Kurfürsten&amp;nbsp;Johann Wilhelm&amp;nbsp;hin, entschloss sich Frankreich ab Sommer 1713 Kontakt zu dem kaiserlichen Bevollmächtigten&amp;nbsp;Eugen von Savoyen&amp;nbsp;aufzunehmen. Am 26. November trafen dieser und der französische Unterhändler Marschall&amp;nbsp;de&amp;nbsp;Villars&amp;nbsp;in Rastatt ein und begannen mit den Verhandlungen.Die Vorderseite der Medaille zeigt die Porträts der beiden Feldherren, die sich vor ihrem diplomatischen Treffen bereits in diversen Schlachten gegenübergestanden hatten. Der Prinz von Savoyen trägt die Ordenskette des Goldenen Vlieses und einen mit dem kaiserlichen Adler verzierten Kürass, de Villars hingegen einen mit der bourbonischen Lilie und der Kollane des Ordens vom Heiligen Geist. Die Umschrift 'einst zwei Blitze des Krieges' bildet eine Einheit mit der Rückseite 'nun Werkzeuge der Ruhe'. Darunter unterzeichnet ein Putto ein Vertragsdokument, wofür ihm ein umgedrehter Helm als Tintenfass dient.ALS</t>
  </si>
  <si>
    <t xml:space="preserve">http://friedensbilder.gnm.de/sites/default/files/Med1621_vs.tif
http://friedensbilder.gnm.de/sites/default/files/Med1621_rs.tif</t>
  </si>
  <si>
    <t xml:space="preserve">Medaille auf den Frieden von Rastatt, Vorderseite, Med 1621
Medaille auf den Frieden von Rastatt, Rückseite, Med 1621
NVNC INSTRVMENTA QVIETIS, Med 1621</t>
  </si>
  <si>
    <t xml:space="preserve">Medaille auf den Frieden von Rastatt, Vorderseite
Medaille auf den Frieden von Rastatt, Rückseite
NVNC INSTRVMENTA QVIETIS</t>
  </si>
  <si>
    <t xml:space="preserve">http://friedensbilder.gnm.de/content/frieden_foto_order204f99</t>
  </si>
  <si>
    <t xml:space="preserve">Med 5356</t>
  </si>
  <si>
    <t xml:space="preserve">Vestner, Georg Wilhelm
Müller, Philipp Heinrich</t>
  </si>
  <si>
    <t xml:space="preserve">Pax in Nummis 1913
Bernheimer 1984
Neumann-Lysloff 2014</t>
  </si>
  <si>
    <t xml:space="preserve">S. 119, Nr. 474
Teil II Katalog, S. 26, Kat.-Nr. 44
S. 201</t>
  </si>
  <si>
    <t xml:space="preserve">44,2
29,36</t>
  </si>
  <si>
    <t xml:space="preserve">Monogramm
P.H.M</t>
  </si>
  <si>
    <t xml:space="preserve">V</t>
  </si>
  <si>
    <t xml:space="preserve">Umschrift
Umschrift 
Inschrift</t>
  </si>
  <si>
    <t xml:space="preserve">CAROLVS VI.D.G.ROM.IMP.SEMP.AVG
PACI GERMANIAE
RESTITVTAE M DCC XIV.</t>
  </si>
  <si>
    <t xml:space="preserve">Die Vorderseite der Medaille trägt das Brustbild Kaiser&amp;nbsp;Karls VI. mit Lorbeerkranz und der Ordenskette des Goldenen Vlieses. Auf der Rückseite entzündet&amp;nbsp;Pax vor einer Statuette der&amp;nbsp;Iustitia einen Berg aus Waffen.[fn]Zu Pax als Personifikation siehe Ausst. Kat. Stuttgart 2012, S. 69–74.[/fn] Beide Figuren sind &amp;nbsp;innerhalb der Friedensikonografie durch die bildliche Darstellung von Psalm 85,11 vertreten, doch das auf die Antike zurückgehende Motiv der Waffenverbrennung verbreitete sich in der Frühen Neuzeit besonders durch die Rezeption der&amp;nbsp;Iconologia&amp;nbsp;Cesare Ripas.&amp;nbsp;ALS</t>
  </si>
  <si>
    <t xml:space="preserve">http://friedensbilder.gnm.de/sites/default/files/Med5356_rs.tif
http://friedensbilder.gnm.de/sites/default/files/Med5356_vs.tif</t>
  </si>
  <si>
    <t xml:space="preserve">Medaille auf den Frieden von Rastatt, Vorderseite, Med 5356
Medaille auf den Frieden von Rastatt, Rückseite, Med 5356</t>
  </si>
  <si>
    <t xml:space="preserve">Medaille auf den Frieden von Rastatt, Vorderseite
Medaille auf den Frieden von Rastatt, Rückseite</t>
  </si>
  <si>
    <t xml:space="preserve">http://friedensbilder.gnm.de/content/frieden_foto_order204f9e</t>
  </si>
  <si>
    <t xml:space="preserve">Medaille auf den Frieden von Baden 1714</t>
  </si>
  <si>
    <t xml:space="preserve">Med 4057</t>
  </si>
  <si>
    <t xml:space="preserve">Öxlein, Christoph Daniel</t>
  </si>
  <si>
    <t xml:space="preserve">Ohm 2015
Neumann-Lysloff 2014</t>
  </si>
  <si>
    <t xml:space="preserve">S. 223, Nr. II.3.1
S. 200</t>
  </si>
  <si>
    <t xml:space="preserve">43
23,28</t>
  </si>
  <si>
    <t xml:space="preserve">mm 
g</t>
  </si>
  <si>
    <t xml:space="preserve">C.D.Ö.</t>
  </si>
  <si>
    <t xml:space="preserve">links, unter Ärmel</t>
  </si>
  <si>
    <t xml:space="preserve">Umschrift
Umschrift (zweizeilig)
Inschrift</t>
  </si>
  <si>
    <t xml:space="preserve">CAROL:VI.D.G.ROM.IMP.S.A.G.H.H&amp;B.R.
OMNE BELLUM CVM TVMVLTV IGNE COMBVRETVR / IESA:9.V.
PAX BADAE. VII. SEPT. MDCCXIV.</t>
  </si>
  <si>
    <t xml:space="preserve">3
1.69</t>
  </si>
  <si>
    <t xml:space="preserve">Der Avers zeigt das lorbeerbekrönte Profil Karls VI.&amp;nbsp;(vgl. Med 12528)Auf dem Revers visualisiert Herkules mit dem Fell des Nemeischen Löwen die Tugendhaftigkeit des Kaisers. Mit seinem Fuß tritt er eine Furie zu Boden und mit seiner Rechten entzündet er ein auf einen Altar erhobenes Waffenarsenal, auf das sich die Umschrift bezieht: ”Jeder Krieg wurde mit Feuer und Tumult zerstört“. Der an Jes 9,4[fn]Die Münzinschrift gibt fälschlicherweise Jesaja 9.5 an. Gemeint ist aber der vorhergehnde Vers: ”Denn jeder Stiefel, der mit Gedröhn dahergeht, und jeder Mantel, durch Blut geschleift, wird verbrannt und vom Feuer verzehrt.“[/fn]&amp;nbsp;angelehnte Vers mag sich auf den andauernden Krieg zwischen dem Heiligen Römischen Reich und Frankreich beziehen, der trotz des Friedens von Utrecht (1713) fortbestand und erst mit dem Badener Vertrag beendet werden konnte.[fn]Vgl. Ohm 2015, S. 223, Nr. II.3.1.[/fn]ALS</t>
  </si>
  <si>
    <t xml:space="preserve">http://friedensbilder.gnm.de/sites/default/files/Med4057_vs.tif
http://friedensbilder.gnm.de/sites/default/files/Med4057_rs.tif</t>
  </si>
  <si>
    <t xml:space="preserve">Medaille auf den Frieden von Baden 1714, Vorderseite, Med 4057
Medaille auf den Frieden von Baden 1714, Rückseite, Med 4057</t>
  </si>
  <si>
    <t xml:space="preserve">Medaille auf den Frieden von Baden 1714, Vorderseite
Medaille auf den Frieden von Baden 1714, Rückseite</t>
  </si>
  <si>
    <t xml:space="preserve">http://friedensbilder.gnm.de/content/frieden_foto_order204f7b</t>
  </si>
  <si>
    <t xml:space="preserve">Med 12528</t>
  </si>
  <si>
    <t xml:space="preserve">Ausst. Kat. Rastatt 2014/2015
Pax in Nummis 1913</t>
  </si>
  <si>
    <t xml:space="preserve">S. 176–177, Kat.-Nr. 3.23.7
S. 116, Nr. 461</t>
  </si>
  <si>
    <t xml:space="preserve">25
7,1 </t>
  </si>
  <si>
    <t xml:space="preserve">CAROL.VI D.G.ROM.IMP.S.A.G.H.N.I.H.&amp;B.REX
CONSTANTIA ET FORTITVDINE CAROLI EVGENII
PAX GERMANO GALLICA FIT RASTADII</t>
  </si>
  <si>
    <t xml:space="preserve">Der Avers zeigt das lorbeerbekrönte Profil Karls VI. mit einer herrschaftlichen Umschrift. (Vgl. Med 4057)Die Rückseite zeigt den Erdball, dessen gesamte Spanne von einem Olivenzweig bedeckt, und der von der Abschnittsleiste auf der Hälfte beschnitten wird. Von oben scheinen göttliche Strahlen auf dieses, durch den Vertrag von Rastatt befriedete Reich. Dass dieses Ereignis Anlass zur Prägung war, legt auch das Chronogramm der Inschrift nahe: 1714 (MDCLLXIIII). Die Umschrift selbst gibt das Motto&amp;nbsp;Karls&amp;nbsp;wieder. Beharrlichkeit (Constantia) und Entschlossenheit (Fortitudine) lassen sich auch auf seine Ablehnung des Utrechter Vertrages von 1713 beziehen.ALS/MATW</t>
  </si>
  <si>
    <t xml:space="preserve">D.G.ROM.IMP.S.A.G.H.N.I.H.&amp;amp;B.REXvon Gottes Gnaden Römischer Kaiser der allzeit Erhabene, König von Deutschland, Spanien, Navarra, Jerusalem, Ungarn und BöhmenALS</t>
  </si>
  <si>
    <t xml:space="preserve">http://friedensbilder.gnm.de/sites/default/files/Med12528_vs.tif
http://friedensbilder.gnm.de/sites/default/files/Med12528_rs.tif</t>
  </si>
  <si>
    <t xml:space="preserve">Medaille auf den Frieden von Rastatt, Vorderseite, Med 12528
Medaille auf den Frieden von Rastatt, Rückseite, Med 12528</t>
  </si>
  <si>
    <t xml:space="preserve">http://friedensbilder.gnm.de/content/frieden_foto_order204f94</t>
  </si>
  <si>
    <t xml:space="preserve">Dukat auf den Utrechter Frieden</t>
  </si>
  <si>
    <t xml:space="preserve">Mü 15354</t>
  </si>
  <si>
    <t xml:space="preserve">Pax in Nummis 1913
Aukt. Kat. Künker eLive Nr. 33
Aukt. Kat. Slg. Julius 1958</t>
  </si>
  <si>
    <t xml:space="preserve">S. 109, Nr. 436
S. 64, Nr. 2346
S. 27, Nr. 1185</t>
  </si>
  <si>
    <t xml:space="preserve">20
3,4</t>
  </si>
  <si>
    <t xml:space="preserve">HAT VTRECHT FRIEDEN HERGEBRACHT
.D.11.APRIL.
SOBALD DIE HARMONIE GEMACHT
1713</t>
  </si>
  <si>
    <t xml:space="preserve">Die Utrechter Stadtvedute mit Regenbogen und Wappen auf dem Avers ist einer Medaille von Christian Wermuth&amp;nbsp;nachempfunden.[fn] Für die Ansicht vgl. Cordula Wohlfahrt: Christian Wermuth. Ein deutscher Medailleur der Barockzeit, London 1992, S. 315, Kat.-Nr. 12 012. Der Franzose, der nach der Musik der englischen Harfe tanzt, findet sich ebenfalls bei Wermuth. Ebd. S. 313, Kat.-Nr. 12 008.[/fn] Während sich dessen Darstellung kritisch gegenüber dem britischen Vertragspartner äußert,[fn]Die Inschrift lautet: SI IVBET ANNA NIMIS NON FIDIT BELGA COLORI (übersetzt: Da Anna zu sehr auf Frieden ansteuert, vertrauen die Niederländer diesen Farben nicht). Siehe&amp;nbsp;Ausst. Kat. Utrecht 2013, S. 155–156, Kat.-Nr. 63 (Maarten Brinkmann, Renger E. Bruin).[/fn]&amp;nbsp;lässt die Umschrift der Goldmedaille eine antifranzösische Tendenz erkennen: ”Sobald die Harmonie gebracht, hat Utrecht Frieden hergebracht.“ Die Harmonie wird auf dem Revers mit einer Friedensharfe versinnbildlicht, die ein gallischer Hahn stützt und die von einer Hand aus den Wolken gezupft wird. Bei den Friedensverhandlungen stellte Frankreich die Stadt Utrecht mit seinen Forderungen zur genauen Einhaltung des diplomatischen Zeremoniells vor neue Herausforderungen (siehe dafür&amp;nbsp;HB 6381, Kapsel 1220).&amp;nbsp;Doch auch der Friede von Utrecht konnte den Spanischen Erbfolgekrieg noch nicht vollständig beenden, da erst in den Verträgen von Rastatt und Baden auch der Konflikt zwischen Kaiser und Frankreich beigelegt werden konnte.ALS&amp;nbsp;&amp;nbsp;</t>
  </si>
  <si>
    <t xml:space="preserve">http://friedensbilder.gnm.de/sites/default/files/Mü15354_vs.tif
http://friedensbilder.gnm.de/sites/default/files/Mü15354_rs.tif</t>
  </si>
  <si>
    <t xml:space="preserve">Dukat auf den Utrechter Frieden, Vorderseite, Mü 15354
Dukat auf den Utrechter Frieden, Rückseite, Mü 15354</t>
  </si>
  <si>
    <t xml:space="preserve">Dukat auf den Utrechter Frieden, Vorderseite
Dukat auf den Utrechter Frieden, Rückseite</t>
  </si>
  <si>
    <t xml:space="preserve">http://friedensbilder.gnm.de/content/frieden_foto_order204ecb</t>
  </si>
  <si>
    <t xml:space="preserve">Galvano</t>
  </si>
  <si>
    <t xml:space="preserve">Med 1947</t>
  </si>
  <si>
    <t xml:space="preserve">Vestner, Georg Wilhelm</t>
  </si>
  <si>
    <t xml:space="preserve">Neumann-Lysloff 2014
Ausst. Kat. Stuttgart 2012
Ausst. Kat. Utrecht 2013
Bernheimer 1984
Ausst. Kat. Wien 1986/1987
Pax in Nummis 1913
Aukt. Kat. Münzhandlung Adolph Hess Nachf. 1880
Telesko 2013</t>
  </si>
  <si>
    <t xml:space="preserve">S. 199, A
S. 138, Abb. 47 (Hans-Martin Kaulbach)
S. 183, Kat.-Nr. 93 (Barbara Welter)
Teil II Katalog, S. 31, Nr. 51
S. 172, Nr. 191
S. 119, Nr. 477
Nr. 1433
S. 385</t>
  </si>
  <si>
    <t xml:space="preserve">41,76
49</t>
  </si>
  <si>
    <t xml:space="preserve">HAS TANDEM AD THERMAS FESSVS MARS ABLVIT ENSEM
BADENA</t>
  </si>
  <si>
    <t xml:space="preserve">3
2.69</t>
  </si>
  <si>
    <t xml:space="preserve">Das Galvano stammt von der Vorderseite einer Medaille auf den Frieden von Baden (Vgl. folgenden Link) Unter dem Stadtwappen Badenas erstreckt sich die Ansicht des Aargauer Kurorts mit dem Fluss Limmat, der bis in den Vordergrund reicht. Dort hat sich der Kriegsgott&amp;nbsp;Mars&amp;nbsp;auf einer Flussinsel niedergelassen und säubert sein Schwert im klaren Wasser. Die Umschrift bezieht die heilsame Rolle des Vertragsortes mit ein: der ”müde Kriegsgott“[fn]Eine Ikonographie, die häufiger bei Friedensschlüssen bemüht wurde, siehe etwa HB 25059, Kapsel 1314[/fn]&amp;nbsp;wäscht sein Schwert im Thermalwasser, somit kann der Spanische Erbfolgekrieg ”endlich“ (TANDEM) beendet werden.&amp;nbsp;Die Rückseite der zu Grunde liegenden Medaille zeigt Kaiser&amp;nbsp;Karl VI.&amp;nbsp;zusammen mit der Personifikation des Heiligen Römischen Reiches, die gemeinsam ein Dankopfer darbringen. Die Inschrift des Abschnittes bezieht sich derweil auf ein weiteres Motiv, das häufig im Rahmen der Friedensschlüsse 1713/14 auftaucht: die geschlossenen Tore des Janustempels.ALS</t>
  </si>
  <si>
    <t xml:space="preserve">http://friedensbilder.gnm.de/sites/default/files/Med1947_vs.tif
http://friedensbilder.gnm.de/sites/default/files/Med1947_rs.tif</t>
  </si>
  <si>
    <t xml:space="preserve">Medaille auf den Frieden von Baden 1714, Vorderseite, Med 1947</t>
  </si>
  <si>
    <t xml:space="preserve">Medaille auf den Frieden von Baden 1714, Vorderseite</t>
  </si>
  <si>
    <t xml:space="preserve">http://friedensbilder.gnm.de/content/frieden_foto_order204f76</t>
  </si>
  <si>
    <t xml:space="preserve">Medaille auf den Frieden von Rastatt 1714</t>
  </si>
  <si>
    <t xml:space="preserve">Med 15313</t>
  </si>
  <si>
    <t xml:space="preserve">Telesko 2013
Ohm 2015
Ausst. Kat. Stuttgart 2012
Bernheimer 1984
Pax in Nummis 1913
Ohm 2014
Ausst. Kat. Rastatt 1964</t>
  </si>
  <si>
    <t xml:space="preserve">S. 387–388
S. 218. Nr. II.2.4
S. 137, Kat.-Nr. 92 (Hans-Martin Kaulbach)
Teil II Katalog, S. 29, Kat.-Nr. 49
S. 115, Nr. 458
S. 81
S. 53, Kat.-Nr. 76</t>
  </si>
  <si>
    <t xml:space="preserve">54
48,4</t>
  </si>
  <si>
    <t xml:space="preserve">CONSTANTIAE AVGVSTI.
DAT PACEM RASTATT. / PATRIAE EST VRBS ILLA QVIETIS.
MARTIVS EXPELLIT PACIS FVNDAMINE MARTEM.</t>
  </si>
  <si>
    <t xml:space="preserve">Auf der Vorderseite der Medaille befindet sich eine Personifikation der Beständigkeit.&amp;nbsp;Sie verweist zum einen auf die Devise Karls VI.&amp;nbsp;(Constantia et Fortitudine), aber auch auf seine Beharrlichkeit nach den Verhandlungen von Utrecht: der mit den Bestimmungen unzufriedene Kaiser hatte den Krieg fortgeführt und seine Vorstellungen erst in den Verträgen von Rastatt und Baden durchsetzen können.Die Medaille bezieht sich nicht nur durch ihre Umschrift auf antike Vorbilder: auch der ponderierte Stand und die Armhaltung der Figur rekurriert auf antike Plastik, die&amp;nbsp;Vestner auch an anderer Stelle als Vorbild zu nutzen wusste.[fn]Zu erwähnen sind die Amazone im Typus Sosikles und die Eirenestatue mit Plutosknaben des Kephisodotos. Das gut erhaltene Exemplar aus der Sammlung Albani in der Münchener Glyptothek (Inv.-Nr. 219) ist allerdings ein Fund des frühen neunzehnten Jahrhunderts. Vestner nutzte das gleiche Standmotiv auf einer Medaille anlässlich des Friedens von Passarowitz, die Karl VI. als antiken Heroen zeigt. Siehe Bernheimer 1984, Teil II, S. 80, Kat.-Nr. 136[/fn]Die Rückseite zeigt die markgräfliche Residenz, in der die Verhandlungen stattfanden.&amp;nbsp;Als Vorlage für die Schlossansicht nutzte der Medailleur&amp;nbsp;einen Kupferstich von 1705, der die Anlage noch mit unbefestigtem Gelände im Vordergrund zeigt.[fn]Für die Vorlage siehe den Beitrag von&amp;nbsp;Rainer Wollenschneider in Ausst. Kat. Rastatt 2014/2015, S. 185, Kat. Nr. 4.4.[/fn] Die Um- und Inschrift sind etymologische Wortspiele: Der Stadtname ist Ausdruck der durch den Frieden gewonnen Ruhe (URBS ILLA QVIETIS) und der für den Monat März namensgebende römische Kriegsgott weist zugleich auf den Zeitpunkt der Unterzeichnung des Vertrages. Werner Telesko wies auf die Komplexität der Motive und Textbausteine hin, die eine gedruckte Medaillenbeschreibung bestätigt. Darin&amp;nbsp;ergänzt der Autor beispielsweise die sinngemäß übersetzte Umschrift "Rastatt/ so den Frieden bringet/ hat den Namen mit der That/ und wird hinfort allzeit heissen: Eine Rast und Ruhe-Statt"[fn]Beschreibung einer Medaille, die anlässlich der Friedenshandlung zu Rastatt geprägt wurde, Typendruck auf Papier, 35 x 21,4 cm (Blatt). Germanisches Nationalmuseum Nürnberg, Inv.Nr. HB 26332, Kapsel-Nr. 1278.[/fn] um die Quelle dieser etymologischen Erklärung. Sie stammt aus&amp;nbsp;Der Teutschen Sprache Stammbaum und Fortwachs&amp;nbsp;Kaspar von Stielers, der unter dem Pseudonym 'Spaten' im Nürnberger Verlag Johann Hofmann publizierte. Hinter dem Monogramm verbirgt sich Christoph Fürer von Haimendorf, Vorsteher des Pegensischen Blumenordens und Verfasser zahlreicher Medaillenbeschreibungen.[fn]Hierzu erscheint ein Aufsatz im Numismatischen Nachrichtenblatt und ein Beitrag auf dem Symposium Fluctuating alliances: art, politics, and diplomacy in the Modern Era (September 2017).[/fn]ALS</t>
  </si>
  <si>
    <t xml:space="preserve">http://friedensbilder.gnm.de/sites/default/files/Med15313_vs.tif
http://friedensbilder.gnm.de/sites/default/files/Med15313_rs.tif</t>
  </si>
  <si>
    <t xml:space="preserve">Medaille auf den Frieden von Rastatt 1714, Vorderseite, Med 15313
Medaille auf den Frieden von Rastatt 1714, Rückseite, Med 15313
URBS ILLA QVIETIS, Med 15313</t>
  </si>
  <si>
    <t xml:space="preserve">Medaille auf den Frieden von Rastatt 1714, Vorderseite
Medaille auf den Frieden von Rastatt 1714, Rückseite
URBS ILLA QVIETIS</t>
  </si>
  <si>
    <t xml:space="preserve">http://friedensbilder.gnm.de/content/frieden_foto_order204f8f</t>
  </si>
  <si>
    <t xml:space="preserve">Darstellung verschiedener Schlachten (1715–1717), der Friedensverhandlung und dem Friedensschluss von Rastatt 1714</t>
  </si>
  <si>
    <t xml:space="preserve">HB 1756, Kapsel 1348a</t>
  </si>
  <si>
    <t xml:space="preserve">Um 1717</t>
  </si>
  <si>
    <t xml:space="preserve">16,3 x 35,4 </t>
  </si>
  <si>
    <t xml:space="preserve">Das Gedenkblatt zeigt von Lorbeerkranzmedaillons gerahmte Ereignisse des Spanischen Erbfolgekriegs, insbesondere Schlachten unter Führung&amp;nbsp;Prinz Eugens von Savoyen.[fn]Die Darstellungen knüpfen damit an ein Werk von Jan van Huchtenburgh an, das in zehn Kapiteln verschiedene Schlachten Prinz Eugens beschreibt und mit Karten sowie Schlachtenansichten illustriert. Batailles Gagnées par le Serenissime Prince Fr. Eugene De Savoye Sur Les Ennemis De La Foi, Et sur ceux de L'Empereur &amp;amp; de L'Empire, en Hongrie, en Italie, en Allemagne &amp;amp; aux Pais-Bas (Den Haag: 1725). Germanisches Nationalmuseum, Bibliothek, Sign. 2° Kr 403b.[/fn] Die ersten beiden Szenen geben die Friedensverhandlungen in Rastatt und die Unterzeichnung des Vertrages 1714 wieder. Auf dem zweiten Bild sind die beiden Unterhändler Prinz Eugen und Marschall de&amp;nbsp;Villars&amp;nbsp;am Verhandlungstisch dargestellt, während im Hintergrund Postreiter die Friedensbotschaft im Land verbreiten. Beide Feldherren waren die maßgeblichen Unterhändler des Friedensvertrages von Rastatt und sind daher häufig auf Objekten anlässlich dieses Ereignisses vertreten (siehe etwa&amp;nbsp;Med 1621). Einen ähnlichen Aufbau zeigt ein wesentlich späteres Gedenkblatt auf die Taten&amp;nbsp;Friedrichs II.&amp;nbsp;von Preußen (siehe&amp;nbsp;HB 17649, Kapsel 1314a).ALS</t>
  </si>
  <si>
    <t xml:space="preserve">http://friedensbilder.gnm.de/sites/default/files/HB1756.tif</t>
  </si>
  <si>
    <t xml:space="preserve">Darstellung verschiedener Schlachten (1715–1717), der Friedensverhandlung und dem Friedensschluss von Rastatt 1714, HB 1756, Kapsel 1348a</t>
  </si>
  <si>
    <t xml:space="preserve">http://friedensbilder.gnm.de/content/frieden_foto_order204eb2</t>
  </si>
  <si>
    <t xml:space="preserve">Medaille auf den Frieden von Rastatt mit Prinz Eugen und de Villars</t>
  </si>
  <si>
    <t xml:space="preserve">Landesmuseum Württemberg, Münzkabinett</t>
  </si>
  <si>
    <t xml:space="preserve">MK20003</t>
  </si>
  <si>
    <t xml:space="preserve">Van Loon
Wielandt 1970
Pax in Nummis 1913
Telesko 2013
Ausst. Kat. Wien 1986/1987
Ohm 2014
Ohm 2015
Ausst. Kat. Rastatt 2014/2015</t>
  </si>
  <si>
    <t xml:space="preserve">Bd. IV, S. 670, Nr. 1
S. 342, Nr. 53
S. 114, Nr. 451
S. 382–384
S. 166, Kat.-Nr. 185
S. 81–83
S. 219–220, Nr. II.2.6
S. 178, Kat-Nr. 3.23.12</t>
  </si>
  <si>
    <t xml:space="preserve">44
29,36 </t>
  </si>
  <si>
    <t xml:space="preserve">CONVENERE DVCES PRO PALMIS IVNGERE PALMAS.
IVNGVNTVR IVPPITER ET SOL.
VI.MARTII.A:MDCCXIIII.
PAX RASTADIENSIS.</t>
  </si>
  <si>
    <t xml:space="preserve">Die beiden Feldherren und Friedensunterhändler des Rastatter Vertrages&amp;nbsp;–&amp;nbsp;Prinz Eugen von Savoyen&amp;nbsp;und Marschall de&amp;nbsp;Villars&amp;nbsp;– sitzen sich in antikisierender Rüstung gegenüber. Die nicht mehr benötigten Kriegswaffen dienen ihnen als Sitzgelegenheit. Das gegenseitige Reichen der rechten Hand findet sich auf vielen Friedensdarstellungen, doch hier enthält die Umschrift zugleich ein Wortspiel: 'Die Führer kamen zusammen, vor Palmen (PALMIS) einander die Hände (PALMAS) zu reichen'. Mit dem gleichen Motiv hat sich auch eine Schützenscheibe aus Ravensburg erhalten (siehe&amp;nbsp;OEW0149.03).
Wie bereits im 17. Jahrhundert dienen&amp;nbsp;Jupiter&amp;nbsp;und&amp;nbsp;Sol&amp;nbsp;zur Inszenierung des römisch-deutschen Kaisers&amp;nbsp;und&amp;nbsp;Ludwigs XIV.&amp;nbsp;Die Vereinigung beider Planeten unter dem Zeichen des Fisches fand nach dem siderischen Tierkreis am 6. März 1714, dem Datum des Vertragsabschlusses, statt. Eine gedruckte Medaillenbeschreibung von&amp;nbsp;Christoph Fürer von Haimendorf&amp;nbsp;geht weit über das Dargestellte hinaus und konzentriert sich auf vor allem auf die astrologische&amp;nbsp;conjunctio&amp;nbsp;zwischen den beiden Planeten.[fn]Medaillenbeschreibungen 1731, S. 87. Für aktuelle Literatur siehe Anmerkung 4 bei&amp;nbsp;Med 15313.[/fn]
ALS
</t>
  </si>
  <si>
    <t xml:space="preserve">http://friedensbilder.gnm.de/sites/default/files/MK_2003_vs.jpg
http://friedensbilder.gnm.de/sites/default/files/MK_2003_rs.jpg</t>
  </si>
  <si>
    <t xml:space="preserve">Die beiden Feldherren und Friedensunterhändler des Rastatter Vertrages&amp;nbsp;–&amp;nbsp;Prinz Eugen von Savoyen&amp;nbsp;und Marschall de&amp;nbsp;Villars&amp;nbsp;– sitzen sich in antikisierender Rüstung gegenüber. Die nicht mehr benötigten Kriegswaffen dienen ihnen als Sitzgelegenheit. Das gegenseitige Reichen der rechten Hand findet sich auf vielen Friedensdarstellungen, doch hier enthält die Umschrift zugleich ein Wortspiel: 'Die Führer kamen zusammen, vor Palmen (PALMIS) einander die Hände (PALMAS) zu reichen'. Mit dem gleichen Motiv hat sich auch eine Schützenscheibe aus Ravensburg erhalten.
Wie bereits im 17. Jahrhundert dienen&amp;nbsp;Jupiter&amp;nbsp;und&amp;nbsp;Sol&amp;nbsp;zur Inszenierung des römisch-deutschen Kaisers&amp;nbsp;und&amp;nbsp;Ludwigs XIV.&amp;nbsp;Die Vereinigung beider Planeten unter dem Zeichen des Fisches fand nach dem siderischen Tierkreis am 6. März 1714, dem Datum des Vertragsabschlusses, statt. Eine gedruckte Medaillenbeschreibung von&amp;nbsp;Christoph Fürer von Haimendorf&amp;nbsp;geht weit über das Dargestellte hinaus und konzentriert sich auf vor allem auf die astrologische&amp;nbsp;conjunctio&amp;nbsp;zwischen den beiden Planeten.
ALS
</t>
  </si>
  <si>
    <t xml:space="preserve">Medaille auf den Frieden von Rastatt mit Prinz Eugen und de Villars, Vorderseite, MK20003
Medaille auf den Frieden von Rastatt mit Prinz Eugen und de Villars, Rückseite, MK20003</t>
  </si>
  <si>
    <t xml:space="preserve">https://friedensbilder-neu.gnm.de/sites/default/files/2019-06/MK_2003_vs_0.png
https://friedensbilder-neu.gnm.de/sites/default/files/2019-06/MK_2003_rs_0.png
https://friedensbilder-neu.gnm.de/sites/default/files/2019-06/MK_2003_doppel_0.png</t>
  </si>
  <si>
    <t xml:space="preserve">Medaille auf den Frieden von Rastatt mit Prinz Eugen und de Villars, Vorderseite
Medaille auf den Frieden von Rastatt mit Prinz Eugen und de Villars, Rückseite</t>
  </si>
  <si>
    <t xml:space="preserve">http://friedensbilder.gnm.de/content/frieden_foto_order11f4b0</t>
  </si>
  <si>
    <t xml:space="preserve">Medaille auf den Frieden von Oliva</t>
  </si>
  <si>
    <t xml:space="preserve">Med 8078</t>
  </si>
  <si>
    <t xml:space="preserve">Hohn, Johann</t>
  </si>
  <si>
    <t xml:space="preserve">Kat. Posen 2008
Stahr 1990
Corpus nummorum Gedanensis
Pax in Nummis 1913</t>
  </si>
  <si>
    <t xml:space="preserve">S. 72–73, Kat.-Nr. 62
S. 179–182
S. 238, Nr. 581
S. 58, Nr. 238</t>
  </si>
  <si>
    <t xml:space="preserve">72
92,82 </t>
  </si>
  <si>
    <t xml:space="preserve">IH</t>
  </si>
  <si>
    <t xml:space="preserve">PACIS.OLIVENSIS.ANNO.MICCLX.III.MAII.AD.GEDANUM.IN.PRUSSIA.CONCLUSAE.MONUMENTUM
PECTORA QUO REGUM. COEUNT QUO VULNERA SECLI, EN FELIX OLEUM PACIS OLIVA DEDIT.</t>
  </si>
  <si>
    <t xml:space="preserve">1
2.44</t>
  </si>
  <si>
    <t xml:space="preserve">Der Danziger Medailleur&amp;nbsp;Johann Höhn&amp;nbsp;fertigte einige Medaillen auf den 1660 im Kloster Oliva geschlossenen Frieden. Die Vorderseite dieses Exemplars zeigt eine naturgetreue Ansicht des Klosters im Vordergrund, wie der Vergleich mit einer&amp;nbsp;Bildtafel&amp;nbsp;aus “Der Stadt Dantzig Historische Beschreibung”&amp;nbsp;von Georg Reinhold Curicke nahelegt. Am Horizont rechts sind die Türme des Rathauses und der Frauenkirche in Danzig zu erkennen, links ist der Leuchtturm der Festung Weichselmünde angedeutet.
Im Himmel darüber fliegen zwei kleine Putten in den Wolken und halten Öl- und Palmzweig sowie ein Band mit vier Herzen; in ihrer Mitte schwebt die Friedenstaube mit einem weiteren Ölzweig herab. Die an dem Band befestigten Herzen entsprechen der Anzahl der Vertragspartner: Polen, Österreich, Schweden und Brandenburg.
Der Revers zeigt eine idyllische Landschaft, welche die neue Friedenszeit symbolisiert: in der Stadt, auf dem Acker und im Hafen[fn]Die Schiffe übersteigen den Horizont um ein Weites und “schweben” somit davon.[/fn] herrscht wieder geschäftiges Treiben, der Handel floriert. In der Vordergrundmitte kniet eine weibliche Figur im zerschlissenen Gewand vor einem Olivenbaum. Diese Personifikation des zerstörten Landes erbittet, wie es in der Umschrift heißt, das “Öl des Friedens”.[fn]“Erblicke Oliva welches das glückliche Friedensöl spendete, das die Herzen der Könige vereint und die Wunden des Jahrhunderts heilt”.[/fn] Der hebräische Gottesname zwischen Sonne und Mond bettet die idealtypische Friedenslandschaft in ein kosmologisches System.
ALS
</t>
  </si>
  <si>
    <t xml:space="preserve">http://friedensbilder.gnm.de/sites/default/files/Med8078_vs.tif
http://friedensbilder.gnm.de/sites/default/files/Med8078_rs.tif</t>
  </si>
  <si>
    <t xml:space="preserve">Der Danziger Medailleur&amp;nbsp;Johann Höhn&amp;nbsp;fertigte einige Medaillen auf den 1660 im Kloster Oliva geschlossenen&amp;nbsp;Frieden. Die Vorderseite dieses Exemplars zeigt eine naturgetreue Ansicht des Klosters im Vordergrund, wie der Vergleich mit einer&amp;nbsp;Bildtafel&amp;nbsp;aus Der Stadt Dantzig Historische Beschreibung&amp;nbsp;von&amp;nbsp;Georg Reinhold Curicke&amp;nbsp;nahelegt. Am Horizont rechts sind die Türme des Rathauses und der Frauenkirche in Danzig zu erkennen, links ist der Leuchtturm der Festung Weichselmünde angedeutet.Im Himmel darüber fliegen zwei kleine Putten in den Wolken und halten Öl- und Palmzweig sowie ein Band mit vier Herzen; in ihrer Mitte schwebt die Friedenstaube mit einem weiteren Ölzweig herab. Die an dem Band befestigten Herzen entsprechen der Anzahl der Vertragspartner: Polen, Österreich, Schweden und Brandenburg.Der Revers zeigt eine idyllische Landschaft, welche die neue Friedenszeit symbolisiert: in der Stadt, auf dem Acker und im Hafen&amp;nbsp;herrscht wieder geschäftiges Treiben, der Handel floriert. In der Vordergrundmitte kniet eine weibliche Figur im zerschlissenen Gewand vor einem Olivenbaum. Diese Personifikation des zerstörten Landes erbittet, wie es in der Umschrift heißt, das ”Öl des Friedens“.&amp;nbsp;Der hebräische Gottesname zwischen Sonne und Mond bettet die idealtypische Friedenslandschaft in ein kosmologisches System.ALS</t>
  </si>
  <si>
    <t xml:space="preserve">Medaille auf den Frieden von Oliva, Vorderseite, Med 8078
Medaille auf den Frieden von Oliva, Rückseite, Med 8078</t>
  </si>
  <si>
    <t xml:space="preserve">Medaille auf den Frieden von Oliva, Vorderseite
Medaille auf den Frieden von Oliva, Rückseite</t>
  </si>
  <si>
    <t xml:space="preserve">http://friedensbilder.gnm.de/content/frieden_foto_order1f9266</t>
  </si>
  <si>
    <t xml:space="preserve">De rebus a Carolo Gustavo Sueciae rege gestis commentariorum libri septem </t>
  </si>
  <si>
    <t xml:space="preserve">2° Bio 133</t>
  </si>
  <si>
    <t xml:space="preserve">Pufendorf, Samuel von
Riegel, Christoph
Knorz, Andreas, Witwe</t>
  </si>
  <si>
    <t xml:space="preserve">http://www.mdz-nbn-resolving.de/urn/resolver.pl?urn=urn:nbn:de:bvb:12-bsb11196207-0</t>
  </si>
  <si>
    <t xml:space="preserve">Typis et Literis Knorzianis = Druckadresse unter der Witwe Andreas Knorz&amp;nbsp;siehe&amp;nbsp;Die kaiserlichen Druckprivilegien im Haus-, Hof- und Staatsarchiv Wien, S. 321, Nr. 1.</t>
  </si>
  <si>
    <t xml:space="preserve">http://friedensbilder.gnm.de/content/frieden_object1094d3</t>
  </si>
  <si>
    <t xml:space="preserve">Typus Solennitatum quibus Tabulae pacis inter regna Sueciae et Daniae postquam in tentoriis aequali spacio inter Castra Suedica et vrbem Hafniam fixis signatae erant</t>
  </si>
  <si>
    <t xml:space="preserve">HB 7770, Kapsel 1220</t>
  </si>
  <si>
    <t xml:space="preserve">
Riegel, Christoph
Le Pautre, Jean</t>
  </si>
  <si>
    <t xml:space="preserve">Magnusson 1986</t>
  </si>
  <si>
    <t xml:space="preserve">S. 76, Nr. 111</t>
  </si>
  <si>
    <t xml:space="preserve">292 x 38,4</t>
  </si>
  <si>
    <t xml:space="preserve">Illustration Nr. 111</t>
  </si>
  <si>
    <t xml:space="preserve">sub dio extradebantur Die 27. Maij. 1660. </t>
  </si>
  <si>
    <t xml:space="preserve">Dahlbergh ad viuum delineauit.</t>
  </si>
  <si>
    <t xml:space="preserve">Kartusche oben</t>
  </si>
  <si>
    <t xml:space="preserve">Im Zweiten Nordischen Krieg hatte Schweden nach dem Frieden von Roskilde&amp;nbsp;versucht, die Herrschaft über Dänemark zwischen sich, England und Holstein-Gottorf aufzuteilen. Die Belagerung Kopenhagens führte zu mehreren militärischen Auseinandersetzungen,&amp;nbsp;die durch den Tod Karl Gustavs X.&amp;nbsp;und die überraschende Standhaftigkeit der Stadt, 1660 in einen Friedensvertrag mündete.Dargestellt ist das Verhandlungslager vor den Toren Kopenhagens (Urbs Haffnia) mit Ansichten Malmös, der Halbinsel Falsterbo und der Küste von Tornby am Horizont.&amp;nbsp;Im Mittelgrund hat sich eine Zuschauermenge um Hugues de Terlon&amp;nbsp;und Schering Rosenhane gruppiert. Der französischer Diplomat und Unterhändler auf dänischer Seite&amp;nbsp;sowie der schwedische Gesandte tauschen in einem offiziellen Zeremoniell die unterschriebenen Vertragsdokumente aus. Zusammen auf einem Haufen Waffen und überwältigten Kriegstreibern thronen ganz im Vordergrund zwei weibliche Personifikationen, Pax mit Palmzweig und Justitia mit Fasces.Das Blatt stammt aus einem schwedischen Werk, welches den Vertragsschluss wie folgt schildert: "Also wurden endlich am 27sten May-Monats-Tage die Instrumente erstlich gegeneinander gehalten/ und um fünff Uhr Nachmittage von den Mediatoren/ und darauf von beyden Partheyen unterschrieben."[fn]Herrn Samuel Freyherrns von Pufendorf Sieben Bücher Von denen Thaten Carl Gustavs Königs in Schweden..., Nürnberg 1697, S. 686 (Einsichtexemplar der Stadtbibliothek Nürnberg, Signatur Hist. 2. 342.)[/fn]&amp;nbsp;Der General und zugleich Architekt und Zeichner&amp;nbsp;Erik Dahlbergh&amp;nbsp;lieferte die Vorlagen für die königliche Chronik, die Samuel Pufendorf zusammenstellte. Obwohl Dahlberg seit 1660 mit dem umfangreichen topographischen Werk&amp;nbsp;Suecia antiqua et hodierna&amp;nbsp;beschäftigt war, kümmerte er sich während eines Parisaufenthaltes in den Jahren 1667/68 um die druckgraphische Umsetzung seiner Zeichnungen für Pufendorfs Publikation. Auch wenn die Vorzeichnung für dieses Blatt nicht bekannt ist, lässt sich durch Korrespondenzen und Bestandslisten&amp;nbsp;Jean LePautre als Stecher ausmachen. Ob Dahlbergh selbst die Zeichnung lieferte oder einer seiner Mitarbeiter, die nachweislich ihre Werke ebenfalls mit "Dahlbergh delin[eavit]" signierten, ist unklar.&amp;nbsp;Ebenso lässt sich nicht mehr nachvollziehen, ob das Exemplar im Germanischen Nationalmuseum aus der lateinischen oder der ein Jahr später im gleichen Verlag erschienenen&amp;nbsp;deutschen Ausgabe stammt.[fn]Für weiterführende Literatur siehe AKL Bd. XXIII, [Art.] Erik (Graf) Dahlberg, S. 421 (Lars Olof Larsson) – Magnusson 1986, S. 48–76. – Frost 2000, S. 181–183.[/fn]ALS</t>
  </si>
  <si>
    <t xml:space="preserve">http://friedensbilder.gnm.de/sites/default/files/HB7770_0.tif</t>
  </si>
  <si>
    <t xml:space="preserve">http://friedensbilder.gnm.de/content/frieden_foto_order205066</t>
  </si>
  <si>
    <t xml:space="preserve">Nach langem Krieg vnd streitt läst Gott der Herr den Seinen, Die Fried: vnd Segens: Sonn auch wieder hell erscheinen</t>
  </si>
  <si>
    <t xml:space="preserve">MS 1006, Kapsel 1431</t>
  </si>
  <si>
    <t xml:space="preserve">Paas
Hollstein German 
Mittenzwei / Herzfeld 1987
Komander 1995</t>
  </si>
  <si>
    <t xml:space="preserve">Bd. VIII, S. 333, Nr. 2533
Bd. XLVI (Lucas Schnitzer), S. 46, Nr. 47
S. 62
S. 47–48; S. 372, Kat-Nr. 13</t>
  </si>
  <si>
    <t xml:space="preserve">24 x 22,1</t>
  </si>
  <si>
    <t xml:space="preserve">LS fecit</t>
  </si>
  <si>
    <t xml:space="preserve">Das Blatt zeigt vier Reiter auf einer kleinen Anhöhe in weiter Landschaft. Weder die Tracht der Männer, noch die Revolverhalterungen der Pferde geben einen Hinweis auf die Beteiligten, weshalb der Stecher die Figuren in einer Legende ausweist: Es handelt sich dabei, von links nach rechts, um den Kaiser des Reiches, den polnischen König, den Kurfürst von Brandenburg und den König von Schweden. Diese Konstellation, in Verbindung mit dem überschriebenen Friedensgruß, verweist auf die Verhandlungen von Oliva.[fn]Zu den Verhandlungen in Oliva Frost 2000, S. 182–183.[/fn] Im namensgebenden Kloster wurde in Abwesenheit der Regenten verhandelt, ein Vorgehen, das ganz dem frühneuzeitlichen Zeremoniell entsprach. Als Initiatoren des Friedens wurden selbstverständlich die beteiligten Herrscher gerühmt. Lukas Schnitzer&amp;nbsp;inszenierte sie daher einerseits als&amp;nbsp;Pacificatores, andererseits erinnern die&amp;nbsp;Reiterbildnisse und Blumen am Boden an den Einzug siegreicher Herrscher. Dem römisch-deutschen Kaiser kommt hierbei auch eine symbolisch besondere Stellung zu, ist er doch der einzige, dessen Haupt mit einem Lorbeer bekrönt ist, und auf den sich alle Blicke richten.Der Text bezieht sich hingegen kaum auf die Darstellung und behandelt in erster Linie die ’Segnungen des Friedens‘. Programmatisch dafür ist die Anwesenheit Gottes in Form der Trinität in den Wolken, die von vielen Strahlen einen einzelnen direkt auf die Protagonisten entsendet: Friede sei mit euch. Zu den weiteren Friedenssymbolen der Hintergrundstaffage zählen etwa der pflügende Bauer für die aufblühende Landwirtschaft, der wandernde Händler als Zeichen florierender Wirtschaft oder die Weinreben, die an den Bildrändern emporranken. Diese&amp;nbsp;sind zugleich eng mit Mi 4,4 verknüpft und tauchen als Friedenssymbol häufiger auf (vgl. etwa&amp;nbsp;Med 4218).MATW/ALS</t>
  </si>
  <si>
    <t xml:space="preserve">Nun diese Helden hier nach großem Krieg vnd Streitten / In gwünschter Einigkeit vnd Frieden einher reitten: / So baut man wiederumb das Feld, welchs kleijdt und speist / Der Weinstock auch sein Frücht vnd Edlen Saft verheißt. / Wo Friede ist im Land, da blüht vnd wächst auch Seegen; / Da wohnt Gott selbsten inn an dem vns alls gelen; / wo zwitracht abgethan, wo man den Fried geneußt, / Da spürt man auch den Fleiß der Tugenden am meist.MATW</t>
  </si>
  <si>
    <t xml:space="preserve">http://friedensbilder.gnm.de/sites/default/files/MS1006_1431.tif</t>
  </si>
  <si>
    <t xml:space="preserve">Nach lange Krieg und streitt läst Gott der Herr de Seine Die Fried: und Segens:Son auch wieder hell erscheine, MS 1006, Kapsel 1431
Nach lange Krieg und streitt läst Gott der Herr de Seine Die Fried: und Segens:Son auch wieder hell erscheine, MS 1006, Kapsel 1431</t>
  </si>
  <si>
    <t xml:space="preserve">Nach lange Krieg und streitt läst Gott der Herr de Seine Die Fried: und Segens:Son auch wieder hell erscheine
Nach lange Krieg und streitt läst Gott der Herr de Seine Die Fried: und Segens:Son auch wieder hell erscheine</t>
  </si>
  <si>
    <t xml:space="preserve">http://friedensbilder.gnm.de/content/frieden_foto_order204ff8</t>
  </si>
  <si>
    <t xml:space="preserve">Beyder Großmächtiger Königreiche/ Franckreichs und Hispanien/ Vom Himmel glücklich erhörter Wundsch: Den getroffenen Frieden/ und gleich damit folgenden Königlichen Heyrath belangend.</t>
  </si>
  <si>
    <t xml:space="preserve">HB 24131, Kapsel 1220</t>
  </si>
  <si>
    <t xml:space="preserve">Aubry, Abraham, II.
Schleder, Johann Georg</t>
  </si>
  <si>
    <t xml:space="preserve">Paas
Schumann 2003</t>
  </si>
  <si>
    <t xml:space="preserve">Bd. VIII, S. 348, Nr. 2548
S. 486</t>
  </si>
  <si>
    <t xml:space="preserve">23:620581P</t>
  </si>
  <si>
    <t xml:space="preserve">44 x 37,4 </t>
  </si>
  <si>
    <t xml:space="preserve">Franckfut am Mayn/ bey Abraham Aubry Kupfferstechern/ in der Mayntzergassen zu finden.
J.G.S.v.R.</t>
  </si>
  <si>
    <t xml:space="preserve">mittig unten
rechts unten</t>
  </si>
  <si>
    <t xml:space="preserve">Ein unbekannter Stecher präsentiert Ludwig XIV., Maria Theresia von Österreich und acht französische Persönlichkeiten aus dem Umfeld Ludwigs auf einem Hochzeitsbild, das gleichsam den Frieden ”Beyder Großmächtiger Königreiche / Franckreichs und Hispanien[s]” einleitet. Die Eheschließung war Teil des sogenannten Pyrenäenfriedens, der 1660 zwischen den beiden Nationen geschlossen wurde.[fn]Für den Pyrenäenfrieden siehe Tischer 2010, v.a. S. 5–7.[/fn] Unter den Dargestellten befindet sich daher auch Kardinal Mazarin, der maßgeblich die Verhandlungen auf der Fasaneninsel leitete. Sinnbild für den erfolgreichen Abschluss ist die Taube mit dem Ölzweig im Schnabel, die am oberen Bildrand über die Köpfe der Hochzeitsgesellschaft hinwegfliegt.Die Beteiligten blicken einander nicht an, sondern schauen aus dem Bild heraus und teilweise den Betrachter an. Neben einer reichen Symbolik an Handgesten und der Übergabe von Standesattributen erfolgt kein körperlicher Kontakt des Jubelpaares. Ein Dialog entsteht lediglich über die Berührung ihrer Gewandsäume und einen Zweizeiler am unteren Bildrand, der sich insbesondere auf den Verzicht der Thronfolge bezieht: Den Ausspruch des französischen Regenten ”Durchleuchtigst Infantin der Himmel gibt Euch mir“ beantwortet die Maria Theresia mit ”Vnd Ihr bleibt, Grosser Printz Mein König für Vnd für.“Der Pyrenäenfrieden und die darin festgelegte Hochzeit&amp;nbsp;veränderte die Machtverhältnisse innerhalb Europas nachhaltig. Der Vertrag legte die Pyrenäen als natürliche Grenze zwischen Spanien und Frankreich fest während Maria Theresia gegen eine monetäre Entschädigung auf den Antritt des spanischen Erbes verzichtete. Die Franzosen versprachen Ihrerseits die Autonomiebestrebungen Portugals nicht weiter zu unterstützen. Die Eheschließung wurde in Artikel 33 als Instrument zur Sicherung des Friedens festgehalten[fn]TE Bd. VIII, Sp. 1198b-1199a. Die Eheschließung hatte langjährigen Bestand im Gegensatz zu vielen anderen Punkten der Friedenskonditionen. Die Verstöße der genannten Vertragsklauseln mündeten in Folgekriegen und nicht zuletzt dem Spanischen Erbfolgekrieg.[/fn]&amp;nbsp;und zugleich durch einen zusätzlichen&amp;nbsp;Heiratsvertrag&amp;nbsp;abgesichert.MATW/ALS</t>
  </si>
  <si>
    <t xml:space="preserve">http://friedensbilder.gnm.de/sites/default/files/HB24131.tif</t>
  </si>
  <si>
    <t xml:space="preserve">Beyder Großmächtiger Königreiche/ Franckreichs und Hispanien/ Vom Himmel glücklich erhörter Wundsch: Den getroffenen Frieden/ und gleich damit folgenden Königlichen Heyrath belangend., HB 24131, Kapsel 1220</t>
  </si>
  <si>
    <t xml:space="preserve">http://friedensbilder.gnm.de/content/frieden_foto_order204e9e</t>
  </si>
  <si>
    <t xml:space="preserve">Nürnberger Gedenkblatt auf den Frieden von Kopenhagen</t>
  </si>
  <si>
    <t xml:space="preserve">HB 15055, Kapsel 1313</t>
  </si>
  <si>
    <t xml:space="preserve">Bd. VIII, S. 355, Nr. 2535</t>
  </si>
  <si>
    <t xml:space="preserve">18,1 x 28,1 cm </t>
  </si>
  <si>
    <t xml:space="preserve">Auf einem Hügel zwischen See- und Landstreitkräften stehen sich die Kontrahenten des Zweiten Nordischen Krieges gegenüber. Um den zentral positionieren Kaiser&amp;nbsp;Leopold I.&amp;nbsp;reihen sich die Vertreter Brandenburg-Preußens, Dänemarks, Polens und der Niederlande.[fn]Das Amt des Statthalters von Holland, Zeeland und Utrecht war seit 1650 nicht besetzt.[/fn]&amp;nbsp;Bei dem jungen Knaben zur Linken des Kaisers handelt es sich um den erst fünfjährigen&amp;nbsp;Karl Gustav XI.,&amp;nbsp;der nach dem Tod seines Vaters&amp;nbsp;Karl&amp;nbsp;Gustav X.&amp;nbsp;– im Vordergrund durch einen Löwenkadaver dargestellt – &amp;nbsp;die schwedische Thronfolge antrat. Am Fuße des Hügels und den Genannten in Opposition befinden sich Zar&amp;nbsp;Alexei I.&amp;nbsp;und&amp;nbsp;Muhammad IV.,&amp;nbsp;die ihre Flaggen kreuzen. Direkt darunter befindet sich ein Hund, der in dem, bei diesem Exemplar verlorenen&amp;nbsp;Typendruck als ”Bluthund“ für die kriegerischen Verbrechen der Osmanen und ihrer Verbündeten gegen die Christenheit steht.Die zur Darstellung gehörende Überschrift ”Frieden-Gedicht/ mit beygefügtem Schauplatz Des nunmehro von dem heiligen guten Gott/ in der gantzen Christenheit/ völlig geschlossenen Frieden...“ lässt bereits den Grundtenor erkennen. Weniger steht der genannte Friede von Kopenhagen im Mittelpunkt als vielmehr das durch den Kampf gegen die Osmanen vereinte christliche Europa. Herausgegeben anlässlich des Friedensgedenktages in Nürnberg zeigt das Gedenkblatt die kaisertreue Position der Reichsstadt: Unter Führung Leopolds I.[fn]”Daß alle vor ein Mann stehn/ un ihr gantze Macht Zu wenden Willens seyn an aller Christen Feinde/ Sie halten nu zusamm als aller beste Freunde“[/fn] erfolgte der Zusammenschluss der Christenheit. Im letzten Abschnitt wird zum Krieg gegen die Türken aufgerufen: ”Ihr Christen Helden nun thut Eure Fahnen schwingen! Und aller Christen Feind ein&amp;nbsp;frischen&amp;nbsp;Krieg anbringen!“.ALS</t>
  </si>
  <si>
    <t xml:space="preserve">http://friedensbilder.gnm.de/sites/default/files/HB15055.tif</t>
  </si>
  <si>
    <t xml:space="preserve">Nürnberger Gedenkblatt auf den Frieden von Kopenhagen, HB 15055, Kapsel 1313</t>
  </si>
  <si>
    <t xml:space="preserve">http://friedensbilder.gnm.de/content/frieden_foto_order20500c</t>
  </si>
  <si>
    <t xml:space="preserve">Kurtze Beschreibung Des Neu zugerichten Feuerwerckes/ Welches Anno 1659. den 19. September in Nürnberg verbrennet worden. Von Christian Moller</t>
  </si>
  <si>
    <t xml:space="preserve">HB 1974, Kapsel 1219a</t>
  </si>
  <si>
    <t xml:space="preserve">Monogrammist ICA</t>
  </si>
  <si>
    <t xml:space="preserve">Paas
Fähler 1974</t>
  </si>
  <si>
    <t xml:space="preserve">Bd. VIII, S. 310, Nr. 2510
S. 208, Nr. 135</t>
  </si>
  <si>
    <t xml:space="preserve">75:709513T</t>
  </si>
  <si>
    <t xml:space="preserve">http://www.gbv.de/vd/vd17/75:709513T</t>
  </si>
  <si>
    <t xml:space="preserve">30,3 x 38,6 </t>
  </si>
  <si>
    <t xml:space="preserve">Der Typendruck gehört zu zwei Illustrationen, die das Probefeuerwerk Christian Mollers&amp;nbsp;vom 19. September 1659 zeigen. Die integrierten Sinnbilder mit Friedensmotiven wurden womöglich anlässlich des bevorstehenden Pyrenäenvertrages zwischen Spanien und Frankreich gewählt, da beide Parteien bereits seit Mai 1659 einen Waffenstillstand vereinbart hatten.&amp;nbsp;Der ausstehende Vertrag bedeutete die Beilegung des letzten Teilkonflikts aus dem Dreißigjährigen Krieg, denn im Vertrag von Münster (Januar 1648) hatte Spanien nur mit den Niederlanden Frieden geschlossen und war nicht am Nürnberger Exekutionskongress (1649/50) beteiligt gewesen.Ein über eine Schnur fahrender Phoenix setzte das Schauspiel in Gang und entzündete zwischen den Figuren Kains und Abels das Feuerwerk. Sie symbolisieren den Streit zwischen zwei Feinden in Kriegszeiten, den der Text im dritten Abschnitt thematisiert. Eberhard Fähler wies darauf hin, dass die städtischen Probeveranstaltungen der Nürnberger Feuerwerker weitaus mehr auf die Demonstration pyrotechnischer Fähigkeiten als auf sinnbildreiche Installationen ausgelegt waren.[fn]Weiterführend dazu Fähler 1974, S. 74–75. – Tischer 2010, S. 7.[/fn]&amp;nbsp;Ein Vergleich mit dem kaiserlichen Feuerwerk von 1650 (HB 907, Kapsel 1220) macht das mehr als deutlich. Gegenüber dem aufwendig konzipierten allegorischen Programm tritt hier die Feuerwerkskunst selbst in den Mittelpunkt: Der Haupttext erläutert die einzelnen Schwärmer sowie Raketen und verweist auf die aus dem Militärwesen entwickelte Technik: "Drüm höret im Frieden die Kriegesmacht prasseln/ Gott laß uns nicht hören das feindliche Rasseln."ALS</t>
  </si>
  <si>
    <t xml:space="preserve">http://friedensbilder.gnm.de/sites/default/files/HB1974.tif</t>
  </si>
  <si>
    <t xml:space="preserve">Kurtze Beschreibung Des Neu zugerichten Feuerwerckes/ Welches Anno 1659. den 19. September in Nürnberg verbrennet worden. Von Christian Moller, HB 1974, Kapsel 1219a</t>
  </si>
  <si>
    <t xml:space="preserve">http://friedensbilder.gnm.de/content/frieden_foto_order204f67</t>
  </si>
  <si>
    <t xml:space="preserve">VREEDE-HANDELINGH TOT BREDA</t>
  </si>
  <si>
    <t xml:space="preserve">HB 15261, Kapsel 1220</t>
  </si>
  <si>
    <t xml:space="preserve">Stichvorlage
Verleger</t>
  </si>
  <si>
    <t xml:space="preserve">Hooghe, Romeyn de
Ottens, Joachim</t>
  </si>
  <si>
    <t xml:space="preserve">Landwehr 1973</t>
  </si>
  <si>
    <t xml:space="preserve">S. 57, Nr. II</t>
  </si>
  <si>
    <t xml:space="preserve">42,4 x 57,7 
39,5 x 55</t>
  </si>
  <si>
    <t xml:space="preserve">mm
cm</t>
  </si>
  <si>
    <t xml:space="preserve">GESLOTEN OP DEN XXXI IULY, DOOR DE GEVOLMACHTICHDEN VAN HARE KON: MAY.TN. van GROOT-BRITTANNIEN, vranckryck, Deenmarcken, en der Hoogm: Heeren Staten Generael vande Vereenichde Nederlanden ende geratificeert inde Kamer van Conferentie, op den 24 Augusti, Anno 1667.</t>
  </si>
  <si>
    <t xml:space="preserve">te Amsterdam by I. Ottens.</t>
  </si>
  <si>
    <t xml:space="preserve">Der Frieden von Breda beendete den Zweiten Englisch-Niederländischen Seekrieg, der nach der Festlegung des Kongressortes schnell zu einem Abschluss geführt werden konnte. Anlässlich dessen fertigte&amp;nbsp;Romeyn de Hooghe&amp;nbsp;eine Radierung mit zehn Episoden der Geschehnisse in Breda, die in unterschiedlichen Varianten verbreitet wurde.[fn]Landwehr 1973, S. 56. Paas Bd. IX, S. 394, Nr. 2907.[/fn] Das zentrale Bild zeigt die Ratifizierung des Vertrages am 24. August 1667 im Konferenzsaal von Schloss Breda. Die Bilderunterschrift gibt die Länge der Verhandlungen, die beiden Kriegsparteien England und die Niederlande sowie weitere Bevollmächtigte an. Um die Hauptszene gruppierte de Hooghe, ähnlich einem Blatt auf den Frieden von Westminster, diplomatische Szenen aus den Tagen des Bredaer Vertragszeremoniells. Im Stil einer Bildreportage fungierten solche Gedenkblätter als politisches Kommunikationsmedium und dienten zur Verbreitung des Friedensereignisses und der Einbeziehung der Bevölkerung. Zudem entwickelte sich in der Nachfolge von Rambout van der Hoeyes Stich (HB 192, Kapsel 1030a) anlässlich des&amp;nbsp;Westfälischen Friedens dieser besondere Darstellungstypus: neben dem Vertrag selbst trat vor allem das diplomatische Zeremoniell in den Mittelpunkt.[fn]Weiterführende Literatur dazu: Helmers 2015, S. 66–67. – Duchhardt 2015, S. 120–121. – Linnemann 2009, S. 164–172.[/fn]ALS</t>
  </si>
  <si>
    <t xml:space="preserve">http://friedensbilder.gnm.de/sites/default/files/HB15261_0.tif</t>
  </si>
  <si>
    <t xml:space="preserve">VREEDE-HANDELINGH TOT BREDA,, HB 15261, Kapsel 1220</t>
  </si>
  <si>
    <t xml:space="preserve">VREEDE-HANDELINGH TOT BREDA,</t>
  </si>
  <si>
    <t xml:space="preserve">http://friedensbilder.gnm.de/content/frieden_foto_order205070</t>
  </si>
  <si>
    <t xml:space="preserve">Friedens handlung zu Breda</t>
  </si>
  <si>
    <t xml:space="preserve">HB 15019, Kapsel 1220</t>
  </si>
  <si>
    <t xml:space="preserve">nach 1667</t>
  </si>
  <si>
    <t xml:space="preserve">Stichvorlage
Stecher</t>
  </si>
  <si>
    <t xml:space="preserve">Hooghe, Romeyn de
Merian, Caspar</t>
  </si>
  <si>
    <t xml:space="preserve">Paas
Manegold 2012a</t>
  </si>
  <si>
    <t xml:space="preserve">Bd. IX, S. 481, Nr. PA-562
S. 56, Abb. 32</t>
  </si>
  <si>
    <t xml:space="preserve">26,9 x 34,8 
25,8 x 33,5 </t>
  </si>
  <si>
    <t xml:space="preserve">Irenico-Polemographiae Continuatio III. Das ist:</t>
  </si>
  <si>
    <t xml:space="preserve">Tafel 20, nach S. 630</t>
  </si>
  <si>
    <t xml:space="preserve">geschlossen auff den 31. Julij, durch die gevollmächtigten deß Königs in Engelandt, Franckreich, Denemarckt vnd der He. General Staten von den verEinigten Niederlanden, gera-tificiert in der Kamer von der Corferentie, den 24. Augusti Anno 1667.</t>
  </si>
  <si>
    <t xml:space="preserve">Für eine inhaltliche Einordnung siehe&amp;nbsp;HB 15261, Kapsel 1220. Caspar Merian&amp;nbsp;kopierte das zentrale Bildfeld der Radierung von Romeyn de Hooghe&amp;nbsp;für den zehnten Band des Theatrum Europaeums.ALS</t>
  </si>
  <si>
    <t xml:space="preserve">http://friedensbilder.gnm.de/sites/default/files/HB15019-0.jpg</t>
  </si>
  <si>
    <t xml:space="preserve">http://friedensbilder.gnm.de/content/frieden_foto_order204f0d</t>
  </si>
  <si>
    <t xml:space="preserve">70.2.4 Hist. 2°</t>
  </si>
  <si>
    <t xml:space="preserve">Geiger, Wolffgang Jacob</t>
  </si>
  <si>
    <t xml:space="preserve">Merian Erben
Götze Erben</t>
  </si>
  <si>
    <t xml:space="preserve">23:234051D</t>
  </si>
  <si>
    <t xml:space="preserve">Der Historisch-fortgeführten Friedens- und Kriegs-Beschreibung Vierdter/ Oder deß Theatri Europaei Zehender Theil...</t>
  </si>
  <si>
    <t xml:space="preserve">http://friedensbilder.gnm.de/content/frieden_object10b52e</t>
  </si>
  <si>
    <t xml:space="preserve">Med 15310</t>
  </si>
  <si>
    <t xml:space="preserve">Nürnberger, Georg Friedrich
Brunner, Martin
</t>
  </si>
  <si>
    <t xml:space="preserve">Wielandt 1970
Ausst. Kat. Stuttgart 2012
Ohm 2015
Pax in Nummis 1913
Ausst. Kat. Rastatt 2014/2015
Ausst. Kat. Rastatt 1964
Ohm 2014
Telesko 2013</t>
  </si>
  <si>
    <t xml:space="preserve">S. 321 und 343, Nr. 58
S. 105, Kat.-Nr. 56 (Hans-Martin Kaulbach)
S. 222, Nr. II.2.10
S. 117, Nr. 465
S. 179, Kat.-Nr. 3.23.15
S. 55, Kat.-Nr. 91
S. 82–83, Abb. 4
S. 389–390
S. 102–103, Kat.-Nr. 42–44 (Cornelia Manegold, Hans-Martin Kaulbach)</t>
  </si>
  <si>
    <t xml:space="preserve">43
24,42</t>
  </si>
  <si>
    <t xml:space="preserve">PAX RASTADIENS.
IANVS A MARTE MENSE MARTIO CLVSVS.
FORTI DVLCE VENIT FORTI MEL FORTIS AB ORE
IVD: CAP: XIV. V.14.</t>
  </si>
  <si>
    <t xml:space="preserve">Georg Friedrich Nürnbergers&amp;nbsp;Medaille&amp;nbsp;zeigt den Kriegsgott Mars, wie er die Tore des Janustempels schließt. Damit bediente sich der Medailleur zwar eines gängigen Friedenssymbols (vgl. etwa&amp;nbsp;NG-VG-1-1769), folgte in der Wiedergabe des Gebäudes aber den Darstellungen auf antiken Münzen aus neronischer Zeit: ein Bau über quadratischem Grundriss mit hoher Attikazone, Halbsäulen korinthischer Ordnung und einer in das Attikageschoss ragenden, rundbogigen Eingangspforte. Ähnlich einer Medaille von&amp;nbsp;Georg Wilhelm Vestner&amp;nbsp;(Med 15313) greift die Umschrift das Wortspiel zwischen dem lateinischen Namen des Kriegsgottes und dem Monat der Vertragsunterzeichnung von Rastatt im März 1714 auf.
Die von&amp;nbsp;Martin Brunner&amp;nbsp;gestaltete Rückseite stellt einen von Bienen umschwirrten Löwenkadaver in den Mittelpunkt. Das alttestamentarische Rätsel Simsons “Speise ging aus von dem Fresser und Süßigkeit von dem Starken” (Jdc 14,14) bildet die Umschrift mit einem Chronogramm für 1714. Zwar hat die Forschung mehrfach darauf hingewiesen, dass der tote Löwe den überwundenen Krieg und der von den Bienen produzierte Honig die 'Segnungen des Friedens' versinnbildliche und sich auch auf das emblematische Lemma EX BELLO PAX beziehe. Das gewählte Bild kopiert allerdings exakt Emblem Nr. 99 aus Diego de Saavedra&amp;nbsp;Fajardos&amp;nbsp;Idea de un príncipe político cristiano&amp;nbsp;von 1655,[fn]Henkel/Schöne 1967, Sp. 401.[/fn]&amp;nbsp;welches zur Jahrhundertwende durch die&amp;nbsp;französische Emblemliteratur&amp;nbsp;weitere Verbreitung fand.[fn]Daniel de la Feuille, Devises et emblemes (1691), Nr. 42 “Un Lion avec des Mouches qui le Mangent. Merces belli [...] Solt des kriegs”.[/fn]&amp;nbsp;Das spanische Vorbild bezieht sich unter dem Lemma “Merces Belli” auf den oben genannten Vers aus dem Buch der Richter und erläutert im Epigramm den Preis des Krieges wie folgt: “wer die Bitterkeit des Krieges nicht versuchet hat/ der weiß nicht waß die Süßigkeit des Friedens in sich habe [...] zu solchem gehört das Rätzelein, welches Samson von dem erwürgeten Löwen gegeben”.
Bildprogramm und Inschriften dürften allerdings nicht auf die Medailleure sondern auf&amp;nbsp;Christoph Fürer von Haimendorf zurückzuführen sein. Als Leiter des Pegnesischen Blumenordens entwarf er eine Vielzahl von Medaillen, zu denen sich gedruckte Beschreibungen erhalten haben.[fn]Medaillenbeschreibungen 1731, S. 83.[/fn]
ALS
</t>
  </si>
  <si>
    <t xml:space="preserve">http://friedensbilder.gnm.de/sites/default/files/Med15310_vs.tif
http://friedensbilder.gnm.de/sites/default/files/Med15310_rs.tif</t>
  </si>
  <si>
    <t xml:space="preserve">Leihgabe aus Privatbesitz</t>
  </si>
  <si>
    <t xml:space="preserve">Georg Friedrich Nürnbergers&amp;nbsp;Medaille&amp;nbsp;zeigt den Kriegsgott Mars, wie er die Tore des Janustempels schließt. Damit bediente sich der Medailleur zwar eines gängigen Friedenssymbols, folgte in der Wiedergabe des Gebäudes aber den Darstellungen auf antiken Münzen aus neronischer Zeit: ein Bau über quadratischem Grundriss mit hoher Attikazone, Halbsäulen korinthischer Ordnung und einer in das Attikageschoss ragenden, rundbogigen Eingangspforte. Ähnlich einer Medaille von&amp;nbsp;Georg Wilhelm Vestner&amp;nbsp;greift die Umschrift das Wortspiel zwischen dem lateinischen Namen des Kriegsgottes und dem Monat der Vertragsunterzeichnung von Rastatt im März 1714 auf.Die von&amp;nbsp;Martin Brunner&amp;nbsp;gestaltete Rückseite stellt einen von Bienen umschwirrten Löwenkadaver in den Mittelpunkt. Das alttestamentarische Rätsel Simsons “Speise ging aus von dem Fresser und Süßigkeit von dem Starken” (Jdc 14,14) bildet die Umschrift mit einem Chronogramm für 1714. Zwar hat die Forschung mehrfach darauf hingewiesen, dass der tote Löwe den überwundenen Krieg und der von den Bienen produzierte Honig die 'Segnungen des Friedens' versinnbildliche und sich auch auf das emblematische Lemma EX BELLO PAX beziehe. Das gewählte Bild kopiert allerdings exakt Emblem Nr. 99 aus&amp;nbsp;Diego de Saavedra&amp;nbsp;Fajardos&amp;nbsp;Idea de un príncipe político cristiano&amp;nbsp;von 1655, welches zur Jahrhundertwende durch die&amp;nbsp;französische Emblemliteratur&amp;nbsp;weitere Verbreitung fand. Das spanische Vorbild bezieht sich unter dem Lemma “Merces Belli” auf den oben genannten Vers aus dem Buch der Richter und erläutert im Epigramm den Preis des Krieges wie folgt: “wer die Bitterkeit des Krieges nicht versuchet hat/ der weiß nicht waß die Süßigkeit des Friedens in sich habe [...] zu solchem gehört das Rätzelein, welches Samson von dem erwürgeten Löwen gegeben”.Bildprogramm und Inschriften dürften allerdings nicht auf die Medailleure sondern auf&amp;nbsp;Christoph Fürer von Haimendorf&amp;nbsp;zurückzuführen sein. Als Leiter des Pegnesischen Blumenordens entwarf er eine Vielzahl von Medaillen, zu denen sich gedruckte Beschreibungen erhalten haben.ALS</t>
  </si>
  <si>
    <t xml:space="preserve">Medaille auf den Frieden von Rastatt, Vorderseite, Med 15310
Medaille auf den Frieden von Rastatt, Rückseite, Med 15310</t>
  </si>
  <si>
    <t xml:space="preserve">https://friedensbilder-neu.gnm.de/sites/default/files/2019-06/Med15310-01_0.png
https://friedensbilder-neu.gnm.de/sites/default/files/2019-06/Med15310-02_0.png
https://friedensbilder-neu.gnm.de/sites/default/files/2019-06/Med15310-doppel_0.png</t>
  </si>
  <si>
    <t xml:space="preserve">http://friedensbilder.gnm.de/content/frieden_foto_order1f926d</t>
  </si>
  <si>
    <t xml:space="preserve">Klippe auf den Friedensexekutionskongress 1650</t>
  </si>
  <si>
    <t xml:space="preserve">Med Merkel 3.10.11</t>
  </si>
  <si>
    <t xml:space="preserve">nach dem 27. Juli 1650</t>
  </si>
  <si>
    <t xml:space="preserve">Maué / Fischer 2014
Will
Imhoff
Ausst. Kat. Münster 1988a
Pax in Nummis 1913
Ausst. Kat. Nürnberg 1998
Ausst. Kat. Münster / Osnabrück 1998
Aukt. Kat. Künker eLive Nr. 33</t>
  </si>
  <si>
    <t xml:space="preserve">S. 112, Kat.-Nr. 115
Bd. I, S. 360, Nr. 7
Bd. II, S. 104, Nr. 69
S. 168, Kat.-Nr. 143
S. 41, Nr. 153
S. 58, Kat.-Nr. 25c)
Bd. III, S. 423, Kat.-Nr. 1214
S. 139, Nr. 2752</t>
  </si>
  <si>
    <t xml:space="preserve">31
7,92</t>
  </si>
  <si>
    <t xml:space="preserve">IMPER:FERDINANDO.III.P:F:AUGUSTO.
GEDACHTNVS DES FRIEDEN VOLLZIEHVNGS SCHLVSS EN NVRNBERG 1650 16 IVNII
MAGNAS FERTE DEO GRATES PRO PACE RELATA:</t>
  </si>
  <si>
    <t xml:space="preserve">Drei Tage nach der Verabschiedung des Friedensexekutionskongresses verfügte der Rat der Stadt Nürnberg die Herausgabe einer Gedenkmünze, zu der verschiedene vor Ort ansässige Intellektuelle und Literaten ein emblematisches Motiv entwerfen sollten. Knapp einen Monat später hatten Georg Philipp Harsdörffer, Johann Dilherr, Tobias Ölhafen und Johann Vogel das Bildprogramm entwickelt. Der schlichten Vorderseite mit der Nürnberger Wappendreiheit steht die emblematische Rückseite gegenüber, die den Frieden als göttlichen Segen feiert.&amp;nbsp;Hier reicht eine Hand den Lorbeerkranz aus den Wolken, der dankbar von zwei bittenden Händen entgegengenommen wird, die sich aus dem Erdglobus erheben. Die Umschrift beinhaltet das Chronogramm MDCL (1650).Obwohl Vogel an dem Entwurf beteiligt war, lässt sich keine emblematische Vorlage aus seinem ein Jahr zuvor erschienenen Werk&amp;nbsp;Meditationes Emblematicae De Restaurata Pace Germaniae&amp;nbsp;nachweisen.ALS</t>
  </si>
  <si>
    <t xml:space="preserve">http://friedensbilder.gnm.de/sites/default/files/MedMerkel3.10.11_rs.tif
http://friedensbilder.gnm.de/sites/default/files/MedMerkel3.10.11_vs_0.tif</t>
  </si>
  <si>
    <t xml:space="preserve">Klippe auf den Friedensexekutionskongress 1650, Rückseite, Med Merkel 3.10.11
Klippe auf den Friedensexekutionskongress 1650, Vorderseite, Med Merkel 3.10.11</t>
  </si>
  <si>
    <t xml:space="preserve">Klippe auf den Friedensexekutionskongress 1650, Rückseite
Klippe auf den Friedensexekutionskongress 1650, Vorderseite</t>
  </si>
  <si>
    <t xml:space="preserve">http://friedensbilder.gnm.de/content/frieden_foto_order204f53</t>
  </si>
  <si>
    <t xml:space="preserve">La Publication de la Paix</t>
  </si>
  <si>
    <t xml:space="preserve">HB 18773, Kapsel 1220</t>
  </si>
  <si>
    <t xml:space="preserve">Papier auf Leinwand (auf Leinwand aufgezogen)</t>
  </si>
  <si>
    <t xml:space="preserve">Langlois, Nicolas</t>
  </si>
  <si>
    <t xml:space="preserve">Duplessis 1877–1884
Champier 1976</t>
  </si>
  <si>
    <t xml:space="preserve">Bd. I, S. 159, Nr. 4,991
S. 100</t>
  </si>
  <si>
    <t xml:space="preserve">86,5 x 56,7 </t>
  </si>
  <si>
    <t xml:space="preserve">Der Almanach auf das Jahr 1679 feiert den zwischen den Generalstaaten und Frankreich geschlossenen Frieden. Ein langer Zug aus Mitgliedern der französischen Staatsadministration, der Justiz und des Militärs bewegt sich auf&amp;nbsp;den&amp;nbsp;Palais des Tuileries&amp;nbsp;zu, wo die öffentliche Bekanntmachung des Vertragsabschlusses stattfand.&amp;nbsp;Ludwig XIV.&amp;nbsp;ist im Vordergrund zu sehen, während neben ihm das Friedensdokument beginnend mit den Worten "De par le Roy..." (im Namen des Königs) verlesen wird.
Die Szene rahmt ein geraffter Vorhang mit Lilienmuster, an dem neben Oliven- und Palmenzweigen einzelne Medaillons angebracht sind. Im Zentrum präsentiert sich der französische Monarch als siegreicher und zugleich friedensstiftender Herrscher. Ihn umgeben Karten und Pläne wichtiger Kriegsschauplätze im Niederländisch-Französischen Krieg, beispielsweise eine Ansicht Burgunds, das durch die Nimwegener Friedensbestimmungen von Spanien an Frankreich zurückgegeben werden musste.
ALS
</t>
  </si>
  <si>
    <t xml:space="preserve">http://friedensbilder.gnm.de/sites/default/files/HB18773.tif</t>
  </si>
  <si>
    <t xml:space="preserve">Bei dem Stich handelt es sich um das Frontispiz eines Almanaches auf das Jahr 1679, welches den zwischen Frankreich und den Generalstaaten geschlossenen&amp;nbsp;Frieden&amp;nbsp;zelebriert. Ein langer Zug aus Mitgliedern der französischen Staatsadministration, der Justiz und des Militärs bewegt sich in großen Schleifen auf&amp;nbsp;den&amp;nbsp;Palais des Tuileries&amp;nbsp;zu. Laut Beischrift fand die öffentliche Bekanntmachung des Vertragsabschlusses auf dem Platz vor dem Pariser Stadtschloss statt.&amp;nbsp;Das Reiterprofil&amp;nbsp;Ludwigs XIV.&amp;nbsp;befindet sich prominent im Vordergrund, während einer seiner engen Vertrauten das Friedensdokument entrollt, um es zu verlesen. Die ersten Worte sind bereits zu erkennen: ”De par le Roy...“ (im Namen des Königs).Die Szene wird von einem gerafften Vorhang mit Lilienmuster gerahmt, an dem neben Oliven- und Palmenzweigen einzelne Medaillons angebracht sind. Deren Größtes, zentral am oberen Bildrand, präsentiert den französischen Monarchen als siegreichen und zugleich friedensstiftenden Herrscher. Die übrigen Tondi zeigen Karten und Pläne wichtiger Kriegsschauplätze im&amp;nbsp;Niederländisch-Französischen Krieg, beispielsweise eine Ansicht Burgunds, das durch die Nimwegener Friedensbestimmungen von Spanien an Frankreich zurückgegeben werden musste.Im Vordergrund befindet sich die Übersichtstafel des eigentlichen Almanachs. Die krönende Kartusche mit einer Friedensinschrift zeigt außerdem ein bärtiges Haupt, das eine Sanduhr balanciert. Rechts und links daneben befinden sich&amp;nbsp;Pax-Abundantia&amp;nbsp;und&amp;nbsp;Hermes, zu deren Füße sich der Lohn des Friedens aus zwei Füllhörnern ergießt. Dazu zählen neben Blumen und Reichtum auch die Wissenschaften und die Künste, getreu dem dictum&amp;nbsp;pax fovet artes. Ähnlichen Inhalts sind auch die Sprüche auf den Gegenständen, welche die Figuren mit sich führen.MATW/ALS</t>
  </si>
  <si>
    <t xml:space="preserve">La Publication de la Paix, HB 18773, Kapsel 1220</t>
  </si>
  <si>
    <t xml:space="preserve">https://friedensbilder-neu.gnm.de/sites/default/files/2019-06/HB18773_0.png</t>
  </si>
  <si>
    <t xml:space="preserve">http://friedensbilder.gnm.de/content/frieden_foto_order1f9252</t>
  </si>
  <si>
    <t xml:space="preserve">Friedensverhandlungen von Nijmegen</t>
  </si>
  <si>
    <t xml:space="preserve">HB 15229, Kapsel 1220</t>
  </si>
  <si>
    <t xml:space="preserve">Luiken, Jan</t>
  </si>
  <si>
    <t xml:space="preserve">Ausst. Kat. Nimwegen 1978
Muller
Van Eeghen / Van der Kellen 1905</t>
  </si>
  <si>
    <t xml:space="preserve">S. 29, Kat.-Nr. H17
Bd. I, S. 401, Nr. 2633
S. 132, Nr. 794</t>
  </si>
  <si>
    <t xml:space="preserve">29,3 x 37,9</t>
  </si>
  <si>
    <t xml:space="preserve">Historien onses tyds,</t>
  </si>
  <si>
    <t xml:space="preserve">Bd. IV, S. 152–153</t>
  </si>
  <si>
    <t xml:space="preserve">Ian. Luyken in et fecit.</t>
  </si>
  <si>
    <t xml:space="preserve">unten rechts</t>
  </si>
  <si>
    <t xml:space="preserve">http://friedensbilder.gnm.de/sites/default/files/HB15229-0.jpg</t>
  </si>
  <si>
    <t xml:space="preserve">Friedensverhandlungen von Nijmegen, HB 15229, Kapsel 1220</t>
  </si>
  <si>
    <t xml:space="preserve">http://friedensbilder.gnm.de/content/frieden_foto_order204f30</t>
  </si>
  <si>
    <t xml:space="preserve">OTM: KF 61-280-282</t>
  </si>
  <si>
    <t xml:space="preserve">Bos, Lambert van den
Aitzema, Lieuwe van
Hoorn, Jan Claesz ten
Bouman, Jan</t>
  </si>
  <si>
    <t xml:space="preserve">behelzende saken van staat en oorlogh, voorgevallen in, en omtrent de Vereenigde Nederlanden, en door geheel Europa ... Beginnende met het jaar 1669. daar het ... Lieuwe van Aitzema heeft gelaten ...</t>
  </si>
  <si>
    <t xml:space="preserve">http://friedensbilder.gnm.de/content/frieden_object10e109</t>
  </si>
  <si>
    <t xml:space="preserve">Durch Gottes Güt/ Erfolgt der Fried</t>
  </si>
  <si>
    <t xml:space="preserve">HB 21710, Kapsel 1220</t>
  </si>
  <si>
    <t xml:space="preserve">Felsecker, Johann Jonathan
Felsecker, Wolfgang Eberhard</t>
  </si>
  <si>
    <t xml:space="preserve">Bd. X, S. 301, Nr. 3213
S. 170–171</t>
  </si>
  <si>
    <t xml:space="preserve">21,3 x 31,5 
30,0 x 73,8</t>
  </si>
  <si>
    <t xml:space="preserve">Das ist: Eigentliche Vorstellung Des vor kurtz-verwichener Zeit zwischen unterschiedlichen Hohen Potentaten  in Europa geschlossenen Höchst-erfreulichen Friedens. Zur Aufmunterung allgemeiner Freuden-Bezeugung über diesen höchst-preißlichen Schatz herausgegeben/</t>
  </si>
  <si>
    <t xml:space="preserve">Nürnberg/ gedruckt und zu finden bey Wolf Eberhard und Johann Jonathan Felseckern.</t>
  </si>
  <si>
    <t xml:space="preserve">Im Zentrum des Blattes steht eine Friedensfiguration[fn]Ob es sich hierbei um eine Statue handelt ist nicht eindeutig festzumachen[/fn] mit Olivenzweig und Füllhorn, die von Porträtmedaillons europäischer Herrscher umgeben ist. Auf dem prachtvoll verzierten Sockel, der diese Komposition trägt, befinden sich die entsprechenden Landeswappen der an den Verträgen beteiligten Mächte. Links und rechts davon befinden sich Justitia und Hermes, die sowohl über ihre Attribute, als auch die Legende zu identifizieren sind. Die göttliche Gerechtigkeit bestraft sowohl den Mord als auch die Herrschsucht, während der Gott des Handels den Kaufläuten und Künstlern neue Hoffnung schenkt. Die Hintergrundszenen zeigen den Abzug der Heere und verweisen auf die wiederkehrenden ’Segnungen des Friedens‘ wie das Aufblühen der Seefahrt und der Landwirtschaft. Zu beiden Seiten der massiven Palmen verkünden Figurationen der Fama den Frieden: ”Der Fried erneuet / Der Fried erfreuet“.Das Gedenkblatt[fn]Zur Rolle des Gedenkblatts in der Bildpublizistik Kaiser Leopolds I. siehe Schumann 2003, S. 170–171.[/fn] feiert den Frieden von Nimwegen, der 1678/79 den Französisch-Niederländischen Krieg beendete. Der nebenstehende Typendruck erläutert in der ersten Spalte die bildliche Darstellung, der zweite Teil gibt den Ablauf der Vertragsverhandlungen und deren Unterzeichner wieder. Der relativ große Umfang, der diesem Teil zugestanden wird könnte darauf zurückzuführen sein, dass der Friede von Nimwegen einer der ersten umfassenden Vertragsabschlüsse war, die multilateral vereinbart wurden. Der dritte Teil des Textes bildet ein Gedicht auf die Friedenszeit, das eine für das 17. Jahrhundert häufige Botschaft enthält: den Zusammenschluss der christlichen Herrscher (”Ihr Götter Europens“) gegen die Türken (”Die Heyden“).&amp;nbsp;Während von französischer und vor allem niederländischer Seite eine Vielzahl von Friedensbildern anlässlich der Nimwegener Verträge überliefert ist, fehlen solche Reaktionen, wahrscheinlich aufgrund der nicht zufriedenstellenden Ergebnisse, für das Reich.&amp;nbsp;Das Nürnberger Blatt kritisiert unter dem Deckmantel allgemeiner Friedensfreude die auf der Konferenz verfehlten reichspolitischen Ziele, was es zu einem Unikat macht.Bereits anlässlich des Teilvertrages zwischen Spanien und Frankreich im September 1678 lieferte&amp;nbsp;Romeyn de Hooghe&amp;nbsp;eine Radierung mit dem Titel ”TAFEREEL van de VREDE“.[fn]Landwehr 1973, S. 121I.[/fn]&amp;nbsp;Der Nürnberger Stecher Johann Jonathan Felsecker&amp;nbsp;nutzte es als Vorlage, reduzierte allerdings das allegorische Figurenrepertoire: Es fehlen die beiden Personifikationen der&amp;nbsp;Niederländischen Ostindien-Kompanie vorne links sowie Herkules und Samson. Ebenfalls fehlt de Hooghes interessante Variation des Schmiedens von Waffen zu Ackergerät (nach Jes 2,2–4), in der er zeigt, wie das Pferd vom Pflug befreit wird.MATW/ALS</t>
  </si>
  <si>
    <t xml:space="preserve">http://friedensbilder.gnm.de/sites/default/files/HB21710.tif</t>
  </si>
  <si>
    <t xml:space="preserve">Durch Gottes Güt/ Erfolgt der Fried., HB 21710, Kapsel 1220</t>
  </si>
  <si>
    <t xml:space="preserve">Durch Gottes Güt/ Erfolgt der Fried.</t>
  </si>
  <si>
    <t xml:space="preserve">http://friedensbilder.gnm.de/content/frieden_foto_order204ed3</t>
  </si>
  <si>
    <t xml:space="preserve">Auf den Frieden zu Rijswijk</t>
  </si>
  <si>
    <t xml:space="preserve">Med 6561</t>
  </si>
  <si>
    <t xml:space="preserve">Müller, Philipp Heinrich</t>
  </si>
  <si>
    <t xml:space="preserve">Pax in Nummis 1913
Van Loon</t>
  </si>
  <si>
    <t xml:space="preserve">S. 91–92, Nr. 369
Bd. III, S. 210, Nr. XIIX</t>
  </si>
  <si>
    <t xml:space="preserve">45 
35,84 </t>
  </si>
  <si>
    <t xml:space="preserve">P H M</t>
  </si>
  <si>
    <t xml:space="preserve">Umschrift
Inschrift
Randschrift</t>
  </si>
  <si>
    <t xml:space="preserve">COELO DEMITTITUR ALTO
EUROPA
SIC REDIT ALMA QUIES.
PAX RYSWIC 1697
PAX UNA TRIUMPHIS INNUMERIS POTIOR.</t>
  </si>
  <si>
    <t xml:space="preserve">Seit dem dritten Viertel des 17. Jahrhunderts thematisierten Friedensbilder häufig den Zusammenhalt der christlichen Herrscher Europas gegen die nach Westen vordringenden Osmanen (vgl. etwa&amp;nbsp;HB 15055, Kapsel 1313&amp;nbsp;und&amp;nbsp;O 9 : 243). Besonders im Umfeld der Verträge von&amp;nbsp;Nimwegen&amp;nbsp;(1678/79) und&amp;nbsp;Rijswijk&amp;nbsp;(1697) suggerieren die Darstellungen eine europäische Einheit. Müller nutzte hierfür den mit EUROPA betitelten Erdball unter dem hebräischen Gottesnamen sowie Merkurstab und Olivenzweig als Symbol für den Wohlstand in Friedenszeiten. Die Umschrift stammt aus Vergils vierter Ekloge und verweist auf die Rückkehr des goldenen Zeitalters: (iam nova progenies) caelo demittitur alto.[fn](Nun wird die neue Nachkommenschaft) vom hohen Himmel herabgeschickt.[/fn]Auf der Rückseite der Medaille präsentiert&amp;nbsp;Pax&amp;nbsp;ein Bündel aus landwirtschaftlichen Geräten, welche die&amp;nbsp;Segnungen des Friedens&amp;nbsp;darstellen. Die Umschrift ”So kehrt die Segen spendende Ruhe zurück“ bezieht sich zum einen auf den ruhenden Mars, der in Friedensdarstellungen häufig auftaucht (vgl. z.B.&amp;nbsp;Med 14492). Die Kriegsruhe scheint zudem ein Motiv zu sein, das im Rahmen des Rijswijker Vertrages vermehrt auftaucht. So vereint eine weitere Medaille das Bild des durch den Frieden wieder vereinten Europas mit der zurückgekehrten Ruhe, die beständig bleiben soll.[fn]Medaille auf den Frieden von Rijswijk, 31,5 mm Dm., 7,05 g, Silber geprägt. Landesmuseum Württemberg, Münzkabinett, Inv.-Nr. MK19308. Abrufbar über die&amp;nbsp;Onlineausstellung&amp;nbsp;Frieden in Gold, Silber und Kupfer.[/fn] Besonders auf Medaillen anlässlich des Friedens von Rastatt&amp;nbsp;wurde das Motiv häufig genutzt (vgl. u.a.&amp;nbsp;Med 15313&amp;nbsp;und&amp;nbsp;Med 1621).[fn]Aufgrund seiner eponymen Verwendung in Anspielung auf die Ähnlichkeit der Begriffe Ruhe und Rast (als Teil des Stadtnamens).[/fn]Die Randschrift stammt&amp;nbsp;– ebenso wie die seit dem Westfälischen Frieden verbreitete Sentenz&amp;nbsp;Pax optima rerum&amp;nbsp;(siehe&amp;nbsp;HB 192, Kapsel 1030a)&amp;nbsp;–&amp;nbsp;aus&amp;nbsp;Silius Italicus‘&amp;nbsp;Punica. Das Zitat ”Ein einziger Frieden ist besser als zahlreiche Siege“[fn]”Triumphus“ kann sowohl als Sieg als auch als Triumph(zug) übersetzt werden.[/fn] zierte bereits Darstellungen im Vorfeld des Westfälischen Friedens, wie eine&amp;nbsp;Radierung&amp;nbsp;mit einem allegorischen Triumphzug zeigt.ALS</t>
  </si>
  <si>
    <t xml:space="preserve">http://friedensbilder.gnm.de/sites/default/files/Med6561_Vs_0.tif
http://friedensbilder.gnm.de/sites/default/files/Med6561_Rs_0.tif
http://friedensbilder.gnm.de/sites/default/files/Med6561_Randschrift_0.tif</t>
  </si>
  <si>
    <t xml:space="preserve">Auf den Frieden zu Rijswijk, Vorderseite, Med 6561
COELO DEMITTITUR ALTO, Med 6561
Auf den Frieden zu Rijswijk, Rückseite, Med 6561
Auf den Frieden zu Rijswijk, Rückseite, Med 6561
PAX UNA TRIUMPHIS INNUMERIS POTIOR, Med 6561</t>
  </si>
  <si>
    <t xml:space="preserve">Auf den Frieden zu Rijswijk, Vorderseite
COELO DEMITTITUR ALTO
Auf den Frieden zu Rijswijk, Rückseite
Auf den Frieden zu Rijswijk, Rückseite
PAX UNA TRIUMPHIS INNUMERIS POTIOR</t>
  </si>
  <si>
    <t xml:space="preserve">http://friedensbilder.gnm.de/content/frieden_foto_order204e47</t>
  </si>
  <si>
    <t xml:space="preserve">Nürnberger Taler auf den Frieden von Rijswijk</t>
  </si>
  <si>
    <t xml:space="preserve">Med Merkel 5.5.21</t>
  </si>
  <si>
    <t xml:space="preserve">Maué / Fischer 2014
Imhoff
Aukt. Kat. Slg. Erlanger 1989
Pax in Nummis 1913</t>
  </si>
  <si>
    <t xml:space="preserve">S. 143–144, Nr. 159
Bd. I, S. 45, Nr. 5
Nr. 574–576
S. 96, Nr. 387</t>
  </si>
  <si>
    <t xml:space="preserve">42
17,58</t>
  </si>
  <si>
    <t xml:space="preserve">GFN.</t>
  </si>
  <si>
    <t xml:space="preserve">EXOPTATA DIV PAX COELI EX MVNERE VENIT.
MONETA REIPUB: NORIMBERGENSIS.1698.</t>
  </si>
  <si>
    <t xml:space="preserve">13
5</t>
  </si>
  <si>
    <t xml:space="preserve">Der Nürnberger Taler wurde anlässlich des Friedens von Rijswijk gefertigt. Die Vorderseite zeigt eine Ansicht Nürnbergs von Osten, die Rückseite eine Friedensstatue unter der Umschrift ”Der lange herbei gewünschte Friede kam als Geschenk des Himmels“. Am Fuße des Sockels, auf dem der Medailleur Georg Friedrich Nürnberger seine Signatur angebracht hat, lehnen zwei Putti mit dem großen und kleinen Stadtwappen.ALS</t>
  </si>
  <si>
    <t xml:space="preserve">http://friedensbilder.gnm.de/sites/default/files/MedMerkel5.5.21_Vs.tif
http://friedensbilder.gnm.de/sites/default/files/MedMerkel5.5.21.tif</t>
  </si>
  <si>
    <t xml:space="preserve">Nürnberger Taler auf den Frieden von Rijswijk, Vorderseite, Med Merkel 5.5.21
Nürnberger Taler auf den Frieden von Rijswijk, Rückseite, Med Merkel 5.5.21</t>
  </si>
  <si>
    <t xml:space="preserve">Nürnberger Taler auf den Frieden von Rijswijk, Vorderseite
Nürnberger Taler auf den Frieden von Rijswijk, Rückseite</t>
  </si>
  <si>
    <t xml:space="preserve">http://friedensbilder.gnm.de/content/frieden_foto_order205016</t>
  </si>
  <si>
    <t xml:space="preserve">Medaille auf den Frieden von Rijswijk mit einer Ansicht Huis Ter Nieuburchs</t>
  </si>
  <si>
    <t xml:space="preserve">Med 15312</t>
  </si>
  <si>
    <t xml:space="preserve">Zinn</t>
  </si>
  <si>
    <t xml:space="preserve">Hautsch, Georg</t>
  </si>
  <si>
    <t xml:space="preserve">S. 92, Nr. 370
Bd. III, S. 211, Nr. XXI</t>
  </si>
  <si>
    <t xml:space="preserve">11,86 
37</t>
  </si>
  <si>
    <t xml:space="preserve">GH.</t>
  </si>
  <si>
    <t xml:space="preserve">Rand
Recto
Verso</t>
  </si>
  <si>
    <t xml:space="preserve">Randschrift
Inschrift
Umschrift</t>
  </si>
  <si>
    <t xml:space="preserve">ET. PACEM ET OTIVM DABO IN ISRAEL. PARALIP. XXII.
PAX RYSVICCENSIS.
PAX
CONCORDI PACE LIGABO.
1697.</t>
  </si>
  <si>
    <t xml:space="preserve">Besonders viele Darstellungen anlässlich des Friedens von Rijswijk zeigen den Verhandlungort&amp;nbsp;Huis ter Nieuburch (vgl.&amp;nbsp;NG-VG-1-1769).[fn]Zu den Ansichten des Konferenzortes siehe Manegold 2012, S. 172–173.[/fn] So fliegt die&amp;nbsp;”PAX“ verkündende Fama auch hier über eine Darstellung des Palais.Auf der Rückseite der Medaille verbindet Pax die Wappen der unterzeichnenden Mächte (das Reich, Frankreich, die Generalstaaten, Spanien und Großbritannien) mit dem der schwedischen Friedensmittler.Die Randschrift stammt aus I Chr 22,9, das vom Tempelbau und der nahenden Herrschaft König Salomos handelt: ”in seinen Tagen werde ich Israel Frieden und Ruhe gewähren“.ALS</t>
  </si>
  <si>
    <t xml:space="preserve">http://friedensbilder.gnm.de/sites/default/files/Med15312_rs.tif
http://friedensbilder.gnm.de/sites/default/files/Med15312_Rand.tif
http://friedensbilder.gnm.de/sites/default/files/Med15312_vs.tif</t>
  </si>
  <si>
    <t xml:space="preserve">Medaille auf den Frieden von Rijswijk mit einer Ansicht Huis Ter Nieuburchs, Vorderseite, Med 15312
Medaille auf den Frieden von Rijswijk mit einer Ansicht Huis Ter Nieuburchs, Rückseite, Med 15312
ET PACM ET OTIVM DABO IN ISRAEL, Med 15312</t>
  </si>
  <si>
    <t xml:space="preserve">Medaille auf den Frieden von Rijswijk mit einer Ansicht Huis Ter Nieuburchs, Vorderseite
Medaille auf den Frieden von Rijswijk mit einer Ansicht Huis Ter Nieuburchs, Rückseite
ET PACM ET OTIVM DABO IN ISRAEL</t>
  </si>
  <si>
    <t xml:space="preserve">http://friedensbilder.gnm.de/content/frieden_foto_order204fa3</t>
  </si>
  <si>
    <t xml:space="preserve">Posarovizer Friedens Conferentz</t>
  </si>
  <si>
    <t xml:space="preserve">HB 25188, Kapsel 1220</t>
  </si>
  <si>
    <t xml:space="preserve">Theatrum Europaeum
Peters 2010a
Simiæ 2011</t>
  </si>
  <si>
    <t xml:space="preserve">Bd. XXI, Jahr 1718, S. 53–54
S. 49</t>
  </si>
  <si>
    <t xml:space="preserve">32 x 40 
30,1 x 37,7</t>
  </si>
  <si>
    <t xml:space="preserve">Der vollkommene Adlers-Sieg,</t>
  </si>
  <si>
    <t xml:space="preserve">nach S. 12</t>
  </si>
  <si>
    <t xml:space="preserve">Das reich illustrierte Gedenkblatt zeigt die Friedensverhandlungen zwischen dem Kaiser und den Osmanen nahe Passarowitz. Dabei folgt es einem Erzähltypus in Form einer Bildreportage, die sich seit dem Westfälischen Frieden etabliert hatte&amp;nbsp;(vgl.&amp;nbsp;HB 15261, Kapsel 1220).
Die Einzelszenen dienten ein Jahr später als Buchillustrationen in "Der Höchst-erwünscht- und beglückte Schluß des Dritten Feldzugs auf dem Hungarisch- und Venetianischen Kriegs- und Friedens-Theatro" (Leipzig: Beotius, 1719).
Die kaiserlichen und venezianischen Gesandten waren mit den britischen Friedensunterhändlern in Passarowitz untergebracht, wohingegen sich die osmanischen Diplomaten zusammen mit den niederländischen Mediatoren in einem Lager vor der Stadt befanden (siehe auch&amp;nbsp;MS 869, Kapsel 1429). Der Plan unter Nr. 1 sowie die Ansicht Nr. 2 zeigen das für die Konferenz errichtete Zelt mit seinen vier Eingängen für die kaiserlichen (K), englischen (L), türkischen (N) und niederländischen Teilnehmer (M). Darunter (Nr. 3–6)[fn]Theatrum Europaeum Bd. XXI, Jahr 1718, S. 53–54.[/fn] ist die Ankunft der Hauptbevollmächtigten und der Beginn der Verhandlungen wiedergegeben.&amp;nbsp;Links unten ist der Friedensschluss zwischen Venedig und den Osmanen (Nr. 8), oben zwischen Letzteren und dem Reich (Nr. 9) dargestellt. Die größte Aufmerksamkeit widmete der Künstler dem Abkommen zwischen den Osmanen und dem Kaiser (Nr. 7).&amp;nbsp;Der Einblick in das Konferenzzelt ist eindrucksvolles Zeugnis frühneuzeitlicher Diplomatie: nicht nur die Anordnung im Raum entspricht dem unter Nr. 1 gezeigten Plan. Neben den Gesandten, Unterhändlern und Schreibern (G, H und J) sind auch Dolmetscher (I, K und L) beteiligt. Links sitzen die kaiserlichen Diplomaten Damian Hugo von Virmondt (A) und Michael Talman (B), gegenüber die osmanischen Botschafter Ibrahim Aga (E) und Mehmed Efendi (F). An den beiden anderen Längsseiten haben die Friedensunterhändler Sir Robert Sutton (C) und Jacob, Graf von Coliers (D) Platz genommen. Das Bildfeld darunter präsentiert eine Karte, die die Grenzverschiebungen&amp;nbsp;– geregelt in Artikel zwei bis sechs&amp;nbsp;– markiert: der Bereich unterhalb der gepunkteten Linie fiel bis etwa zur Zweigstelle des Flusses Morava an das Kaiserreich.
ALS
</t>
  </si>
  <si>
    <t xml:space="preserve">http://friedensbilder.gnm.de/sites/default/files/HB25188_A4.tif</t>
  </si>
  <si>
    <t xml:space="preserve">Das reich illustrierte Gedenkblatt zeigt die Friedensverhandlungen zwischen dem Kaiser und den Osmanen nahe Passarowitz. Dabei folgt es einem Erzähltypus in Form einer Bildreportage, die sich seit dem Westfälischen Frieden etabliert hatte.
Die Einzelszenen dienten ein Jahr später als Buchillustrationen in Der Höchst-erwünscht- und beglückte Schluß des Dritten Feldzugs auf dem Hungarisch- und Venetianischen Kriegs- und Friedens-Theatro, einer in Leipzig erschienenen Buchausgabe der Beschreibungen zum Krieg zwischen dem&amp;nbsp;Osmanischen Reich und der&amp;nbsp;Republik Venedig.
Die kaiserlichen und venezianischen Gesandten waren mit den britischen Friedensunterhändlern in Passarowitz untergebracht, wohingegen sich die osmanischen Diplomaten zusammen mit den niederländischen Mediatoren in einem Lager vor der Stadt befanden. Der Plan unter Nr. 1 sowie die Ansicht Nr. 2 zeigen das für die Konferenz errichtete Zelt mit seinen vier Eingängen für die kaiserlichen (K), englischen (L), türkischen (N) und niederländischen Teilnehmer (M). Darunter (Nr. 3–6)&amp;nbsp;ist die Ankunft der Hauptbevollmächtigten und der Beginn der Verhandlungen wiedergegeben.&amp;nbsp;Links unten ist der Friedensschluss zwischen Venedig und den Osmanen (Nr. 8), oben zwischen Letzteren und dem Reich (Nr. 9) dargestellt. Die größte Aufmerksamkeit widmete der Künstler dem Abkommen zwischen den Osmanen und dem Kaiser (Nr. 7).&amp;nbsp;Der Einblick in das Konferenzzelt ist ein eindrucksvolles Zeugnis frühneuzeitlicher Diplomatie: nicht nur die Anordnung im Raum entspricht dem unter Nr. 1 gezeigten Plan. Neben den Gesandten, Unterhändlern und Schreibern (G, H und J) sind auch Dolmetscher (I, K und L) beteiligt. Links sitzen die kaiserlichen Diplomaten&amp;nbsp;Damian Hugo von Virmondt&amp;nbsp;(A) und&amp;nbsp;Michael Talman&amp;nbsp;(B), gegenüber die osmanischen Botschafter Ibrahim Aga (E) und Mehmed Efendi (F). An den beiden anderen Längsseiten haben die Friedensunterhändler Sir Robert Sutton (C) und Jacob Graf von Coliers (D) Platz genommen. Das Bildfeld darunter präsentiert eine Karte, die die Grenzverschiebungen&amp;nbsp;– geregelt in Artikel zwei bis sechs&amp;nbsp;– markiert: der Bereich unterhalb der gepunkteten Linie fiel bis etwa zur Gabelung des Flusses Morava an das Kaiserreich.
ALS
</t>
  </si>
  <si>
    <t xml:space="preserve">Posarovizer Friedens Conferentz., HB 25188, Kapsel 1220</t>
  </si>
  <si>
    <t xml:space="preserve">https://friedensbilder-neu.gnm.de/sites/default/files/2019-06/HB25188_A4_0.png</t>
  </si>
  <si>
    <t xml:space="preserve">Posarovizer Friedens Conferentz.</t>
  </si>
  <si>
    <t xml:space="preserve">http://friedensbilder.gnm.de/content/frieden_foto_order1f940a</t>
  </si>
  <si>
    <t xml:space="preserve">Universitätsbibliothek Freiburg</t>
  </si>
  <si>
    <t xml:space="preserve">Freiburg im Breisgau</t>
  </si>
  <si>
    <t xml:space="preserve">G 4582</t>
  </si>
  <si>
    <t xml:space="preserve">http://dl.ub.uni-freiburg.de/diglit/karl1718/0018</t>
  </si>
  <si>
    <t xml:space="preserve">Welchen Ihr. Röm. Kayserl. und Königl. Cathol. Majestät, Carl der VI Durch die zu Posarowitz, Bei Anfang des dritten Feld-Zugs 1718. mit der Ottomannischen Pforte gepflogen- und errichtete Friedens-Tractaten glorreichst erhalten,</t>
  </si>
  <si>
    <t xml:space="preserve">Durch umständliche Abbildung des Conferentz-Zeltes in einem schönen Kupffer, und beigefügte Summarische Erzehlung Dessen, was sich bei denen Friedens-Handlungen Merckwürdiges zugetragen, getreulich entworfen. Pax una triumphis innumeris portior.</t>
  </si>
  <si>
    <t xml:space="preserve">http://friedensbilder.gnm.de/sites/default/files/G 4582.pdf</t>
  </si>
  <si>
    <t xml:space="preserve">http://friedensbilder.gnm.de/content/frieden_object116a56</t>
  </si>
  <si>
    <t xml:space="preserve">http://friedensbilder.gnm.de/content/frieden_foto_order1a3d15</t>
  </si>
  <si>
    <t xml:space="preserve">Abris. Der Türckischen Friedens-Conferenz bey PASSAROWIZ</t>
  </si>
  <si>
    <t xml:space="preserve">MS 869, Kapsel 1429</t>
  </si>
  <si>
    <t xml:space="preserve">Geyer, Andreas</t>
  </si>
  <si>
    <t xml:space="preserve">30,2 x 35,5 </t>
  </si>
  <si>
    <t xml:space="preserve">allwo zwischen Sr. Keys. und Cath. Maj: CARL VI. auch der Durchl. Signoria Venedig einerseits, und dem Ottomanischen Keyser ACHMETH. III. anderseits der Friede auff 24. Jahr unter hoher Mediation Sr. Gros-Britann: May. und Ihro Hochmoegenden Herrn General Staaten, d. 21 Jul 1718. geschlossen worden.</t>
  </si>
  <si>
    <t xml:space="preserve">Andr. Geyer exc: Ratb: </t>
  </si>
  <si>
    <t xml:space="preserve">Die Friedensschlüsse zwischen Habsburg, Venedig und den Osmanen fanden in der Grenzregion auf dem Balkan statt. Hierzu zählte auch das im heutigen Serbien liegende Dorf Passarowitz,[fn]Zu Passarowitz als Friedensort siehe Peters 2010a, S. 49.[/fn] das ein Gegenbeispiel für die ausladenden Friedenskongresse (vgl. Nürnberg, Nimwegen, Rijswijk usw.) in der Frühen Neuzeit ist. Anfangs war der Bau eines Konferenzhauses geplant, doch in der Absicht, die Verhandlungen zügig durchzuführen, entschied man sich für eine andere Lösung:&amp;nbsp;Unweit von Passarowitz wurde ein Lager aufgeschlagen, dass sowohl ein Verhandlungszelt als auch Rückzugsmöglichkeiten für die kaiserlichen und osmanischen Gesandten und die (Friedens-)unterhändler Großbritanniens und der Niederlande bot. &amp;nbsp;Der Plan zeigt die symmetrisch angelegten Zugänge zum Hauptzelt und Standorte der Truppen, die ein unbefugtes Betreten einer zwei Kilometer umfassenden neutralen Zone (gestrichelte Linie) verhindern sollte. Die Besonderheit des Friedensortes scheint bereits für Zeitgenossen ersichtlich gewesen zu sein, denn auch andere Darstellungen geben das Zeltlager sehr genau wieder. Anders als in&amp;nbsp;HB 25188, Kapsel 1220&amp;nbsp;beschreiben die Legenden aber nicht nur die anwesenden Gesandten und das Lager, sondern auch die Ausstattung der Räume mit Möbeln und kostbaren Wandbehängen. Die Karte in der Rollwerkkartusche gibt die Besitzungen der Habsburger auf dem Balkan und die durch den Vertrag dazugewonnenen Gebiete ober- und unterhalb der Donaulinie wieder.ALS</t>
  </si>
  <si>
    <t xml:space="preserve">http://friedensbilder.gnm.de/sites/default/files/MS869.tif</t>
  </si>
  <si>
    <t xml:space="preserve">Abris. Der Türckischen Friedens-Conferenz bey PASSAROWITZ,, MS 869, Kapsel 1429</t>
  </si>
  <si>
    <t xml:space="preserve">Abris. Der Türckischen Friedens-Conferenz bey PASSAROWITZ,</t>
  </si>
  <si>
    <t xml:space="preserve">http://friedensbilder.gnm.de/content/frieden_foto_order20357c</t>
  </si>
  <si>
    <t xml:space="preserve">Feindschaft zwischen Russland und der Türkei</t>
  </si>
  <si>
    <t xml:space="preserve">HB 8178, Kapsel 1314a</t>
  </si>
  <si>
    <t xml:space="preserve">Ungermann 1906
Tupetz 1878
Kessel 1987</t>
  </si>
  <si>
    <t xml:space="preserve">S. 39–95</t>
  </si>
  <si>
    <t xml:space="preserve">31,8 x 19,2 </t>
  </si>
  <si>
    <t xml:space="preserve">J. M. Will. exc. A. V. </t>
  </si>
  <si>
    <t xml:space="preserve">Seit 1768 beherrschte der Russisch-Osmanische Krieg Teile des heutigen Balkans und Osteuropas. Im Juli 1774 erhielt Russland im Frieden von Küçük Kaynarca große Teile der Ukraine und die Krim wurde dem Herrschaftsgebiet der Osmanen entzogen.
Im Vordergrund bereden Zarin Katharina II.&amp;nbsp;und&amp;nbsp;Gottlob Curt Heinrich Graf von Tottleben, der als&amp;nbsp;Generalleutnant die russische Armee anführte, das weitere Vorgehen.[fn]Tottleben war seit 1758 in diesem Amt, siehe Leben des Grafen von Totleben (Cölln: 1762), S. 94–96.&amp;nbsp;Zwischen 1761 bis 1769 war der Graf wegen Hochverrats aus dem Dienst ausgeschieden (siehe Kessel 1987) und erst wieder für den 1769 begonnen Krieg begnadigt worden. Zum Kriegsjahr 1769 siehe&amp;nbsp;Ungermann 1906, S. 39–95.[/fn] Rechts daneben befindet sich Sultan Mustafa III., dessen&amp;nbsp;Bildnis&amp;nbsp;sich an einem Porträt von&amp;nbsp;Johann Esais Nilson orientiert.
Die Bildunterschriften&amp;nbsp;(Nr. 1 und 2)&amp;nbsp;beschreiben die Zuversicht der russischen Seite auf einen baldigen Sieg. Der Sultan hingegen beruft sich auf die Verteidigung des Erbes, das ihm sein Vater&amp;nbsp;Ahmed III.&amp;nbsp;vermachte und vertraut dabei auf die Hilfe&amp;nbsp;”Mahomets“&amp;nbsp;(Nr. 3).
Während der Vordergrund die aktuellen Kriegsakteure präsentiert, zeigt der Hintergrund drei Städte, die bereits in vergangenen Auseinandersetzungen eine Rolle gespielt hatten. In starker Verkürzung ist der Flusslauf der Save und dessen Nebenarm Una wiedergegeben, an dem Mehmed II.&amp;nbsp;die Festung Schabaz erbauen ließ.[fn]Geographische Skizzen aus dem Osten Europas. II. Serbien. (Schluß.), in: Blätter für Literatur, Kunst und Kritik. (Zur Oesterr. Zeitschrift für Geschichts- und Staatskunde.) 3 (1837), Heft 10, S. 39.[/fn] Belgrad gehörte seit dem Frieden von Passarowitz zum Reich der Habsburger (vgl. die Karte auf&amp;nbsp;HB 25188, Kapsel 1220), war aber beispielsweise&amp;nbsp;bereits&amp;nbsp;im Russisch-Österreichischen Krieg Gegenstand der Interessen und wurde 1739 im Frieden von Belgrad[fn]Zum Frieden von Belgrad Tupetz 1878.[/fn] abermals Österreich zugesprochen. Die Stadt Kozarska Dubica hingegen war an das Osmanische Reich gefallen, aufgrund dessen viele Stadtbewohner auf die andere Flusseite flüchteten und Hrvatska Dubica gründeten.
ALS
</t>
  </si>
  <si>
    <t xml:space="preserve">1.
Wenn Achmet noch so stolz auch wäre
Madam, von unserm Kriegs heere
Gezüchtigt, wird es ihn bewegen,
Gewiß sich bald, zum Ziel, zu legen.
2.
Ja Sire, unsre beyden Heere
Erwerben sich gewiß viel Ehre:
Sie werden, durch ihr tapfer Kämpfen,
Der Türken Stolz und Hochmuth dämpfen.
3.
Ich trotz auf meine große Macht,
Die Mahomet mir zugedacht,
Mit meinem furchtbar starken Heere
Stre[ite ic]h für ihn und seine Ehre
MATW
</t>
  </si>
  <si>
    <t xml:space="preserve">http://friedensbilder.gnm.de/sites/default/files/HB8178_0.tif</t>
  </si>
  <si>
    <t xml:space="preserve">Seit 1768 beherrschte der Russisch-Osmanische Krieg Teile des heutigen Balkans und Osteuropas. Im Juli 1774 erhielt Russland im Frieden von Küçük Kaynarca große Teile der Ukraine und die Krim wurde dem Herrschaftsgebiet der Osmanen entzogen.
Im Vordergrund bereden Zarin&amp;nbsp;Katharina II.&amp;nbsp;und&amp;nbsp;Gottlob Curt Heinrich Graf von Tottleben, der als&amp;nbsp;Generalleutnant die russische Armee anführte, das weitere Vorgehen. Rechts daneben befindet sich Sultan&amp;nbsp;Mustafa III., dessen&amp;nbsp;Bildnis&amp;nbsp;sich an einem Porträt von&amp;nbsp;Johann Esais Nilson&amp;nbsp;orientiert.
Die Bildunterschriften&amp;nbsp;(Nr. 1 und 2)&amp;nbsp;beschreiben die Zuversicht der russischen Seite auf einen baldigen Sieg. Der Sultan hingegen beruft sich auf die Verteidigung des Erbes, das ihm sein Vater&amp;nbsp;Ahmed III.&amp;nbsp;vermachte und vertraut dabei auf die Hilfe&amp;nbsp;”Mahomets“&amp;nbsp;(Nr. 3).
Während der Vordergrund die aktuellen Kriegsakteure präsentiert, zeigt der Hintergrund drei Städte, die bereits in vergangenen Auseinandersetzungen eine Rolle gespielt hatten. In starker Verkürzung ist der Flusslauf der Save und dessen Nebenarm Una wiedergegeben, an dem&amp;nbsp;Mehmed II.&amp;nbsp;die Festung Schabaz erbauen ließ. Belgrad gehörte seit dem Frieden von Passarowitz zum Reich der Habsburger (vgl. die Karte auf&amp;nbsp;HB 25188, Kapsel 1220), war aber beispielsweise&amp;nbsp;bereits&amp;nbsp;im Russisch-Österreichischen Krieg Gegenstand der Interessen und wurde 1739 im Frieden von Belgrad abermals Österreich zugesprochen. Die Stadt Kozarska Dubica hingegen war an das Osmanische Reich gefallen, aufgrund dessen viele Stadtbewohner auf die andere Flusseite flüchteten und Hrvatska Dubica gründeten.
ALS
</t>
  </si>
  <si>
    <t xml:space="preserve">Feindschaft zwischen Russland und der Türkei, HB 8178, Kapsel 1314a</t>
  </si>
  <si>
    <t xml:space="preserve">https://friedensbilder-neu.gnm.de/sites/default/files/2019-06/HB8178_0_0.png</t>
  </si>
  <si>
    <t xml:space="preserve">http://friedensbilder.gnm.de/content/frieden_foto_order1f922a</t>
  </si>
  <si>
    <t xml:space="preserve">Friedens-Schluß, welcher zwischen Rußland u. der ottomanischen Pforte in dem Lager zu Galatz den 12ten August, Anno 1791, geschlossen worden</t>
  </si>
  <si>
    <t xml:space="preserve">HB 6388, Kapsel 1314a</t>
  </si>
  <si>
    <t xml:space="preserve">Ritter 2002
Derschka 2013
Ausst. Kat. Stuttgart 2012
Landbot 1791</t>
  </si>
  <si>
    <t xml:space="preserve">S. 23
S. 20, Abb. 8 (Cornelia Manegold)
H. 138, S. 1185–1186</t>
  </si>
  <si>
    <t xml:space="preserve">27,4 x 34,2 
26,5 x 33,5 </t>
  </si>
  <si>
    <t xml:space="preserve">Verfasserangabe</t>
  </si>
  <si>
    <t xml:space="preserve">Ioh. Martin Will excudit Aug. Vind.</t>
  </si>
  <si>
    <t xml:space="preserve">Als Grundlage für den Frieden von Jassy, der 1792 den Russisch-Österreichischen Türkenkrieg beendete, dienten die Artikel des am 11. August 1791 bei Galatz unterzeichneten Waffenstillstandsvertrags.Das Spottblatt aus dem Augsburger Verlag Will bezieht sich auf dieses Abkommen. Im Zentrum sitzt der Großwesir Koca Yusuf Pasha, der in der Schlacht von Mãcin eine entscheidende Niederlage gegen den russischen Generalissimus&amp;nbsp;Nikolaj Vasil'eviè Repnin erlitten hatte. Die Schwäche des osmanischen Heeres und die durch den Vertrag von Galatz verlorenen Gebiete&amp;nbsp;– der entsprechende Artikel vier liegt zu seinen Füßen&amp;nbsp;– visualisiert das Bild des Aderlasses. Repnin verbindet gerade die Wunde, die ein anderer mit einem Tuch mit dem Schriftzug ”Pax“ abdeckt. Die Bildunterschrift geht noch einen Schritt weiter und bezieht die Viersäftelehre mit ein, ohne dabei genau zu differenzieren: die Körpersäfte schwarze Galle und Schleim dienen beide zur Charakterisierung des Phlegmatikers, dessen Trägheit sich im erschlafften Körper des türkischen Großwesir ausdrückt.[fn]Zur Viersäftelehre siehe Derschka 2013.[/fn]Die linke Bildhälfte zeigt die Niederlage der osmanischen Truppen (vgl.&amp;nbsp;Med 14504), während im Vordergrund ein russischer Gardist einem Türken ”den Frieden diktiert“. Die auf dem Tisch stehenden Trinktassen enthalten die Daten entscheidender Kriegsereignisse, die alle mit der osmanischen Niederlage in Verbindung stehen.[fn]z.B. Die Besetzung Bukarests durch Sachsen-Coburg im November 1789 und die Eroberung von Ismajil im Dezember 1790.[/fn] Auf der gegenüberliegenden Seite trägt einer der Tartaren eine Standarte davon, auf der die im Vertrag nicht berücksichtigten Forderungen aufgelistet sind.&amp;nbsp;Eine der wichtigsten Gebietsveränderungen, die im Frieden von Jassy Bestätigung fand, war die Abtretung der Krimhalbinsel an Russland. Dahinter befindet sich eine Szene mit dem Vertragsabschluss im Lager bei Galatz (vgl. auch&amp;nbsp;MS 869, Kapsel 1429): ”Sie werden aber doch gehorsamst unterschrieben, Und dann umarmen Sie einander brüderlich.“Johann Martin Will betrieb seit 1755 seinen eigenen Verlag in Augsburg und hatte sich vor allem auf Ereignisgraphik spezialisiert. Sein weiterer Schwerpunkt, Illustrationen von Trachten, dürfte das große Interesse an den Friedensschlüssen mit den Türken befördert haben (siehe&amp;nbsp;HB 8178, Kapsel 1314a).ALS&amp;nbsp;&amp;nbsp;</t>
  </si>
  <si>
    <t xml:space="preserve">Friedens-Schluß, welcher zwischen Rußland u. der ottomanischen Pforte in dem Lager zu Galatz den 12 ten August, Anno 1791. geschlossen worden.Der-Vezier lag krank an Haupt und Glider Schmerzen,Die schwarze Galle drang im Cörper ins Geblüt:Der kluge Dokter sprach: Hier ist nicht lang zu scherzen,Die Hiz nimmt überhand; dieweil Er immer flieht:Ein diker zäher Schleim verstopft die Blut GefäßeDer Held lauft in Gefahr es schlägt der Brand dazuMan waget noch mit Ihm die sechste AderläßeUnd die befördert auch die längst gewünschte Ruh.Es stellen nach und nach die schon verlohrnen KräfteSich wieder gröstentheils beym Patienten ein;Doch scheint bey dem Verlust der abgezöpften Säfte,Des gantzen Cörpers-Bau durchaus geschwächt zu seyn.Der Lebens-Geister sind viel Tausende entwichen,Man schloss die übrigen sehr eng zusammen einUnd da sich die Natur hat mit dem Tod verglichenMuß Patience par force vor jezt das beste seyn.Nun wird das Friedens-Werk mit gröserm Ernst betrieben,Ein jeder Punkten gibt dem Herzen einen Stich;Sie werden aber doch gehorsamst unterschrieben,Und dann umarmen Sie einander brüderlich.Vielleicht erfahren wir noch heute oder morgenWie theur der Patient die Cur bezahlen muß:Und wer den Schaden hat darf vor den Spott nicht sorgen,Wie unvergleichlich sanft schläft ein Phlegmaticus.MATW</t>
  </si>
  <si>
    <t xml:space="preserve">http://friedensbilder.gnm.de/sites/default/files/HB6388.tif</t>
  </si>
  <si>
    <t xml:space="preserve">Friedens=Schluss, welcher zwischen Rußland u. der ottomanischen Pforte in dem Lager zu Galatz den 12ten August, Anno 1791, geschlossen worden., HB 6388, Kapsel 1314a</t>
  </si>
  <si>
    <t xml:space="preserve">Friedens=Schluss, welcher zwischen Rußland u. der ottomanischen Pforte in dem Lager zu Galatz den 12ten August, Anno 1791, geschlossen worden.</t>
  </si>
  <si>
    <t xml:space="preserve">http://friedensbilder.gnm.de/content/frieden_foto_order204f12</t>
  </si>
  <si>
    <t xml:space="preserve">Medaille </t>
  </si>
  <si>
    <t xml:space="preserve">Medaille auf den Frieden von Hubertusburg durch die Stadt Augsburg</t>
  </si>
  <si>
    <t xml:space="preserve">Med 7245</t>
  </si>
  <si>
    <t xml:space="preserve">Julius 1913
Grund 2012
Thieme Becker</t>
  </si>
  <si>
    <t xml:space="preserve">S. 8, Nr. 17
S. 59
Bd. XXXIII, [Art.] Jonas (I) Thiébaud, S. 21</t>
  </si>
  <si>
    <t xml:space="preserve">29
6,48</t>
  </si>
  <si>
    <t xml:space="preserve">T</t>
  </si>
  <si>
    <t xml:space="preserve">DER HERR HOERET GEBETH
EUROPA
AUGSPURGISCHES FRIEDENS GEDAECHTNUS AUF DAS IAHR CHRISTI 1763.</t>
  </si>
  <si>
    <t xml:space="preserve">Die Medaille stammt von dem Augsburger Medailleur Jonas Thiébaud und dürfte anlässlich des jährlichen Friedensfestes herausgegeben worden sein. Das Fest für die evangelische Schuljugend am 10. August 1763, zu dem auch ein Augsburger Friedensgemälde erschien (siehe&amp;nbsp;HB 6717, Kapsel 1249), stand ganz im Zeichen des Friedens von Hubertusburg. Die Medaillenrückseite verdeutlicht den durch Gott gegebenen Frieden.ALS</t>
  </si>
  <si>
    <t xml:space="preserve">http://friedensbilder.gnm.de/sites/default/files/Med7245_vs_0.tif
http://friedensbilder.gnm.de/sites/default/files/Med7245_rs_0.tif</t>
  </si>
  <si>
    <t xml:space="preserve">Medaille auf den Frieden von Hubertusburg durch die Stadt Augsburg, Vorderseite, Med 7245
Medaille auf den Frieden von Hubertusburg durch die Stadt Augsburg, Rückseite, Med 7245</t>
  </si>
  <si>
    <t xml:space="preserve">Medaille auf den Frieden von Hubertusburg durch die Stadt Augsburg, Vorderseite
Medaille auf den Frieden von Hubertusburg durch die Stadt Augsburg, Rückseite</t>
  </si>
  <si>
    <t xml:space="preserve">http://friedensbilder.gnm.de/content/frieden_foto_order204f85</t>
  </si>
  <si>
    <t xml:space="preserve">Österreichische Medaille auf den Frieden von Hubertusburg</t>
  </si>
  <si>
    <t xml:space="preserve">Med Merkel 4.8.7</t>
  </si>
  <si>
    <t xml:space="preserve">Widemann, Anton Franz</t>
  </si>
  <si>
    <t xml:space="preserve">Schütz 1782
Pax in Nummis 1913
Julius 1913
Grund 2012
Thieme Becker</t>
  </si>
  <si>
    <t xml:space="preserve">S. 197
S. 149, Nr. 598
S. 7, Nr. 14
S. 59
Bd. XXXV, [Art.] Anton Franz Widemann, S. 515–516</t>
  </si>
  <si>
    <t xml:space="preserve">43,87
46</t>
  </si>
  <si>
    <t xml:space="preserve">A. WIDEMAN</t>
  </si>
  <si>
    <t xml:space="preserve">FRANCISCVS M: THERESIA AVGG:
DIE XV. FEBR. MDCCLXIII
MINERVAE PACIFICAE</t>
  </si>
  <si>
    <t xml:space="preserve">Den Stempel der Vorderseite mit dem Doppelporträt Franz I. Stephans und Maria Theresias&amp;nbsp;nutzte der Medailleur für eine ganze Reihe von Prägungen.[fn]Eine Auflistung bei Julius 1913, S. 8.[/fn] Die Rückseite entwarf&amp;nbsp;Anton Franz Widemann&amp;nbsp;– Obermünz- und Medaillengraveur im königlich-kaiserlichen Hauptmünzamt – speziell zur Erinnerung an den Frieden von Hubertusburg. Sie zeigt Minerva, die Lanze und Schild abgelegt und gegen die beiden Friedenssymbole Füllhorn und Caduceus eingetauscht hat. Letzteren legt sie als Opfergabe auf einem Friedensaltar mit dem Wappen Österreichs nieder.
Die Gottheit dürfte sich explizit auf Maria Theresia beziehen, wurde Minerva doch häufig zum Sinnbild friedensstiftender Regentinnen (vgl.&amp;nbsp;Med Merkel 1.4.5).
ALS
&amp;nbsp;
</t>
  </si>
  <si>
    <t xml:space="preserve">http://friedensbilder.gnm.de/sites/default/files/MedMerkel4.8.7_vs.tif
http://friedensbilder.gnm.de/sites/default/files/MedMerkel4.8.7_rs.tif</t>
  </si>
  <si>
    <t xml:space="preserve">Den Stempel der Vorderseite mit dem Doppelporträt&amp;nbsp;Franz I. Stephans&amp;nbsp;und&amp;nbsp;Maria Theresias&amp;nbsp;nutzte der Medailleur für eine ganze Reihe von Prägungen. Die Rückseite entwarf&amp;nbsp;Anton Franz Widemann&amp;nbsp;– Obermünz- und Medaillengraveur im königlich-kaiserlichen Hauptmünzamt – speziell zur Erinnerung an den Frieden von Hubertusburg. Sie zeigt Minerva, die Lanze und Schild abgelegt und gegen die beiden Friedenssymbole Füllhorn und&amp;nbsp;Caduceus&amp;nbsp;eingetauscht hat. Letzteren legt sie als Opfergabe auf einem Friedensaltar mit dem Wappen Österreichs nieder.&amp;nbsp;
Die Gottheit dürfte sich explizit auf Maria Theresia beziehen, wurde Minerva doch häufig zum Sinnbild friedensstiftender Regentinnen.
ALS
&amp;nbsp;
</t>
  </si>
  <si>
    <t xml:space="preserve">Österreichische Medaille auf den Frieden von Hubertusburg, Vorderseite, Med Merkel 4.8.7
Österreichische Medaille auf den Frieden von Hubertusburg, Rückseite, Med Merkel 4.8.7</t>
  </si>
  <si>
    <t xml:space="preserve">https://friedensbilder-neu.gnm.de/sites/default/files/2019-06/MedMerkel4_8_7_vs_0.png
https://friedensbilder-neu.gnm.de/sites/default/files/2019-06/MedMerkel4_8_7_rs_0.png
https://friedensbilder-neu.gnm.de/sites/default/files/2019-06/MedMerkel4_8_7_doppel_0.png</t>
  </si>
  <si>
    <t xml:space="preserve">Österreichische Medaille auf den Frieden von Hubertusburg, Vorderseite
Österreichische Medaille auf den Frieden von Hubertusburg, Rückseite</t>
  </si>
  <si>
    <t xml:space="preserve">http://friedensbilder.gnm.de/content/frieden_foto_order1f9432</t>
  </si>
  <si>
    <t xml:space="preserve">Schraubmedaille auf die Siege in den drei Schlesischen Kriegen</t>
  </si>
  <si>
    <t xml:space="preserve">Med 1065</t>
  </si>
  <si>
    <t xml:space="preserve">Silberdrechsler</t>
  </si>
  <si>
    <t xml:space="preserve">Remshard, Abraham</t>
  </si>
  <si>
    <t xml:space="preserve">Preßler 2000
Julius 1913
Pax in Nummis 1913</t>
  </si>
  <si>
    <t xml:space="preserve">S. 269–272 und zu Remshard S. 16
S. 4, Nr. 4
S. 147–148, Nr. 593</t>
  </si>
  <si>
    <t xml:space="preserve">47 
25,65 </t>
  </si>
  <si>
    <t xml:space="preserve">FRIDERICVS REX BORVSSOR: EL: BRAND:
EX UTROQUE MAXIMUS.</t>
  </si>
  <si>
    <t xml:space="preserve">4
2</t>
  </si>
  <si>
    <t xml:space="preserve">Die Schraubmedaille entstand anlässlich der Siege Friedrichs II. in den drei Schlesischen Kriegen. Eine Seite des Deckels trägt ein ähnliches Porträt wie&amp;nbsp;Med 2759, die ebenfalls aus gleichem Anlass gefertigt wurde. Die Waage auf der Rückseite versinnbildlicht die erfolgreiche Regierung: ein Gleichgewicht zwischen Rechtspflege und militärischer Macht.Der Silberdrechsler Abraham Remshard dürfte lediglich die Deckel gefertigt haben, während die Einlagen in der Regel in Zusammenarbeit mit Augsburger Kupferstechern entstanden. Die bei dem Exemplar im Germanischen Nationalmuseum nicht mehr erhaltenen Papiere zeigten in 39 Darstellungen verschiedene Schlachten und Friedensschlüsse während des Krieges.[fn]Siehe die Abbildungen bei Preßler 2000, vor S. 129.[/fn] Anstelle der originalen Papiermedaillons befindet sich jetzt eine unvollständige Serie aus einer Schraubmedaille auf die Salzburger Emigranten[fn]Einlagenserie Typ I (Salzburger Emigranten).[/fn] in ihrem Inneren.ALS</t>
  </si>
  <si>
    <t xml:space="preserve">http://friedensbilder.gnm.de/sites/default/files/Med1065_vs.tif
http://friedensbilder.gnm.de/sites/default/files/Med1065_rs.tif</t>
  </si>
  <si>
    <t xml:space="preserve">Schraubmedaille auf die Siege in den drei Schlesischen Kriegen, Vorderseite, Med 1065
Schraubmedaille auf die Siege in den drei Schlesischen Kriegen, Rückseite, Med 1065</t>
  </si>
  <si>
    <t xml:space="preserve">Schraubmedaille auf die Siege in den drei Schlesischen Kriegen, Vorderseite
Schraubmedaille auf die Siege in den drei Schlesischen Kriegen, Rückseite</t>
  </si>
  <si>
    <t xml:space="preserve">http://friedensbilder.gnm.de/content/frieden_foto_order205039</t>
  </si>
  <si>
    <t xml:space="preserve">Das befreyte Schlesien:</t>
  </si>
  <si>
    <t xml:space="preserve">AB 155182 (8)</t>
  </si>
  <si>
    <t xml:space="preserve">http://digitale.bibliothek.uni-halle.de/urn/urn:nbn:de:gbv:3:1-346164</t>
  </si>
  <si>
    <t xml:space="preserve">14 N 56/42</t>
  </si>
  <si>
    <t xml:space="preserve">Siegesgedichte</t>
  </si>
  <si>
    <t xml:space="preserve">http://digitale.bibliothek.uni-halle.de/vd18/image/view/5423453?w=1000</t>
  </si>
  <si>
    <t xml:space="preserve">Das befreyte Schlesien, AB 155182 (8)</t>
  </si>
  <si>
    <t xml:space="preserve">Das befreyte Schlesien</t>
  </si>
  <si>
    <t xml:space="preserve">Das befreyte Schlesien: </t>
  </si>
  <si>
    <t xml:space="preserve">Stoeckel, Christian Gottlob
Korn, Johann Jacob</t>
  </si>
  <si>
    <t xml:space="preserve">Schützentaler auf den Frieden von Hubertusburg</t>
  </si>
  <si>
    <t xml:space="preserve">Med 15322</t>
  </si>
  <si>
    <t xml:space="preserve">Stempelschneider
Münzmeister</t>
  </si>
  <si>
    <t xml:space="preserve">Körnlein, Johann Nikolaus
Busch, Georg Christoph</t>
  </si>
  <si>
    <t xml:space="preserve">Gumpelzhaimer 1838
Pax in Nummis 1913
Plato 1779
Julius 1913</t>
  </si>
  <si>
    <t xml:space="preserve">S. 1649-1650
S. 153, Nr. 614
S. 148, Nr. 184
S. 10, Nr. 32</t>
  </si>
  <si>
    <t xml:space="preserve">10,54
33</t>
  </si>
  <si>
    <t xml:space="preserve">I.C.B.
I.N.K.</t>
  </si>
  <si>
    <t xml:space="preserve">MEMORIAE PACIS TERRA MARIQVE PARTAE SAECVLARIBVSQVE COMITIORVM IMPERII SCLOPETARII RATISBON. F. F. 
TRANQVILLITATI SAEC. 
MDCCLXIII.</t>
  </si>
  <si>
    <t xml:space="preserve">Bereits im August 1763 fand in der freien Reichsstadt Regensburg ein Stahlschießen anlässlich des Friedens von Hubertusburg statt. Einen Monat später, am 5. September, feierte die Stadt ein noch größeres Schützenfest. Auf ein Vogelschießen mit Kirmes folgte der Auszug der Schützen, begleitet von feierlicher Musik. Als Gewinn hatte die Schützengemeinschaft zwei unterschiedliche Medaillen prägen lassen, von denen eine hier vorliegt. Sie erinnert nicht nur an den Frieden, sondern auch an den seit 1663 in Regensburg tagenden Immerwährenden Reichstag, der im Jahr der Vertragsunterzeichnung sein einhundertjähriges Jubiläum feierte. Die in der Inschrift erwähnte 'Ruhe'&amp;nbsp;thematisieren auch andere Friedensmedaillen (vgl.&amp;nbsp;Med 6561&amp;nbsp;und&amp;nbsp;Med 1621).&amp;nbsp;ALS</t>
  </si>
  <si>
    <t xml:space="preserve">Das durch den Frieden geschaffene ‘Zeitalter der Ruhe’ (TRANQVILLITATI SAEC.) thematisieren neben dieser auch weitere Medaillen (vgl.&amp;nbsp;Med 6561&amp;nbsp;und&amp;nbsp;Med 1621).&amp;nbsp;Diese Übersetzung ist falsch! Der Satz müsste folgendermaßen heißen.Das in der Inschrift genannte&amp;nbsp;”hundertjährige Friedensjubiläum“&amp;nbsp;(TRANQVILLITATI SAEC.) thematisieren auch andere Medaillen (vgl.&amp;nbsp;Med 6561&amp;nbsp;und&amp;nbsp;Med 1621).Der Bezug zu den anderen beiden Medaillen ergibt sich dann aber nicht mehr, daher sollten wir diesen Absatz streichen.MATW</t>
  </si>
  <si>
    <t xml:space="preserve">http://friedensbilder.gnm.de/sites/default/files/Med15322_vs.tif
http://friedensbilder.gnm.de/sites/default/files/Med15322_rs.tif</t>
  </si>
  <si>
    <t xml:space="preserve">Medaille der Stadt Regensburg auf den Frieden von Hubertusburg, Vorderseite, Med 15322</t>
  </si>
  <si>
    <t xml:space="preserve">Medaille der Stadt Regensburg auf den Frieden von Hubertusburg, Vorderseite</t>
  </si>
  <si>
    <t xml:space="preserve">http://friedensbilder.gnm.de/content/frieden_foto_order20504d</t>
  </si>
  <si>
    <t xml:space="preserve">Medaille mit einem Friedenswunsch im Jahre 1762</t>
  </si>
  <si>
    <t xml:space="preserve">Med 3375</t>
  </si>
  <si>
    <t xml:space="preserve">Pax in Nummis 1913</t>
  </si>
  <si>
    <t xml:space="preserve">S. 146–147, Nr. 590</t>
  </si>
  <si>
    <t xml:space="preserve">30
9,69 </t>
  </si>
  <si>
    <t xml:space="preserve">GOTT LOB DER KRIEG HAT NVN EIN 
1762
HERR MACHE GANTZ UND FEST DEN FRIED AN ALLEN ORTEN</t>
  </si>
  <si>
    <t xml:space="preserve">1762 konnten die meisten Konflikte des Siebenjährigen Krieg beigelegt beziehungsweise Vorverträge für den Definitivfrieden von Paris und Hubertusburg vereinbart werden. Im Mai schloss Preußen mit Russland den Frieden von St. Petersburg (5. Mai) und in Hamburg ein Abkommen mit Schweden (22. Mai). Auch konnte Österreich Ende des Jahres einen Waffenstillstand aushandeln, der bis zum Vertrag von Hubertusburg die Kriegshandlungen aussetzte.Die Medaille bezieht sich nicht konkret auf eines der genannten Ereignisse, sondern zeigt die Zuversicht, dass die Verträge in naher Zukunft den Frieden bringen. Die einfallsreiche Inschrift auf der Vorderseite&amp;nbsp;– die beim ersten Lesen unvollständig erscheint&amp;nbsp;– muss der Betrachter selbst ergänzen: Der Krieg hat nun ein Loch. Bereits auf einem Kupferstich von Hans Sebald Beham aus dem Jahr 1543, der drei Landknechte zeigt, ist die Inschrift "Wu nun hinaus. Der Krieg hat ein Loch" zu lesen. Die Redewendung blieb im Laufe der Frühen Neuzeit erhalten und bildet auch Teil des Gedichts von Georg Greflinger: "der Mars hatt nun ein Loch" (siehe&amp;nbsp;HB 25059, Kapsel 1314).[fn]Ein Emblem in Daniel de la Feuilles Devises et emblemes (1691) zeigt ebenfalls eine Kriegstrommel (mit einem Loch?) unter dem Motto ”Sine fremitu nihil“: http://emblems.let.uu.nl/f1691057.html [zuletzt aufgerufen am 12.09.2017].[/fn] Die Hand aus den Wolken, die Früchte in einen Korb legt, versinnbildlicht zum einen die Segnungen des Friedens. Zum Anderen bezieht sich die Umschrift ”FRIED AN ALLEN ORTEN“ auf die unterschiedlichen Vertragspartner.ALS</t>
  </si>
  <si>
    <t xml:space="preserve">http://friedensbilder.gnm.de/sites/default/files/Med3375_vs.tif
http://friedensbilder.gnm.de/sites/default/files/Med3375_rs.tif</t>
  </si>
  <si>
    <t xml:space="preserve">Medaille mit einem Friedenswunsch im Jahre 1762, Vorderseite, Med 3375
Medaille mit einem Friedenswunsch im Jahre 1762, Rückseite, Med 3375</t>
  </si>
  <si>
    <t xml:space="preserve">Medaille mit einem Friedenswunsch im Jahre 1762, Vorderseite
Medaille mit einem Friedenswunsch im Jahre 1762, Rückseite</t>
  </si>
  <si>
    <t xml:space="preserve">http://friedensbilder.gnm.de/content/frieden_foto_order204ff3</t>
  </si>
  <si>
    <t xml:space="preserve">Die glückseligen Tage eines dauerhaften Friedens wünschet zu Anfang des 1762sten Jahres Allen Ständen</t>
  </si>
  <si>
    <t xml:space="preserve">MS 661, Kapsel 1428</t>
  </si>
  <si>
    <t xml:space="preserve">Blöst, Heinrich</t>
  </si>
  <si>
    <t xml:space="preserve">Schilling 1990
Schreyl 1979</t>
  </si>
  <si>
    <t xml:space="preserve">S. 249–251
S. 23; 34–44</t>
  </si>
  <si>
    <t xml:space="preserve">13,3 x 25,7 </t>
  </si>
  <si>
    <t xml:space="preserve">Ordnungen und Zünften, von denen, die Jesus zum Volke seines Eigenthums erworben hat, vornehmlich aber dem, unter dem Schutze Gottes noch bißher gebliebenen Nürnbergischen Zion, mit Demuth, Unterthänigkeit und Treue,</t>
  </si>
  <si>
    <t xml:space="preserve">Heinrich Blöst, Lobsprecher auch Barchet- und Leinweber allhier.</t>
  </si>
  <si>
    <t xml:space="preserve">Neujahrsgrüße in Form eines Flugblattes waren seit dem 16. Jahrhundert verbreitet. Die frühen Beispiele lehnten sich noch bis ins 17. Jahrhundert an Neujahrspredigten an und waren vorwiegend von moraldidaktischem Inhalt. Als Verfasser traten im 18. Jahrhundert neben die Nürnberger Spruchsprecher, die die Gattung des 'poetischen Neujahrsgrußes'[fn]Schnabel, Werner W.: Nürnberger Spruchsprecherblätter als Medien nichtakademischer Belehrung im 17. Jahrhundert, in: Morgen-Glantz 25 (2015), S.&amp;nbsp;23–50. [/fn] lange dominierten, auch andere Berufsgruppen. Gleichzeitg veränderte sich der Inhalt und das Layout: Die bedruckten Blätter erreichten&amp;nbsp;– zum Gebrauch als Wandschmuck&amp;nbsp;– wesentlich größere Formate und auch der Text selbst verlagerte seine Schwerpunkte.
Häufig aus zwei Teilen bestehend, folgte auf einen Bericht über das vergangene Jahr der Neujahrswunsch an verschiedene Ämter und Berufsstände. Der Autor des vorliegenden Blattes, ein Leinweber aus Nürnberg, erläutert die Schrecken des Siebenjährigen Krieges und das Glück für die Stadt, von diesen weitestgehend verschont geblieben zu sein. Das zeigt auch die Darstellung mit einer Ansicht Nürnbergs und der Personifikation&amp;nbsp;Noris, der&amp;nbsp;auf der anderen Seite eine brennende Stadt gegenübergestellt ist. Die zweite Spalte des Typendrucks listet die Adressaten des Neujahrsgrußes, vom Kaiser über Fürsten, Ratsmitglieder bis hin zum Kauf- und Landmann.
ALS
</t>
  </si>
  <si>
    <t xml:space="preserve">http://friedensbilder.gnm.de/sites/default/files/MS661.tif</t>
  </si>
  <si>
    <t xml:space="preserve">Neujahrsgrüße in Form eines Flugblattes waren seit dem 16. Jahrhundert verbreitet. Die frühen Beispiele lehnten sich noch bis ins 17. Jahrhundert an Neujahrspredigten an und waren vorwiegend moraldidaktischen Inhalts. Als Verfasser traten im 18. Jahrhundert neben die Nürnberger Spruchsprecher, welche die Gattung des Poetischen Neujahrsgrußes&amp;nbsp;lange dominierten, auch andere Berufsgruppen. Gleichzeitg veränderte sich der Inhalt und das Layout: Die bedruckten Blätter erreichten&amp;nbsp;– zum Gebrauch als Wandschmuck&amp;nbsp;– wesentlich größere Formate und auch der Text selbst verlagerte seine Schwerpunkte.Häufig aus zwei Teilen bestehend, folgte auf einen Bericht über das vergangene Jahr der Neujahrswunsch an verschiedene Ämter und Berufsstände. Der Autor des vorliegenden Blattes, ein Leinweber aus Nürnberg, erläutert die Schrecken des&amp;nbsp;Siebenjährigen Krieges&amp;nbsp;und das Glück für die Stadt, von diesen weitestgehend verschont geblieben zu sein. Das zeigt auch die darüber befindliche Darstellung mit einer Ansicht Nürnbergs und der Personifikation&amp;nbsp;Noris, der&amp;nbsp;auf der anderen Seite eine brennende Stadt gegenübergestellt ist. Die zweite Spalte des Typendrucks listet die Adressaten des Neujahrsgrußes, vom Kaiser über Fürsten, Ratsmitglieder bis hin zum Kauf- und Landmann.ALS</t>
  </si>
  <si>
    <t xml:space="preserve">Die glückseligen Tage eines dauerhaften Friedens wünschet zu Anfang des 1762sten Jahres Allen Ständen, MS 661, Kapsel 1428
Die glückseligen Tage eines dauerhaften Friedens wünschet zu Anfang des 1762sten Jahres Allen Ständen,, MS 661, Kapsel 1428</t>
  </si>
  <si>
    <t xml:space="preserve">https://friedensbilder-neu.gnm.de/sites/default/files/2019-06/MS661_0.png</t>
  </si>
  <si>
    <t xml:space="preserve">Die glückseligen Tage eines dauerhaften Friedens wünschet zu Anfang des 1762sten Jahres Allen Ständen
Die glückseligen Tage eines dauerhaften Friedens wünschet zu Anfang des 1762sten Jahres Allen Ständen,</t>
  </si>
  <si>
    <t xml:space="preserve">http://friedensbilder.gnm.de/content/frieden_foto_order1f9216</t>
  </si>
  <si>
    <t xml:space="preserve">Schützenscheibe</t>
  </si>
  <si>
    <t xml:space="preserve">Schützenscheibe auf den Frieden von Rastatt</t>
  </si>
  <si>
    <t xml:space="preserve">Museum Humpis-Quartier</t>
  </si>
  <si>
    <t xml:space="preserve">Ravensburg</t>
  </si>
  <si>
    <t xml:space="preserve">OEW0149.03</t>
  </si>
  <si>
    <t xml:space="preserve">Holz</t>
  </si>
  <si>
    <t xml:space="preserve">Ausst. Kat. Rastatt 2014/2015</t>
  </si>
  <si>
    <t xml:space="preserve">S. 181, Kat.-Nr. 326</t>
  </si>
  <si>
    <t xml:space="preserve">PATRIAE MEMORIA DVLCIS
CONVENERE DVCES PRO PALMIS IVNGERE PALMAS.
</t>
  </si>
  <si>
    <t xml:space="preserve">Die Scheibe aus dem ehemaligen Besitz der&amp;nbsp;Schützengilde Ravensburg verwendet das Motiv einer Medaille auf den Frieden von Rastatt (siehe&amp;nbsp;MK20003). Lediglich die Umschrift ergänzte der Künstler um die ”Süße Erinnerung an das Vaterland“. Die Schießveranstaltung fand am 30. Juni statt, wie die Datierung am unteren Rand zeigt. Eine weitere Scheibe, die ebenfalls auf eine Friedensmedaille von 1714 zurückgeht, trägt den 13. August als Datum. Möglich, dass die beiden Scheiben anlässlich von Festen der Schützengilde oder in Zusammenhang mit dem alljährlichen Ravensburger Rutenfest entstanden.&amp;nbsp;ALS&amp;nbsp;&amp;nbsp;</t>
  </si>
  <si>
    <t xml:space="preserve">http://friedensbilder.gnm.de/sites/default/files/Museum_Humpis_88_1161_3_26_b_Schuetzenscheibe_Friede_Rastatt_1714.JPG</t>
  </si>
  <si>
    <t xml:space="preserve">Leihgabe des Zweckverbands Oberschwäbische Elektrizitätswerke </t>
  </si>
  <si>
    <t xml:space="preserve">Schützenscheibe auf den Frieden von Rastatt, OEW0149.03</t>
  </si>
  <si>
    <t xml:space="preserve">http://friedensbilder.gnm.de/content/frieden_foto_order121db9</t>
  </si>
  <si>
    <t xml:space="preserve">Medaille auf den Frieden von Hubertusburg</t>
  </si>
  <si>
    <t xml:space="preserve">Teylers Museum</t>
  </si>
  <si>
    <t xml:space="preserve">Haarlem</t>
  </si>
  <si>
    <t xml:space="preserve">TMNK 02073</t>
  </si>
  <si>
    <t xml:space="preserve">Holtzhey, Johann Georg</t>
  </si>
  <si>
    <t xml:space="preserve">Olding 2003
Van Loon Fortsetzung
Pax in Nummis 1913</t>
  </si>
  <si>
    <t xml:space="preserve">S. 267, Nr. 928
Bd. V, S. 409–410, Nr. 368
S. 147, Nr. 592</t>
  </si>
  <si>
    <t xml:space="preserve">49,1
44,39 </t>
  </si>
  <si>
    <t xml:space="preserve">I.G.HOLTZHEY.FEC.</t>
  </si>
  <si>
    <t xml:space="preserve">SVVM QVOQVE
MDCCLXIII.
ADES PAX ET TOTO MITIS IN ORBE MANE.
ALMA PACE INTER RVSSIAM ET BORVSSIAM D.5 MAJI MDCCLXII. BORVSSIAM ET SVECIAM D. 22 MAJI MDCCLXII. ANGL: FRANC: HISP. ET PORTVGAL. D.10/18 FEB.MDCCLXIII. AVSTR. BORVSS ET SAXON. D. 18 FEB. MDCCLXIII. RECONCILIATA.</t>
  </si>
  <si>
    <t xml:space="preserve">im Münzbild
im Abschnitt
zentriert</t>
  </si>
  <si>
    <t xml:space="preserve">Der Siebenjährige Krieg als Konflikt zwischen den europäischen Großmächten konnte erst durch mehrere Friedensverträge beendet werden. Auf diesen Umstand weist die Medaille des Amsterdamer Medailleurs&amp;nbsp;Johann Georg Holtzhey&amp;nbsp;hin, die die verschiedenen Akteure auf der Vorderseite zeigt. Den Grundstein legte der Frieden von St. Petersburg zwischen Preußen und Russland, weshalb sich auch das Wappen des Kaiserreichs über dem Eingang des Janustempels befindet. Darunter reichen sich&amp;nbsp;Neptun&amp;nbsp;und&amp;nbsp;Apoll&amp;nbsp;über einem brennenden Opferaltar&amp;nbsp;die Hände und versinnbildlichen damit&amp;nbsp;– in Ergänzung mit den Wappen&amp;nbsp;– den Vertrag von Paris vom 10. Februrar 1763 zwischen Frankreich, England und Spanien, dem Portugal noch am gleichen Tag beitrat.Mars, der einer Personifikation des Reiches den Weg zum Friedenstempel weist, verköpert Preußen, das beinahe an allen Friedensverträgen beteiligt war. Auf die Vielzahl der Verträge und die unterschiedlichen Allianzen bezieht sich auch die Inschrift auf der Stufe SVVM QVOQVE (Jedem das Seine).&amp;nbsp;Friedrich II.&amp;nbsp;schloss beispielsweise 1762 mit Schweden Frieden (das Wappen befindet sich an der vordersten Säule) und im Vertrag von Hubertusburg im Februar 1763 mit Sachsen und Österreich. Beide Länder rahmen die Komposition, in dem die Figur Österreichs sich zu verstecken versucht und ein Putto das Wappen Sachsens an die Außenwand des Tempels anschlägt.&amp;nbsp;Die Umschrift stammt aus dem ersten Buch der Fasti&amp;nbsp;Ovids&amp;nbsp;und schildert das Weihefest der Ara Pacis in Rom.&amp;nbsp;Eine Schraubmedaille (siehe&amp;nbsp;Med 8059)&amp;nbsp;auf den Siebenjährigen Krieg gibt in ähnlicher Weise die historischen Ereignisse und Friedensverträge wieder, die zur Beilegung des Konfliktes führten.ALS</t>
  </si>
  <si>
    <t xml:space="preserve">http://friedensbilder.gnm.de/sites/default/files/TMNK_02073_vs.jpg
http://friedensbilder.gnm.de/sites/default/files/TMNK_02073_rs.jpg</t>
  </si>
  <si>
    <t xml:space="preserve">Medaille auf den Frieden von Hubertusburg, Vorderseite , TMNK 02073
ADES PAX ET TOTO MITIS IN ORBE MANE, TMNK 02073</t>
  </si>
  <si>
    <t xml:space="preserve">Medaille auf den Frieden von Hubertusburg, Vorderseite 
ADES PAX ET TOTO MITIS IN ORBE MANE</t>
  </si>
  <si>
    <t xml:space="preserve">http://friedensbilder.gnm.de/content/frieden_foto_order120cd5</t>
  </si>
  <si>
    <t xml:space="preserve">Graphik</t>
  </si>
  <si>
    <t xml:space="preserve">Gedenkblatt auf den Frieden von Hubertusburg</t>
  </si>
  <si>
    <t xml:space="preserve">B 2410</t>
  </si>
  <si>
    <t xml:space="preserve">Im Februar 1763 schlossen August III., Maria Theresia und Friedrich II. einen Friedensvertrag, der den letzten Teilkonflikt des Siebenjährigen Krieges beendete. Die drei Monarchen halten eine Karte mit den in ihrem Besitz befindlichen Gebieten in den Händen: Sachsen, Böhmen und Schlesien. Der Rahmen darunter zeigt eine Ansicht auf den Ehrenhof von Schloss Hubertusburg (vgl.&amp;nbsp;Med 2616).ALS</t>
  </si>
  <si>
    <t xml:space="preserve">Friede von Hubertusburgden 15. Febr. 1763Prospect von HubertusburgWie lieblich sind auf den Bergen die Füße der Bothen, die da Friede verkünden. Jesai. 52,v.7.MATW</t>
  </si>
  <si>
    <t xml:space="preserve">http://friedensbilder.gnm.de/sites/default/files/df_hauptkatalog_0113144.tif</t>
  </si>
  <si>
    <t xml:space="preserve">Gedenkblatt auf den Frieden von Hubertusburg, B 2410</t>
  </si>
  <si>
    <t xml:space="preserve">http://friedensbilder.gnm.de/content/frieden_foto_order124047</t>
  </si>
  <si>
    <t xml:space="preserve">Wochentliche Nachrichten des Augspurgischen Intelligenzwesen mit Gelehrten Sachen, von Allerhand Wissenschafften und Merckwürdigkeiten aus verschiedenen Orten auf das Jahr 1749</t>
  </si>
  <si>
    <t xml:space="preserve">MS 918, Kapsel 1430</t>
  </si>
  <si>
    <t xml:space="preserve">Maschenbauer, Johann A.</t>
  </si>
  <si>
    <t xml:space="preserve">Manèal 1997</t>
  </si>
  <si>
    <t xml:space="preserve">S. 706–709</t>
  </si>
  <si>
    <t xml:space="preserve">18,5 x 14 </t>
  </si>
  <si>
    <t xml:space="preserve">J. A. E. M. inv. 
Sc. Pfr. m. </t>
  </si>
  <si>
    <t xml:space="preserve">Der Augsburgische Intelligenzzettel[fn]Zum Augsburger Intelligenzzettel siehe Künast 2001.[/fn] zählte zu den wichtigsten deutschen Periodika aufklärerischen Inhalts im 18. Jahrhundert. 1745 erstmals von&amp;nbsp;Johann Andreas Erdmann Maschenbauer&amp;nbsp;herausgegeben,&amp;nbsp;verbreitete sich das wöchentlich erscheinende Nachrichtenblatt schnell über die Grenzen des Reiches hinaus. In diese frühe Blütezeit ist der Intelligenzzettel von 1749 einzuordnen, der sich mit seinem Neujahrsgruß auf den im Oktober 1748 geschlossenen Frieden von Aachen bezieht. Der unvollständig erhaltene Intelligenzzettel enthält zudem einen Kupferstich, der&amp;nbsp;Historia&amp;nbsp;im Zentrum positioniert. In ornamentaler Rahmung reihen sich Allegorien des Wohlstands und Überflüsses um die Figur. Der Auszug ”In tenui Labor“&amp;nbsp; – Anstrengung im Kleinen – stammt aus Vergils Georgica&amp;nbsp;und lautet weiter: aber kein geringer Ruhm.[fn]Virg. georg. IV, 6: In tenui labor, at tenuis non gloria.[/fn]ALS</t>
  </si>
  <si>
    <t xml:space="preserve">An den geneigten Leser&amp;nbsp;(zu dem 1749sten Jahr-Gang.)Freund! der du mir bißher nicht ohngeneigt geschienen,Glaube ferner dich ergebenst zu bedienen,Durch diese Wochenschrifft, die schon im vierten JahrDem Publico zu gut durch mich geliefert war.Du hast mich durch die Gunst, die ich bißher gefunden,Auch in dem neuen Jahr zu neuem Danck verbunden;Und dieser wird dir nun für die Gewogenheit,Womit du mich beehrt, auch öffentlich geweiht.Wie ich mich biß daher zu deinem Dienst beflissen,So werd ich ferner mich darnach zu richten wissen.Du sollst hinfort noch mehr, als biß daher geschehn,In dieser Wochenschrift zu deinem Nutzen sehn.Der Bürger soll hier was zu seinem Vortheil kriegen,Und der Gelehrte sich nicht weniger vergnügen,Wenn ihme diese Schrift was vor die Augen stellt,Wodurch er seinen Witz vergnüglich unterhält.Was gött- und menschliche, Natur- und Völcker-Rechte,Was die Haußhaltungskunst beym menschlichen Geschlechte,Und andere Dinge mehr, davon wir Nutzen sehn,Davon soll ebenfalls Bericht genug geschehn.Und wird zu manchem sich ein Kupferstiche schicken,So sollst du ihn auch hier, geneigter Freund erblicken;Und würde auch die Zeit zu kurtz zu diesem seyn,So fände sich dafür ein netter Holzschnitt ein.So viel von dem, was wir hiemit vermelden sollen,Da wir dir unser Blat recommendiren wollen.Verbleibe ihm geneigt, wie du bißher gethan,Und blick es fernerhin mit holden Augen an.Himmel gebe nur bey diesen Friedens-Zeitenin dem neuen Jahr viel gute Neuigkeiten,Und lasse neuen Flor und neues WolergehnRegenten, Handelschafft, Kunst und Handthierung sehn!MATW</t>
  </si>
  <si>
    <t xml:space="preserve">http://friedensbilder.gnm.de/sites/default/files/MS918_1.tif
http://friedensbilder.gnm.de/sites/default/files/MS918_2.tif
http://friedensbilder.gnm.de/sites/default/files/MS918_3.tif</t>
  </si>
  <si>
    <t xml:space="preserve">Wochentliche Nachrichten des Augspurgischen Intelligenzwesen mit Gelehrten Sachen, von Allerhand Wissenschafften und Merckwürdigkeiten aus verschiedenen Orten auf das Jahr 1749., MS 918, Kapsel 1430</t>
  </si>
  <si>
    <t xml:space="preserve">Wochentliche Nachrichten des Augspurgischen Intelligenzwesen mit Gelehrten Sachen, von Allerhand Wissenschafften und Merckwürdigkeiten aus verschiedenen Orten auf das Jahr 1749.</t>
  </si>
  <si>
    <t xml:space="preserve">http://friedensbilder.gnm.de/content/frieden_foto_order2050a2</t>
  </si>
  <si>
    <t xml:space="preserve">Medaille auf den den Frieden von Oliva 1660</t>
  </si>
  <si>
    <t xml:space="preserve">Med 8017</t>
  </si>
  <si>
    <t xml:space="preserve">Stahr 1990
Bahrfeldt
Kat. Posen 2008
Corpus nummorum Gedanensis</t>
  </si>
  <si>
    <t xml:space="preserve">S. 184–185; S. 239–240, Kat.-Nr. 73
Nr. 8705
S. 73, Kat.-Nr. 63
S. 147, Nr. 359</t>
  </si>
  <si>
    <t xml:space="preserve">40
20,84</t>
  </si>
  <si>
    <t xml:space="preserve">.I.H.
I H </t>
  </si>
  <si>
    <t xml:space="preserve">links, unter Ärmel
im Abschnitt</t>
  </si>
  <si>
    <t xml:space="preserve">IOAN. CASIM. D. G. REX POL. &amp; SUEC. M. D. L. R. PRUS.
PAX AETERNA AD GEDAN: A. CICICCLX. III MAII CONDITA.</t>
  </si>
  <si>
    <t xml:space="preserve">1
1.21</t>
  </si>
  <si>
    <t xml:space="preserve">Johann Höhn schuf mehrere Medaillen anlässlich des Friedens von Oliva, jedoch nur zwei mit dem Bildnis des polnischen Königs Johann Kaismir II.&amp;nbsp;Sein Frieden stiftendes Handeln verdeutlichen die Umschriften, die hier vom ewigen Frieden (PAX AETERNA) und auf einer anderen Medaille sogar von PAX CASIMIRIANA sprechen. Letztere zeigt eine Ansicht des Klosters Oliva auf der Rückseite, wohingegen die vorliegende Medaille einen Blick über die Stadt Danzig wiedergibt. Höhn ließ beide Medaillen in hoher Auflage, sowohl in Gold als auch in Silber prägen.ALS&amp;nbsp;</t>
  </si>
  <si>
    <t xml:space="preserve">http://friedensbilder.gnm.de/sites/default/files/Med8017_vs.tif
http://friedensbilder.gnm.de/sites/default/files/Med8017_rs.tif</t>
  </si>
  <si>
    <t xml:space="preserve">Medaille auf den den Frieden von Oliva 1660, Vorderseite, Med 8017
Medaille auf den den Frieden von Oliva 1660, Rückseite, Med 8017</t>
  </si>
  <si>
    <t xml:space="preserve">Medaille auf den den Frieden von Oliva 1660, Vorderseite
Medaille auf den den Frieden von Oliva 1660, Rückseite</t>
  </si>
  <si>
    <t xml:space="preserve">http://friedensbilder.gnm.de/content/frieden_foto_order204fbc</t>
  </si>
  <si>
    <t xml:space="preserve">Medaille auf die Belagerung Wiens durch türkische Truppen 1683</t>
  </si>
  <si>
    <t xml:space="preserve">Med Merkel 4.6.1</t>
  </si>
  <si>
    <t xml:space="preserve">Bronze</t>
  </si>
  <si>
    <t xml:space="preserve">Wolrab, Johann Jakob</t>
  </si>
  <si>
    <t xml:space="preserve">Hormayr 1843
Baudez 2005</t>
  </si>
  <si>
    <t xml:space="preserve">S. 108–109, Nr. 15
S. 690</t>
  </si>
  <si>
    <t xml:space="preserve">Signatur</t>
  </si>
  <si>
    <t xml:space="preserve">H I W </t>
  </si>
  <si>
    <t xml:space="preserve">Umschrift
Inschrift
Inschrift 
Randschrift</t>
  </si>
  <si>
    <t xml:space="preserve">WANN DIESE HELDEN SIEGEN SO MUS DER TURK ERLIEGEN. HUNGARN DER FRIED VERGNUGEN
1683
IESUS
MAHUMED
WIEN DAS ADLER NEST SICH FREUT. DAS DER TURKEN HEER ZERSTREUT. DANCKE GOTT O CHRISTENHEIT
WIENN BEDENCKE GOTTES GNAD DANCKH IHM ALLZEIT FRUE U: SPATH</t>
  </si>
  <si>
    <t xml:space="preserve">Im Jahr 1683 belagerten die Türken zum zweiten Mal die habsburgische Residenzstadt Wien. Die osmanischen Truppen konnten jedoch mit Unterstützung aus dem Reich und Polen-Litauens im September vertrieben werden. Einige Mitglieder der hierfür verantwortlichen Allianz zeigt die Vorderseite der Medaille: Kaiser Leopold I., die Kurfürsten&amp;nbsp;von Bayern&amp;nbsp;und Sachsen&amp;nbsp;sowie den polnischen König&amp;nbsp;Jan III. Sobieski. Die christlichen Fürsten beten den Namen Jesu an, dem gegenüber am Boden der Name MAHUMED in Flammen aufgeht.Auf der Rückseite befindet sich eine Ansicht Wiens mit dem prominenten Turm des Stephansdoms, darüber fliegt der kaiserliche Adler mit dem Stadtwappen. Im Vordergrund sind die polnischen Truppen zu sehen, die die türkischen Belagerer in die Flucht schlagen. Obwohl die Medaille eindeutig eine Kriegsdarstellung wiedergibt, verweist der Regenbogen mit der Friedenstaube auf das Bündnis[fn]Zur Bündnispolitik siehe Ausst. Kat. Wien 1983, S. 62–72. Dort auch weitere Medaillen von Wolrab S. 133–148, allerdings nicht die hier vorliegende.[/fn] zwischen christlichen Herrschern und Gott, dem auch die Randschrift dankt: ”Wienn bedencke Gottes Gnad so er dir erwiesen hat danckh ihm allzeit frue und spath“.ALS</t>
  </si>
  <si>
    <t xml:space="preserve">http://friedensbilder.gnm.de/sites/default/files/MedMerkel4.6.1_vs.tif
http://friedensbilder.gnm.de/sites/default/files/MedMerkel4.6.1_rs.tif
http://friedensbilder.gnm.de/sites/default/files/MedMerkel4.6.1_r1.tif
http://friedensbilder.gnm.de/sites/default/files/MedMerkel4.6.1_r2.tif</t>
  </si>
  <si>
    <t xml:space="preserve">Medaille auf die Belagerung Wiens durch türkische Truppen 1683, Vorderseite, Med Merkel 4.6.1
Medaille auf die Belagerung Wiens durch türkische Truppen 1683, Rückseite, Med Merkel 4.6.1</t>
  </si>
  <si>
    <t xml:space="preserve">Medaille auf die Belagerung Wiens durch türkische Truppen 1683, Vorderseite
Medaille auf die Belagerung Wiens durch türkische Truppen 1683, Rückseite</t>
  </si>
  <si>
    <t xml:space="preserve">http://friedensbilder.gnm.de/content/frieden_foto_order204fc1</t>
  </si>
  <si>
    <t xml:space="preserve">Peace upon earth, the gift of God; and good-will to one another, the duty of men</t>
  </si>
  <si>
    <t xml:space="preserve">G.Pamph.2235(16)</t>
  </si>
  <si>
    <t xml:space="preserve">Stubs, Philip</t>
  </si>
  <si>
    <t xml:space="preserve">Printed for R. and J. Bonwick</t>
  </si>
  <si>
    <t xml:space="preserve">http://find.galegroup.com/ecco/infomark.do?contentSet=ECCOArticles&amp;docType=ECCOArticles&amp;bookId=0402606900&amp;type=getFullCitation&amp;tabID=T001&amp;prodId=ECCO&amp;docLevel=TEXT_GRAPHICS&amp;version=1.0&amp;source=library</t>
  </si>
  <si>
    <t xml:space="preserve">A sermon preparatory to the general thanksgiving, preach'd on Sunday May the 26th, 1706. In the Oratory of the Royal Hospital at Greenwich, &amp;c. On Occasion of the Glorious Successes (then commemorated by Authority) with which God was pleased to crown the Forces of Her Majesty, and Her Allies, by Land and Sea, in Brabant and Catalonia. By Ph. Stubs, one of the Chaplains to Her Majesty's Navy in Ordinary, and of Her Royal Hospital at Greenwich. Published at the Request of its Auditors</t>
  </si>
  <si>
    <t xml:space="preserve">Mei Jesu Gratia Habilitante! Friedenspredigt</t>
  </si>
  <si>
    <t xml:space="preserve">Universitätsbibliothek Greifswald</t>
  </si>
  <si>
    <t xml:space="preserve">520/Ft 256</t>
  </si>
  <si>
    <t xml:space="preserve">Hoffmann, Johann Gottlieb</t>
  </si>
  <si>
    <t xml:space="preserve">Emmerich</t>
  </si>
  <si>
    <t xml:space="preserve">an Pon Vd 1274, QK</t>
  </si>
  <si>
    <t xml:space="preserve">bey Abkündigung ... des ... Friedens zwischen Dem König in Schweden, Carolum den XII., Und Dem König und Chur-Fürsten zu Sachsen, Friedrich Augustum ... den 1. Januar ... 1707 gehalten …</t>
  </si>
  <si>
    <t xml:space="preserve">17135706X</t>
  </si>
  <si>
    <t xml:space="preserve">nicht in VD18 nachgewiesen</t>
  </si>
  <si>
    <t xml:space="preserve">Publick peace ascertain'd; with some cursory reflections upon Dr. Sacheverel's two late sermons</t>
  </si>
  <si>
    <t xml:space="preserve">Sach. 25/1(1-2)</t>
  </si>
  <si>
    <t xml:space="preserve">Chapman, Richard</t>
  </si>
  <si>
    <t xml:space="preserve">Printed for Mat. Wotton</t>
  </si>
  <si>
    <t xml:space="preserve">http://find.galegroup.com/ecco/infomark.do?contentSet=ECCOArticles&amp;docType=ECCOArticles&amp;bookId=1102701400&amp;type=getFullCitation&amp;tabID=T001&amp;prodId=ECCO&amp;docLevel=TEXT_GRAPHICS&amp;version=1.0&amp;source=libra</t>
  </si>
  <si>
    <t xml:space="preserve">In a sermon preach'd on Tuesday, Nov. 22. 1709. being the day of thanksgiving for the signal and glorious victory obtained near Mons</t>
  </si>
  <si>
    <t xml:space="preserve">2.1 Siegesfeier</t>
  </si>
  <si>
    <t xml:space="preserve">A sermon preach'd before the Queen at St. James's Chapel, on Wednesday, March 15, 1709</t>
  </si>
  <si>
    <t xml:space="preserve">Sach. 400/1</t>
  </si>
  <si>
    <t xml:space="preserve">Moss, Robert</t>
  </si>
  <si>
    <t xml:space="preserve">Printed for Richard Sare at Gray's-Inn Gate in Holborn
and Jacob Tonson at Gray's-Inn Gate next Grays-Inn Lane</t>
  </si>
  <si>
    <t xml:space="preserve">http://find.galegroup.com/ecco/infomark.do?contentSet=ECCOArticles&amp;docType=ECCOArticles&amp;bookId=1033000300&amp;type=getFullCitation&amp;tabID=T001&amp;prodId=ECCO&amp;docLevel=TEXT_GRAPHICS&amp;version=1.0&amp;source=library</t>
  </si>
  <si>
    <t xml:space="preserve">Being the day appointed by Her Majesty for a general fast and Humiliation, to be observ'd in a most Solemn and Devout Manner, for obtaining the Pardon of our Sins, and imploring God's Blessing and Assistance on the Arms of Her Majesty and Her Allies engag'd in the present War; and for Restoring and Perpetuating Peace,</t>
  </si>
  <si>
    <t xml:space="preserve">A sermon preach'd before the Honourable House of Commons, at St. Margaret's Westminster, on Wednesday, March 15. 1709</t>
  </si>
  <si>
    <t xml:space="preserve">694.g.16(3)</t>
  </si>
  <si>
    <t xml:space="preserve">Bisse, Philip</t>
  </si>
  <si>
    <t xml:space="preserve">Printed by J.B. for Jonah Bowyer at the Rose in Ludgatestreet</t>
  </si>
  <si>
    <t xml:space="preserve">http://find.galegroup.com/ecco/infomark.do?contentSet=ECCOArticles&amp;docType=ECCOArticles&amp;bookId=0225003800&amp;type=getFullCitation&amp;tabID=T001&amp;prodId=ECCO&amp;docLevel=TEXT_GRAPHICS&amp;version=1.0&amp;source=library</t>
  </si>
  <si>
    <t xml:space="preserve">A sermon preach'd at Black-Fryars, on occasion of the publick fast, January 16, 1712</t>
  </si>
  <si>
    <t xml:space="preserve">693.e.19(10)</t>
  </si>
  <si>
    <t xml:space="preserve">Wright, Samuel</t>
  </si>
  <si>
    <t xml:space="preserve">Printed for E. Matthews at the Bible in PaternosterRow</t>
  </si>
  <si>
    <t xml:space="preserve">http://find.galegroup.com/ecco/infomark.do?contentSet=ECCOArticles&amp;docType=ECCOArticles&amp;bookId=0142403200&amp;type=getFullCitation&amp;tabID=T001&amp;prodId=ECCO&amp;docLevel=TEXT_GRAPHICS&amp;version=1.0&amp;source=library</t>
  </si>
  <si>
    <t xml:space="preserve">A sermon preach'd at the parish-church of St. Martin in the Fields</t>
  </si>
  <si>
    <t xml:space="preserve">4476.ee.2(10)</t>
  </si>
  <si>
    <t xml:space="preserve">Trapp, Joseph</t>
  </si>
  <si>
    <t xml:space="preserve">The second edition; with a postscript concerning a pamphlet written against the first</t>
  </si>
  <si>
    <t xml:space="preserve">printed for Henry Clements at the HalfMoon in St Paul's ChurchYard</t>
  </si>
  <si>
    <t xml:space="preserve">http://find.galegroup.com/ecco/infomark.do?contentSet=ECCOArticles&amp;docType=ECCOArticles&amp;bookId=1078201600&amp;type=getFullCitation&amp;tabID=T001&amp;prodId=ECCO&amp;docLevel=TEXT_GRAPHICS&amp;version=1.0&amp;source=library</t>
  </si>
  <si>
    <t xml:space="preserve">January the 16th 1711. Being the day appointed by Her Majesty for the general fast: For Imploring the Blessing of Almighty God upon the Treaty of Peace now in Negotiation. By Joseph Trapp, M. A. Fellow of Wadham College in Oxford. Publish'd at the Request of several Justices of the Peace, the Church-Wardens, and other Gentlemen of the Vestry of the said Parish</t>
  </si>
  <si>
    <t xml:space="preserve">2.15 Utrecht 1712-01-16 und 1713-07-07</t>
  </si>
  <si>
    <t xml:space="preserve">A sermon, preached at the Royal Chapel at St. James's</t>
  </si>
  <si>
    <t xml:space="preserve">226.f.14</t>
  </si>
  <si>
    <t xml:space="preserve">Smalridge, George</t>
  </si>
  <si>
    <t xml:space="preserve">Printed by J. H. for Jonah Bowyer at the Rose in Ludgate Street</t>
  </si>
  <si>
    <t xml:space="preserve">http://find.galegroup.com/ecco/infomark.do?contentSet=ECCOArticles&amp;docType=ECCOArticles&amp;bookId=1082001600&amp;type=getFullCitation&amp;tabID=T001&amp;prodId=ECCO&amp;docLevel=TEXT_GRAPHICS&amp;version=1.0&amp;source=library</t>
  </si>
  <si>
    <t xml:space="preserve">On Wednesday, January the 16th. 1711</t>
  </si>
  <si>
    <t xml:space="preserve">God the author of peace</t>
  </si>
  <si>
    <t xml:space="preserve">225.h.1(3)</t>
  </si>
  <si>
    <t xml:space="preserve">Printed for George Teonge bookseller in Warwick
and sold by W. Taylor at the Ship in Pater Noster-Row</t>
  </si>
  <si>
    <t xml:space="preserve">http://find.galegroup.com/ecco/infomark.do?contentSet=ECCOArticles&amp;docType=ECCOArticles&amp;bookId=1467300300&amp;type=getFullCitation&amp;tabID=T001&amp;prodId=ECCO&amp;docLevel=TEXT_GRAPHICS&amp;version=1.0&amp;source=library</t>
  </si>
  <si>
    <t xml:space="preserve">A sermon preach'd January 16, 1711-12. In the Parish Church of St. Mary's in Warwick; being the publick fast appointed by Her Majesty's special command to be observ'd throughout England, for the imploring the blessing of God upon the treaty of peace. By Moses Hodges, D.D. vicar of St. Mary's in Warwick</t>
  </si>
  <si>
    <t xml:space="preserve">The dismal consequences of delighting in war. In a sermon preach'd on Wednesday January 16. 1711</t>
  </si>
  <si>
    <t xml:space="preserve">T.1046(1)</t>
  </si>
  <si>
    <t xml:space="preserve">Printed for and sold by J. Morphew</t>
  </si>
  <si>
    <t xml:space="preserve">http://find.galegroup.com/ecco/infomark.do?contentSet=ECCOArticles&amp;docType=ECCOArticles&amp;bookId=1516302600&amp;type=getFullCitation&amp;tabID=T001&amp;prodId=ECCO&amp;docLevel=TEXT_GRAPHICS&amp;version=1.0&amp;source=</t>
  </si>
  <si>
    <t xml:space="preserve">Pray for the peace of Jerusalem</t>
  </si>
  <si>
    <t xml:space="preserve">225.h.19(10)</t>
  </si>
  <si>
    <t xml:space="preserve">Mayo, Daniel</t>
  </si>
  <si>
    <t xml:space="preserve">Printed for John Lawrence at the Angel in the Poultry</t>
  </si>
  <si>
    <t xml:space="preserve">http://find.galegroup.com/ecco/infomark.do?contentSet=ECCOArticles&amp;docType=ECCOArticles&amp;bookId=0248100900&amp;type=getFullCitation&amp;tabID=T001&amp;prodId=ECCO&amp;docLevel=TEXT_GRAPHICS&amp;version=1.0&amp;source=library</t>
  </si>
  <si>
    <t xml:space="preserve">Being a sermon Preach'd at Kingston upon Thames on the publick fast, January 16. 1711</t>
  </si>
  <si>
    <t xml:space="preserve">Peace to Jerusalem</t>
  </si>
  <si>
    <t xml:space="preserve">225.h.1(4)</t>
  </si>
  <si>
    <t xml:space="preserve">Loveling, Benjamin</t>
  </si>
  <si>
    <t xml:space="preserve">Printed for Robert Knaplock at the Bishop'sHead in St Paul's ChurchYard,</t>
  </si>
  <si>
    <t xml:space="preserve">http://find.galegroup.com/ecco/infomark.do?contentSet=ECCOArticles&amp;docType=ECCOArticles&amp;bookId=1467300400&amp;type=getFullCitation&amp;tabID=T001&amp;prodId=ECCO&amp;docLevel=TEXT_GRAPHICS&amp;version=1.0&amp;source=librar</t>
  </si>
  <si>
    <t xml:space="preserve">A sermon preach'd at Banbury: on Wednesday, January the 16th. 1711</t>
  </si>
  <si>
    <t xml:space="preserve">God governs the world</t>
  </si>
  <si>
    <t xml:space="preserve">695.f.5(4)</t>
  </si>
  <si>
    <t xml:space="preserve">Knaggs, Thomas</t>
  </si>
  <si>
    <t xml:space="preserve">Printed for Daniel Midwinter at the Three Crowns in St Paul's ChurchYard</t>
  </si>
  <si>
    <t xml:space="preserve">http://find.galegroup.com/ecco/infomark.do?contentSet=ECCOArticles&amp;docType=ECCOArticles&amp;bookId=1169601500&amp;type=getFullCitation&amp;tabID=T001&amp;prodId=ECCO&amp;docLevel=TEXT_GRAPHICS&amp;version=1.0&amp;source=library</t>
  </si>
  <si>
    <t xml:space="preserve">A sermon preach'd at St Giles's Church in the Fields, On the 16th of January, 1711</t>
  </si>
  <si>
    <t xml:space="preserve">A sermon preach'd at the parish-church of St. James Westminster</t>
  </si>
  <si>
    <t xml:space="preserve">693.d.16(16)</t>
  </si>
  <si>
    <t xml:space="preserve">Hayley, Thomas</t>
  </si>
  <si>
    <t xml:space="preserve">Printed for Matthew Wotton at the Three Daggers in FleetStreet</t>
  </si>
  <si>
    <t xml:space="preserve">http://find.galegroup.com/ecco/infomark.do?contentSet=ECCOArticles&amp;docType=ECCOArticles&amp;bookId=0661801100&amp;type=getFullCitation&amp;tabID=T001&amp;prodId=ECCO&amp;docLevel=TEXT_GRAPHICS&amp;version=1.0&amp;source=library</t>
  </si>
  <si>
    <t xml:space="preserve">On Wednesday January 16. 1711</t>
  </si>
  <si>
    <t xml:space="preserve">The right way of obtaining a good and safe peace with our enemies</t>
  </si>
  <si>
    <t xml:space="preserve">4475.de.4(3)</t>
  </si>
  <si>
    <t xml:space="preserve">Ham, Robert</t>
  </si>
  <si>
    <t xml:space="preserve">Printed by Joseph Bliss for Philip Yeo, Bookseller, overagainst St Martin'sLane</t>
  </si>
  <si>
    <t xml:space="preserve">Exon</t>
  </si>
  <si>
    <t xml:space="preserve">http://find.galegroup.com/ecco/infomark.do?contentSet=ECCOArticles&amp;docType=ECCOArticles&amp;bookId=1190300400&amp;type=getFullCitation&amp;tabID=T001&amp;prodId=ECCO&amp;docLevel=TEXT_GRAPHICS&amp;version=1.0&amp;source=library</t>
  </si>
  <si>
    <t xml:space="preserve">Set forth in a sermon preach'd in Sandford Church, on the late fast-day, January the 16th. 1711</t>
  </si>
  <si>
    <t xml:space="preserve">A sermon on the fast-day, January the sixteenth, 1711</t>
  </si>
  <si>
    <t xml:space="preserve">4474.bb.106</t>
  </si>
  <si>
    <t xml:space="preserve">Fleetwood, William</t>
  </si>
  <si>
    <t xml:space="preserve">Printed for Samuel Buckley at the Dolphin in Little Britain</t>
  </si>
  <si>
    <t xml:space="preserve">http://find.galegroup.com/ecco/infomark.do?contentSet=ECCOArticles&amp;docType=ECCOArticles&amp;bookId=0427401300&amp;type=getFullCitation&amp;tabID=T001&amp;prodId=ECCO&amp;docLevel=TEXT_GRAPHICS&amp;version=1.0&amp;source=library</t>
  </si>
  <si>
    <t xml:space="preserve">G.Pamph.989(4)</t>
  </si>
  <si>
    <t xml:space="preserve">Eyken, Sebastian Vander</t>
  </si>
  <si>
    <t xml:space="preserve">Printed by R. Tookey for John Philips, at the Black Bull in Cornhill</t>
  </si>
  <si>
    <t xml:space="preserve">http://find.galegroup.com/ecco/infomark.do?contentSet=ECCOArticles&amp;docType=ECCOArticles&amp;bookId=1631201600&amp;type=getFullCitation&amp;tabID=T001&amp;prodId=ECCO&amp;docLevel=TEXT_GRAPHICS&amp;version=1.0&amp;source=library</t>
  </si>
  <si>
    <t xml:space="preserve">Or A sermon upon Psalm CXXII. V. 6, 7, 8, 9. preached before the Dutch congregation at the chapple-royal of St. James's: on the 16th day of January 170 11</t>
  </si>
  <si>
    <t xml:space="preserve">The way to peace</t>
  </si>
  <si>
    <t xml:space="preserve">1112.e.22(4)</t>
  </si>
  <si>
    <t xml:space="preserve">Cooke, Thomas</t>
  </si>
  <si>
    <t xml:space="preserve">Printed for Samuel Keble at the Turk's-Head in Fleetstreet and Henry Clements at the HalfMoon in St Paul'sChurchYard</t>
  </si>
  <si>
    <t xml:space="preserve">http://find.galegroup.com/ecco/infomark.do?contentSet=ECCOArticles&amp;docType=ECCOArticles&amp;bookId=0556800900&amp;type=getFullCitation&amp;tabID=T001&amp;prodId=ECCO&amp;docLevel=TEXT_GRAPHICS&amp;version=1.0&amp;source=library</t>
  </si>
  <si>
    <t xml:space="preserve">And Lamentation for the Fall of the Righteous. Two sermons On Two Fast Days; January 16. The Fast for Peace. And January 30. Being the Martyrdom of King Charles I. preach'd at Kingston in Surry. By Thomas Cooke Curate of Kingston, and Ordinary of Surry</t>
  </si>
  <si>
    <t xml:space="preserve">A sermon preach'd before the Right Honourable Sir Robert Beachcroft, Kt. Lord-Mayor, the Aldermen, and citizens of London, at the Cathedral Church of St. Paul, on Wednesday, January 16th. 1711</t>
  </si>
  <si>
    <t xml:space="preserve">225.h.11(7)</t>
  </si>
  <si>
    <t xml:space="preserve">Butler, William</t>
  </si>
  <si>
    <t xml:space="preserve">Printed by J. H. for Samuel Crouch at the Corner of PopesHeadAlley in Cornhill</t>
  </si>
  <si>
    <t xml:space="preserve">http://find.galegroup.com/ecco/infomark.do?contentSet=ECCOArticles&amp;docType=ECCOArticles&amp;bookId=1464700200&amp;type=getFullCitation&amp;tabID=T001&amp;prodId=ECCO&amp;docLevel=TEXT_GRAPHICS&amp;version=1.0&amp;source=library</t>
  </si>
  <si>
    <t xml:space="preserve">Spiritual improvement of temporal afflictions: set forth in a sermon preached at St. James's, in the chappel of His late Royal Highness Prince George of Denmark, &amp;c. of Blessed Memory, on the 16th of January 1712. Being the Day of the General Fast &amp; Humiliation. by Anthony William Boehm, Chaplain to His Late Royal Highness</t>
  </si>
  <si>
    <t xml:space="preserve">1507/835(2)</t>
  </si>
  <si>
    <t xml:space="preserve">Böhm, Anton Wilhelm</t>
  </si>
  <si>
    <t xml:space="preserve">Printed and sold by J. Downing in Bartholomew-Close near WestSmithfield</t>
  </si>
  <si>
    <t xml:space="preserve">http://find.galegroup.com/ecco/infomark.do?contentSet=ECCOArticles&amp;docType=ECCOArticles&amp;bookId=1285300200&amp;type=getFullCitation&amp;tabID=T001&amp;prodId=ECCO&amp;docLevel=TEXT_GRAPHICS&amp;version=1.0&amp;source=library</t>
  </si>
  <si>
    <t xml:space="preserve">The duty and motives of praying for peace</t>
  </si>
  <si>
    <t xml:space="preserve">T.1033(18)</t>
  </si>
  <si>
    <t xml:space="preserve">Ayerst, William</t>
  </si>
  <si>
    <t xml:space="preserve">Printed for Jonah Bowyer at the Rose in LudgateStreet</t>
  </si>
  <si>
    <t xml:space="preserve">http://find.galegroup.com/ecco/infomark.do?contentSet=ECCOArticles&amp;docType=ECCOArticles&amp;bookId=0353800100&amp;type=getFullCitation&amp;tabID=T001&amp;prodId=ECCO&amp;docLevel=TEXT_GRAPHICS&amp;version=1.0&amp;source=libra</t>
  </si>
  <si>
    <t xml:space="preserve">A sermon preach'd before their excellencies the Lord Privy Seal, and the Right Honourable Thomas, Earl of Strafford, Her Majesty's plenipotentiaries at the Congress of Utrecht. In St. John's Church, Utrecht. January 27. February 7. 1711</t>
  </si>
  <si>
    <t xml:space="preserve">A sermon preach'd in Swallow-Street, St. James's</t>
  </si>
  <si>
    <t xml:space="preserve">1475.b.29</t>
  </si>
  <si>
    <t xml:space="preserve">Anderson, James</t>
  </si>
  <si>
    <t xml:space="preserve">Printed by J. H. for J. Lawrence at the Angel in the Poultry</t>
  </si>
  <si>
    <t xml:space="preserve">http://find.galegroup.com/ecco/infomark.do?contentSet=ECCOArticles&amp;docType=ECCOArticles&amp;bookId=0582002500&amp;type=getFullCitation&amp;tabID=T001&amp;prodId=ECCO&amp;docLevel=TEXT_GRAPHICS&amp;version=1.0&amp;source=library</t>
  </si>
  <si>
    <t xml:space="preserve">On Wednesday, Jan. 16. 1711</t>
  </si>
  <si>
    <t xml:space="preserve">A sermon preach'd before the Honourable House of Commons, at the Church of St. Margaret Westminster, on Wednesday, Jan. 16. 1711</t>
  </si>
  <si>
    <t xml:space="preserve">693.e.20(9)</t>
  </si>
  <si>
    <t xml:space="preserve">Altham, Roger</t>
  </si>
  <si>
    <t xml:space="preserve">Printed for Geo. Strahan at the Golden-Ballover against the Royal Exchange, Cornhil</t>
  </si>
  <si>
    <t xml:space="preserve">http://find.galegroup.com/ecco/infomark.do?contentSet=ECCOArticles&amp;docType=ECCOArticles&amp;bookId=0142205400&amp;type=getFullCitation&amp;tabID=T001&amp;prodId=ECCO&amp;docLevel=TEXT_GRAPHICS&amp;version=1.0&amp;source=lib</t>
  </si>
  <si>
    <t xml:space="preserve">A sermon preach'd before their excellencies, the Right Honourable and Right Reverend John, Lord Bishop of Bristol, Lord Privy-Seal, and the Right Honourable Thomas, Earl of Strassord</t>
  </si>
  <si>
    <t xml:space="preserve">4476.df.2(8)</t>
  </si>
  <si>
    <t xml:space="preserve">Wyvill, John</t>
  </si>
  <si>
    <t xml:space="preserve">Printed for Tim. Child at the White hart in St. Paul's Church-yard 1713. Also sold by Hammond Banks at the Golden Key against St. Dunnan's Church in Fleet-street</t>
  </si>
  <si>
    <t xml:space="preserve">http://find.galegroup.com/ecco/infomark.do?contentSet=ECCOArticles&amp;docType=ECCOArticles&amp;bookId=1442701600&amp;type=getFullCitation&amp;tabID=T001&amp;prodId=ECCO&amp;docLevel=TEXT_GRAPHICS&amp;version=1.0&amp;source=library</t>
  </si>
  <si>
    <t xml:space="preserve">Ambassador extraordinary to the states general of the United Provinces; Her majesty's plenipotentiaries at the congress of Utrecht; upon Easter Sunday April 515 sic 1713. Being the Sunday after the signing of the General peace. By John Wyvill A.M. chaplain to the Right Honourable and Right Reverend John Lord Bishop of Bristol Lord Privy-Seal. Publish'd by their excellencies command</t>
  </si>
  <si>
    <t xml:space="preserve">1.1 Quellen
2 Friedens- und Danckfest
2.15 Utrecht 1712-01-16 und 1713-07-07</t>
  </si>
  <si>
    <t xml:space="preserve">Thankfulness for peace, the subjects duty to God's vicegerent</t>
  </si>
  <si>
    <t xml:space="preserve">Cambridge University Magdalene College</t>
  </si>
  <si>
    <t xml:space="preserve">G.4.23[8]</t>
  </si>
  <si>
    <t xml:space="preserve">Printed for R. and J. Bonwick at the RedLion in St Paul's ChurchYard</t>
  </si>
  <si>
    <t xml:space="preserve">http://find.galegroup.com/ecco/infomark.do?contentSet=ECCOArticles&amp;docType=ECCOArticles&amp;bookId=0403002100&amp;type=getFullCitation&amp;tabID=T001&amp;prodId=ECCO&amp;docLevel=TEXT_GRAPHICS&amp;version=1.0&amp;source=library</t>
  </si>
  <si>
    <t xml:space="preserve">A sermon preach'd at St. James Garlick-Hythe, London, and in the oratory of the Royal Hospital Greenwich, July 1713. On occasion of the general Thanksgiving appointed by Her Majesty for peace. By Philip Stubbs, M.A. rector of St. James Garlick-Hythe, London; and first chaplian of Her Majesty's Royal Hospital for seamen, at Greenwich</t>
  </si>
  <si>
    <t xml:space="preserve">The danger of turning again to folly</t>
  </si>
  <si>
    <t xml:space="preserve">225.h.10(6)</t>
  </si>
  <si>
    <t xml:space="preserve">Prosser, Jacob</t>
  </si>
  <si>
    <t xml:space="preserve">Printed for James Knapton at the Crown in St Paul's ChurchYard
Eb Tracy, at the ThreeBibles on LondonBridge
and James Wilkison, bookseller at Portsmouth</t>
  </si>
  <si>
    <t xml:space="preserve">http://find.galegroup.com/ecco/infomark.do?contentSet=ECCOArticles&amp;docType=ECCOArticles&amp;bookId=1470101200&amp;type=getFullCitation&amp;tabID=T001&amp;prodId=ECCO&amp;docLevel=TEXT_GRAPHICS&amp;version=1.0&amp;source=library</t>
  </si>
  <si>
    <t xml:space="preserve">A sermon preach'd at the Royal Chappel in Portsmouth, on Tuesday, July 7. 1713. Being Thanksgiving-Day for the peace, &amp;c. By Jacob Prosser, chaplain to Her Majesty's chappel-royal, and garrison of Portsmouth. Late a dissenting teacher at Maidenhead in Berks</t>
  </si>
  <si>
    <t xml:space="preserve">Peace the gift of God, but the terrour of the wicked; in a sermon preach'd on the thanksgiving for the peace, July the 7th, 1713. At the parish-church of St. Ethelburga</t>
  </si>
  <si>
    <t xml:space="preserve">4478.e.47</t>
  </si>
  <si>
    <t xml:space="preserve">Milbourne, Luke</t>
  </si>
  <si>
    <t xml:space="preserve">Printed by L. Beardwell for George Sawbridge</t>
  </si>
  <si>
    <t xml:space="preserve">http://find.galegroup.com/ecco/infomark.do?contentSet=ECCOArticles&amp;docType=ECCOArticles&amp;bookId=0297100700&amp;type=getFullCitation&amp;tabID=T001&amp;prodId=ECCO&amp;docLevel=TEXT_GRAPHICS&amp;version=1.0&amp;source=library</t>
  </si>
  <si>
    <t xml:space="preserve">Der Altar des Friedens / Welcher aus dem Buch der Richter / Cap. VI, 2 4. An dem den 14. Junii 1713. in ganz Holland celebrirten Friedens-Feste / Wegen des zwischen der Krone Frankreich / Und Denen Herren General-Staaten / Der vereinigten Niederlande / Zu Utrecht den 12. April 1713. geschlossenen Friedens / </t>
  </si>
  <si>
    <t xml:space="preserve">DD97 A 168</t>
  </si>
  <si>
    <t xml:space="preserve">Meuschen, Johann Gerhard
Sande, Johann Maximilian von</t>
  </si>
  <si>
    <t xml:space="preserve">http://resolver.sub.uni-goettingen.de/purl?PPN624808769</t>
  </si>
  <si>
    <t xml:space="preserve">In öffentlicher hochansehnlicher Kirch-Versammlunge Dem grossen GOTT zu Ehren ist auffgerichtet von JOHAN. GERHARDO MEUSCHEN,</t>
  </si>
  <si>
    <t xml:space="preserve">Pastore Seniore der Evangelischen Gemeine Ungeänderter Augsburgischer Confeßion in s'Gravenhage.</t>
  </si>
  <si>
    <t xml:space="preserve">Franckfurth am Mayn/ Bey Joh. Maximil. von Sande. 1713.</t>
  </si>
  <si>
    <t xml:space="preserve">http://friedensbilder.gnm.de/sites/default/files/DD97 A 168.jpg</t>
  </si>
  <si>
    <t xml:space="preserve">Die christlichen Friedenspredigten der Frühen Neuzeit bezogen zur Verbreitung der Friedensbotschaft an ihre Gemeinden häufig das antike Bildungsgut ein, wie es in jedem Universitätsstudium vermittelt wurde. Darunter befanden sich aber auch Friedensbilder, die auf heidnische Gottesvorstellungen Bezug nahmen, zum Beispiel das Bild der Tore des Tempels für die römische Gottheit Janus, die nur zu Friedenszeiten geschlossen werden. Dieses in der bildenden Kunst weit verbreitete Motiv wurde in den Predigten meist nur ablehnend verwendet.
Einen etwas anderen Akzent setzt der Theologe und Polyhistor Johann Gerhard Meuschen (1680–1743), Pastor der lutherischen Gemeinde in Den Haag, in seiner hier vorliegenden Predigt aus Anlass des Friedens von Utrecht am 14.6.1713. Er verweist seine Hörer darauf, dass zu allen Zeiten öffentliche Friedensfeiern üblich waren, erwähnt die alten Perser, die Inder, die Griechen und natürlich die Römer: „Es hatten auch die Römer den Tempel von Janus, der auch bey denen Römischen Friedens-Festen neben dem Tempel des Friedens ist gebraucht, nemlich also, daß des Tempels von Janus grosse, eherne Thore als ein Zeichen des Friedens sind geschlossen.“ Für den Amsterdamer Prediger war die Lehre aus diesen antiken Belegen klar. Es galt, die Praxis der Heiden im christlichen Glauben zu überbieten: „Ey, haben die unerleuchteten Heyden, Meine Allerliebsten!, ehedessen bey der Erlangung eines Friedens sich so danckbar gegen ihre falschen Götter bewiesen, haben sie denen zu Ehren deswegen eigene Feste und Danck-Tage angestellet, ja ihnen Tempel und Altäre zur schuldigen Danckbarkeit aufgerichtet … ; wieviel mehr will denn denen Christen gebühren, dergleichen zu thun gegen den wahren und lebendigen Gott, wenn derselbe ihnen nach langem Blutvergiessen die angenehme Friedens-Post lässet verkündigen …?“
HPJ
</t>
  </si>
  <si>
    <t xml:space="preserve">Der Altar des Friedens / Welcher aus dem Buch der Richter / Cap. VI, 2 4. An dem den 14. Junii 1713. in ganz Holland celebrirten Friedens-Feste / Wegen des zwischen der Krone Frankreich / Und Denen Herren General-Staaten / Der vereinigten Niederlande / Zu Utrecht den 12. April 1713. geschlossenen Friedens /, DD97 A 168</t>
  </si>
  <si>
    <t xml:space="preserve">https://friedensbilder-neu.gnm.de/sites/default/files/2019-06/DD97-A-168.png</t>
  </si>
  <si>
    <t xml:space="preserve">Der Altar des Friedens / Welcher aus dem Buch der Richter / Cap. VI, 2 4. An dem den 14. Junii 1713. in ganz Holland celebrirten Friedens-Feste / Wegen des zwischen der Krone Frankreich / Und Denen Herren General-Staaten / Der vereinigten Niederlande / Zu Utrecht den 12. April 1713. geschlossenen Friedens /</t>
  </si>
  <si>
    <t xml:space="preserve">http://friedensbilder.gnm.de/content/frieden_foto_order1a2b71</t>
  </si>
  <si>
    <t xml:space="preserve">Peace the gift of God: rest, safety, and opportunities of piety, the fruits of peace</t>
  </si>
  <si>
    <t xml:space="preserve">1568/810</t>
  </si>
  <si>
    <t xml:space="preserve">Printed by Leon. Lichfield</t>
  </si>
  <si>
    <t xml:space="preserve">http://find.galegroup.com/ecco/infomark.do?contentSet=ECCOArticles&amp;docType=ECCOArticles&amp;bookId=0456202200&amp;type=getFullCitation&amp;tabID=T001&amp;prodId=ECCO&amp;docLevel=TEXT_GRAPHICS&amp;version=1.0&amp;source=library</t>
  </si>
  <si>
    <t xml:space="preserve">A sermon preach'd at Banbury, in Oxford-shire, on Tuesday the seventh of July, 1713. It being the day of thanksgiving, appointed by Her Majesty, for a general peace. By Benjamin Loveling, M.A. vicar of Banbury. Published at the earnest request of a great many of the parishioners</t>
  </si>
  <si>
    <t xml:space="preserve">A sermon preach'd at Hazelingfield, in the county of Cambridge, on Tuesday, July 7. 1713</t>
  </si>
  <si>
    <t xml:space="preserve">4475.aaa.95</t>
  </si>
  <si>
    <t xml:space="preserve">Law, William</t>
  </si>
  <si>
    <t xml:space="preserve">Printed for Richard Thurlbourne Bookseller in Cambridge
and sold by R Knaplock at the Bishop's Head in St Paul's ChurchYard</t>
  </si>
  <si>
    <t xml:space="preserve">http://find.galegroup.com/ecco/infomark.do?contentSet=ECCOArticles&amp;docType=ECCOArticles&amp;bookId=0738800700&amp;type=getFullCitation&amp;tabID=T001&amp;prodId=ECCO&amp;docLevel=TEXT_GRAPHICS&amp;version=1.0&amp;source=library</t>
  </si>
  <si>
    <t xml:space="preserve">Being the day appointed by Her Majesty's royal proclamation for a publick thanksgiving for Her Majesty's general peace. By W. Law, M. A. Fellow of Emanuel College in Cambridge</t>
  </si>
  <si>
    <t xml:space="preserve">A sermon preach'd before both Houses of Parliament</t>
  </si>
  <si>
    <t xml:space="preserve">4473.d.12(6)</t>
  </si>
  <si>
    <t xml:space="preserve">Hooper, George</t>
  </si>
  <si>
    <t xml:space="preserve">Printed for R. K. and re-printed and sold by E. Waters in Essex-Street at the Corner of Sycamore Alley, Dublin</t>
  </si>
  <si>
    <t xml:space="preserve">London
Dublin</t>
  </si>
  <si>
    <t xml:space="preserve">http://find.galegroup.com/ecco/infomark.do?contentSet=ECCOArticles&amp;docType=ECCOArticles&amp;bookId=0311600700&amp;type=getFullCitation&amp;tabID=T001&amp;prodId=ECCO&amp;docLevel=TEXT_GRAPHICS&amp;version=1.0&amp;source=library</t>
  </si>
  <si>
    <t xml:space="preserve">On Tuesday, July 7th, 1713. being the day appointed by Her Majesty for a general thanksgiving for the peace. By the Right Reverend Father in God George Lord Bishop of Bath and Wells. Publish'd by Her Majesty's special Command</t>
  </si>
  <si>
    <t xml:space="preserve">Two sermons</t>
  </si>
  <si>
    <t xml:space="preserve">225.h.11(18)</t>
  </si>
  <si>
    <t xml:space="preserve">Hole, Matthew</t>
  </si>
  <si>
    <t xml:space="preserve">Printed for J. Morphew near StationersHall</t>
  </si>
  <si>
    <t xml:space="preserve">http://find.galegroup.com/ecco/infomark.do?contentSet=ECCOArticles&amp;docType=ECCOArticles&amp;bookId=1468600500&amp;type=getFullCitation&amp;tabID=T001&amp;prodId=ECCO&amp;docLevel=TEXT_GRAPHICS&amp;version=1.0&amp;source=library</t>
  </si>
  <si>
    <t xml:space="preserve">I. The danger of arraigning God's ministers, in the delivery of their message; and of condemning innocent persons. In a sermon preach'd upon the expiring of the sentence against Dr. Sacheverell. II. An olive-branch of peace, after a deluge of war; or, the blessings of peace compar'd with the miseries of war. In a sermon preach'd on the publick day of thanksgiving for the peace. By Matthew Hole, B.D. sometime Fellow of Exeter College in Oxon, now vicar of Stokegursy in Somersetshire, and prebendary of the Church of Wells</t>
  </si>
  <si>
    <t xml:space="preserve">A sermon preach'd in the Parish-Church of Cirencester, on Tuesday July the 7th 1713, being the thanksgiving-day for the peace</t>
  </si>
  <si>
    <t xml:space="preserve">Antiq.e.E.30(6)</t>
  </si>
  <si>
    <t xml:space="preserve">Harrison, Joseph</t>
  </si>
  <si>
    <t xml:space="preserve">Printed for James Knapton at the Crown in St Paul's ChurchYard
and John Barksdale, in Cirencester</t>
  </si>
  <si>
    <t xml:space="preserve">http://find.galegroup.com/ecco/infomark.do?contentSet=ECCOArticles&amp;docType=ECCOArticles&amp;bookId=1522600300&amp;type=getFullCitation&amp;tabID=T001&amp;prodId=ECCO&amp;docLevel=TEXT_GRAPHICS&amp;version=1.0&amp;source=library</t>
  </si>
  <si>
    <t xml:space="preserve">By Joseph Harrison, M.A. minister of that parish</t>
  </si>
  <si>
    <t xml:space="preserve">The blessedness of peacemakers</t>
  </si>
  <si>
    <t xml:space="preserve">226.h.2(10)</t>
  </si>
  <si>
    <t xml:space="preserve">Good, Thomas</t>
  </si>
  <si>
    <t xml:space="preserve">Printed by S. Bryan and sold by J. Mountfort</t>
  </si>
  <si>
    <t xml:space="preserve">Worcester</t>
  </si>
  <si>
    <t xml:space="preserve">http://find.galegroup.com/ecco/infomark.do?contentSet=ECCOArticles&amp;docType=ECCOArticles&amp;bookId=1085602200&amp;type=getFullCitation&amp;tabID=T001&amp;prodId=ECCO&amp;docLevel=TEXT_GRAPHICS&amp;version=1.0&amp;source</t>
  </si>
  <si>
    <t xml:space="preserve">A sermon Preach'd at the Parish-Church of Astley in the County of Worcester, On Tuesday, July 7th, 1713. Being the Day of Publick Thanksgiving for the Conclusion of a Just and Honourable peace between Her most Excellent Majesty the Queen of Great-Britain, and His most Christian Majesty the French king. By Thomas Good, A. M. Rector of the said Church</t>
  </si>
  <si>
    <t xml:space="preserve">The duty of peace amongst the members of the same state, civil or ecclesiastical, impartially laid down and recommended: or, How a man should behave himself, as becomes a Christian, with respect to high and low-church, whig and tory</t>
  </si>
  <si>
    <t xml:space="preserve">225.g.15(14)</t>
  </si>
  <si>
    <t xml:space="preserve">Gardiner, James</t>
  </si>
  <si>
    <t xml:space="preserve">Printed for Bernard Lintott at the Crosskeys, between the Two Temple gates in Fleet-Street</t>
  </si>
  <si>
    <t xml:space="preserve">http://find.galegroup.com/ecco/infomark.do?contentSet=ECCOArticles&amp;docType=ECCOArticles&amp;bookId=1390800800&amp;type=getFullCitation&amp;tabID=T001&amp;prodId=ECCO&amp;docLevel=TEXT_GRAPHICS&amp;version=1.0&amp;source=libra</t>
  </si>
  <si>
    <t xml:space="preserve">A sermon preached at the Cathedral Church of Lincoln; July the 7th, 1713. By James Gardiner, M.A. subdean and caanon residentiary of that church</t>
  </si>
  <si>
    <t xml:space="preserve">The blessing of peace</t>
  </si>
  <si>
    <t xml:space="preserve">225.h.11(17)</t>
  </si>
  <si>
    <t xml:space="preserve">Eyre, Richard</t>
  </si>
  <si>
    <t xml:space="preserve">Printed at the Theater for Stephen Fletcher, bookseller
and are to be sold by John Morphew near Stationers Hall, London</t>
  </si>
  <si>
    <t xml:space="preserve">http://find.galegroup.com/ecco/infomark.do?contentSet=ECCOArticles&amp;docType=ECCOArticles&amp;bookId=1464700800&amp;type=getFullCitation&amp;tabID=T001&amp;prodId=ECCO&amp;docLevel=TEXT_GRAPHICS&amp;version=1.0&amp;source=library</t>
  </si>
  <si>
    <t xml:space="preserve">A sermon preach'd at the Cathedral Church of Sarum, July 7. 1713. The day of thanksgiving for the peace. By Rich. Eyre, A.M. canon residentiary of the Church of Sarum. Publish'd at the request of the mayor and corporation of the city of New Sarum; and of the gentlemen, that heard it</t>
  </si>
  <si>
    <t xml:space="preserve">A sermon preach'd at Christ-Church, Dublin, before Their Excellences the Lords Justices of Ireland</t>
  </si>
  <si>
    <t xml:space="preserve">Oxford University Pembroke College</t>
  </si>
  <si>
    <t xml:space="preserve">MIJ[17]</t>
  </si>
  <si>
    <t xml:space="preserve">Delany, Patrick</t>
  </si>
  <si>
    <t xml:space="preserve">Printed by S. Powell for J. Hyde, bookseller in Dames-Street</t>
  </si>
  <si>
    <t xml:space="preserve">http://find.galegroup.com/ecco/infomark.do?contentSet=ECCOArticles&amp;docType=ECCOArticles&amp;bookId=1456401500&amp;type=getFullCitation&amp;tabID=T001&amp;prodId=ECCO&amp;docLevel=TEXT_GRAPHICS&amp;version=1.0&amp;source=library</t>
  </si>
  <si>
    <t xml:space="preserve">On Tuesday June the 16th, 1713. Being the day of thanksgiving for the peace. By Pat. Delany, M.A. Fellow of Trinity College, Dublin; and chaplain to the Right Honourable Sir Constantine Phipps, lord high-chancellor, and one of the lords justices of the Kingdom of Ireland. Publish'd by Their Excellencies special command</t>
  </si>
  <si>
    <t xml:space="preserve">A sermon preach'd at the parish-church of Randilo [sic], in the county of Radnor, on Tuesday the 16th day of June, being the day of publick thanksgiving for the conclusion of a just ..</t>
  </si>
  <si>
    <t xml:space="preserve">226.g.7(4)</t>
  </si>
  <si>
    <t xml:space="preserve">Davies, James</t>
  </si>
  <si>
    <t xml:space="preserve">Printed for James Wilde in Hereford</t>
  </si>
  <si>
    <t xml:space="preserve">http://find.galegroup.com/ecco/infomark.do?contentSet=ECCOArticles&amp;docType=ECCOArticles&amp;bookId=1082302500&amp;type=getFullCitation&amp;tabID=T001&amp;prodId=ECCO&amp;docLevel=TEXT_GRAPHICS&amp;version=1.0&amp;source=library</t>
  </si>
  <si>
    <t xml:space="preserve">The good of government. A sermon, preached in St. Margaret-Patton's Church in Rude-Lane, London, on Tuesday, July 7, 1713. Being the day appointed by Her Majesty for a general thanksgiving for the peace</t>
  </si>
  <si>
    <t xml:space="preserve">225.h.10(1)</t>
  </si>
  <si>
    <t xml:space="preserve">Cummings, George</t>
  </si>
  <si>
    <t xml:space="preserve">Printed for and sold by J. Morphew, near Stationer's Hall</t>
  </si>
  <si>
    <t xml:space="preserve">http://find.galegroup.com/ecco/infomark.do?contentSet=ECCOArticles&amp;docType=ECCOArticles&amp;bookId=1476800600&amp;type=getFullCitation&amp;tabID=T001&amp;prodId=ECCO&amp;docLevel=TEXT_GRAPHICS&amp;version=1.0&amp;source=librar</t>
  </si>
  <si>
    <t xml:space="preserve">A sermon preached in the Parish Church of Halifax, on Tuesday the 7th of July, 1713. Being the day appointed by Her Majesty for a publick thansgiving for the peace. By Thomas Burton, A.M. and vicar of Halifax, in the county of York</t>
  </si>
  <si>
    <t xml:space="preserve">225.h.5(3)</t>
  </si>
  <si>
    <t xml:space="preserve">Burton, Thomas</t>
  </si>
  <si>
    <t xml:space="preserve">Printed by W. Bowyer for Francis Hillyard bookseller in York</t>
  </si>
  <si>
    <t xml:space="preserve">http://find.galegroup.com/ecco/infomark.do?contentSet=ECCOArticles&amp;docType=ECCOArticles&amp;bookId=1464801800&amp;type=getFullCitation&amp;tabID=T001&amp;prodId=ECCO&amp;docLevel=TEXT_GRAPHICS&amp;version=1.0&amp;source=librar</t>
  </si>
  <si>
    <t xml:space="preserve">A sermon preach'd at Richmond in Surrey, upon July the 7th, 1713</t>
  </si>
  <si>
    <t xml:space="preserve">4473.e.21(10)</t>
  </si>
  <si>
    <t xml:space="preserve">Printed for John Wyat at the Rose in St. Paul's Church-Yard</t>
  </si>
  <si>
    <t xml:space="preserve">http://find.galegroup.com/ecco/infomark.do?contentSet=ECCOArticles&amp;docType=ECCOArticles&amp;bookId=0679201800&amp;type=getFullCitation&amp;tabID=T001&amp;prodId=ECCO&amp;docLevel=TEXT_GRAPHICS&amp;version=1.0&amp;source=library</t>
  </si>
  <si>
    <t xml:space="preserve">Being the day of thanksgiving appointed by Her Majesty for a general peace. By Nicholas Brady, D.D. Minister of Richmond in Surrey, and Chaplain in Ordinary to Her Majesty</t>
  </si>
  <si>
    <t xml:space="preserve">4473.e.32.(1*.)</t>
  </si>
  <si>
    <t xml:space="preserve">Bear, William</t>
  </si>
  <si>
    <t xml:space="preserve">Printed by Sam. Farley for Edward Score, Bookseller, overagainst the GuilaHall, in the High Street</t>
  </si>
  <si>
    <t xml:space="preserve">Exeter</t>
  </si>
  <si>
    <t xml:space="preserve">http://find.galegroup.com/ecco/infomark.do?contentSet=ECCOArticles&amp;docType=ECCOArticles&amp;bookId=1162800100&amp;type=getFullCitation&amp;tabID=T001&amp;prodId=ECCO&amp;docLevel=TEXT_GRAPHICS&amp;version=1.0&amp;source=library</t>
  </si>
  <si>
    <t xml:space="preserve">Set forth in a sermon, preached on Tuesday July the 7th, 1713. Being the Day appointed for a publick thanksgiving, For the Conclusion of a Just and Honourable Peace, between Her Most Excellent Majesty the Queen of Great-Britain, and the French King. By W. Bear, Vicar of Abbotsham, Devon</t>
  </si>
  <si>
    <t xml:space="preserve">A Fast-sermon, preach'd in a dissenting congregation in Tiverton, January 8th, 1712-13</t>
  </si>
  <si>
    <t xml:space="preserve">RB.23.a.18962</t>
  </si>
  <si>
    <t xml:space="preserve">Printed by Jos. Bliss, for Samuel Dyer, bookseller in Tiverton</t>
  </si>
  <si>
    <t xml:space="preserve">http://find.galegroup.com/ecco/infomark.do?contentSet=ECCOArticles&amp;docType=ECCOArticles&amp;bookId=1414900200&amp;type=getFullCitation&amp;tabID=T001&amp;prodId=ECCO&amp;docLevel=TEXT_GRAPHICS&amp;version=1.0&amp;source=library</t>
  </si>
  <si>
    <t xml:space="preserve">2Kön 9,22</t>
  </si>
  <si>
    <t xml:space="preserve">14, 2 S.</t>
  </si>
  <si>
    <t xml:space="preserve">On II. Kings Ch. 9. Ver. 22 What peace, so long as the whoredoms of thy Mother Jezebel and her witchecrafts are so many? </t>
  </si>
  <si>
    <t xml:space="preserve">Faithfully transcrib'd from the notes of one who writ it as preach'd and now made publick to stop the mouth of calumny and slander</t>
  </si>
  <si>
    <t xml:space="preserve">Rastadt Friede- und Freude- Ehre- und Frucht-volle Ruhe-Stadt</t>
  </si>
  <si>
    <t xml:space="preserve">305439-B</t>
  </si>
  <si>
    <t xml:space="preserve">Reiffenstuell, Ignatius</t>
  </si>
  <si>
    <t xml:space="preserve">Schlegel</t>
  </si>
  <si>
    <t xml:space="preserve">http://data.onb.ac.at/ABO/%2BZ4543340X</t>
  </si>
  <si>
    <t xml:space="preserve">Von wegen deß Zwischen Ihro Kayserl. und Catholischen ... Majestäten Dem 6. Martii lauffenden Jahrs geschlossenen Friedens-Tractat </t>
  </si>
  <si>
    <t xml:space="preserve">In offentlicher Lob- und Danck-Predig Vor der völlig Regierenden Hoff-Statt und aller hohen Gegenwart Kurtz beflissenist vorgetragen ... Dem 15. Tag April deß 1714. Jahrs</t>
  </si>
  <si>
    <t xml:space="preserve">http://friedensbilder.gnm.de/sites/default/files/00000009_1.jpg</t>
  </si>
  <si>
    <t xml:space="preserve">Die grosse Gutthat der Erlösung von der Gefangenschafft</t>
  </si>
  <si>
    <t xml:space="preserve">DD2007 A 98</t>
  </si>
  <si>
    <t xml:space="preserve">Berriman, William</t>
  </si>
  <si>
    <t xml:space="preserve">Brandmüller</t>
  </si>
  <si>
    <t xml:space="preserve">Basel</t>
  </si>
  <si>
    <t xml:space="preserve">http://resolver.sub.uni-goettingen.de/purl?PPN669134600</t>
  </si>
  <si>
    <t xml:space="preserve">Ps 102,19-21</t>
  </si>
  <si>
    <t xml:space="preserve">Gezeiget in einer Predigt, Uber die Wort des 102. Psalms, v. 19/20/21. </t>
  </si>
  <si>
    <t xml:space="preserve">Gehalten den 4. Decemb. 1721. in St. Pauls Cathedral-Kirchen in Londen, Vor den Gefangenen, Erlößt Krafft des letsteren Friedens-Tractat mit dem Käyser von Marocco. ... Deren beygefügt ein Bericht von den Englischen Sclaven. Auß dem Englischen ins Teutsche übersetzt.</t>
  </si>
  <si>
    <t xml:space="preserve">http://friedensbilder.gnm.de/sites/default/files/Berriman.jpg</t>
  </si>
  <si>
    <t xml:space="preserve">Die Königliche Davidische Aufmunterung zum Preiß und Lobe Gottes wegen erhaltenem Friede</t>
  </si>
  <si>
    <t xml:space="preserve">DD93 A 33365</t>
  </si>
  <si>
    <t xml:space="preserve">Heinold, Johann Jacob</t>
  </si>
  <si>
    <t xml:space="preserve">Pauschinger
Böll</t>
  </si>
  <si>
    <t xml:space="preserve">Straßburg
Weißenburg</t>
  </si>
  <si>
    <t xml:space="preserve">http://resolver.sub.uni-goettingen.de/purl?PPN682936782</t>
  </si>
  <si>
    <t xml:space="preserve">Ps 147,12-14</t>
  </si>
  <si>
    <t xml:space="preserve">46 S.</t>
  </si>
  <si>
    <t xml:space="preserve">Wurde bey offentlicher Friedens-Verkündigung und Dem Auf Allergnädigst Königl. Befehl abgesungenen Te Deum Laudamus In einer deßwegen über die Worte Psalm. 147. v. 12-14- Dominica Invocavit a. c. gehaltenen Predigt einer ausserordentlichen zahlreichen Versammlung vorgestellet und auf Verlangen dem Druck übergeben</t>
  </si>
  <si>
    <t xml:space="preserve">http://friedensbilder.gnm.de/sites/default/files/heinold.jpg</t>
  </si>
  <si>
    <t xml:space="preserve">Die Crone des Friedens</t>
  </si>
  <si>
    <t xml:space="preserve">Hist.Germ.D.278,12.k</t>
  </si>
  <si>
    <t xml:space="preserve">Raschke, Johann David</t>
  </si>
  <si>
    <t xml:space="preserve">Korn</t>
  </si>
  <si>
    <t xml:space="preserve">http://digital.slub-dresden.de/id330837419</t>
  </si>
  <si>
    <t xml:space="preserve">Womit der Gott des Friedens Durch Ihro Königl. Majest. in Preussen, als einen Glorreichen Friedrich Unser Stadt und Land gecrönet</t>
  </si>
  <si>
    <t xml:space="preserve">Suchte Den Achten Sonntag nach Trinit. welches war der 15. Julii An. 1742. Bey Hoch-feyerlich-celebrirten Schlesischem Friedens-Feste Nach dem dazu Aller-höchst verordnetem Texte Ps. CXLVII. 12.13.14. In der Haupt- und Pfarr-Kirchen zu St. Mar. Magdal. in Breßlau Zur Ehre Gottes Und zu ... Unsers allergnädigsten Königs und Herrn Glorwürdigstem Andencken wegen eines so glückl. und uns allen höchst-erfreul. geschlossenen Friedens In tiefster Devotion vor einer sehr volck-reichen Versammlung vorzustellen und auf Verlangen dem Druck zu überlassen</t>
  </si>
  <si>
    <t xml:space="preserve">http://friedensbilder.gnm.de/sites/default/files/Raschke.jpg</t>
  </si>
  <si>
    <t xml:space="preserve">8 TH PAST 446/72 (2)</t>
  </si>
  <si>
    <t xml:space="preserve">Formey, Jean Henri Samuel</t>
  </si>
  <si>
    <t xml:space="preserve">Michaelis</t>
  </si>
  <si>
    <t xml:space="preserve">http://resolver.sub.uni-goettingen.de/purl?PPN641305028</t>
  </si>
  <si>
    <t xml:space="preserve">Prononcé dans le Temple du Werder, le Dimanche matin, 8 Juillet 1742</t>
  </si>
  <si>
    <t xml:space="preserve">http://friedensbilder.gnm.de/sites/default/files/Formey.jpg</t>
  </si>
  <si>
    <t xml:space="preserve">Ein Dreyfaches, d.i. Krieges, Sieges, u. Friedens-Denck- und Danck-Mahl</t>
  </si>
  <si>
    <t xml:space="preserve">Rz 3253</t>
  </si>
  <si>
    <t xml:space="preserve">Einem, Johann Just von</t>
  </si>
  <si>
    <t xml:space="preserve">Vetter</t>
  </si>
  <si>
    <t xml:space="preserve">http://resolver.staatsbibliothek-berlin.de/SBB0001446400000000</t>
  </si>
  <si>
    <t xml:space="preserve"> Dem grossen Gott zum Preise und Ehren, Dem Könige in Preussen zum höchstrühmlichen Andencken, und dem Nächsten zur Erbauung gestiftet</t>
  </si>
  <si>
    <t xml:space="preserve">http://friedensbilder.gnm.de/sites/default/files/Einem.png</t>
  </si>
  <si>
    <t xml:space="preserve">Ein neu Lied, Gott zu ehren in der Höhe, Da Er Friede gegeben auf Erden</t>
  </si>
  <si>
    <t xml:space="preserve">Mb 3802 a (4)</t>
  </si>
  <si>
    <t xml:space="preserve">Burg, Johann Friedrich</t>
  </si>
  <si>
    <t xml:space="preserve">http://nbn-resolving.org/urn:nbn:de:gbv:3:1-134697</t>
  </si>
  <si>
    <t xml:space="preserve">Wurde wegen des in Breßlau den 11. Jun. 1742 geschlossenen Glorreichen Friedens zwischen Ihro Königl. Majestät in Preussen,  Unserm Allergnädigsten Könige und Herrn,  Und Der Königin in Hungarn und Böheim  Majestät, Bey dem auf den 15. Julii 1742 den 8. Sonntag nach Trinitatis in gantz Schlesien allergnädigst-angeordnete Feyerlichen Danck- und Freuden-Feste, In der Königlichen Haupt-Stadt Breßlau, Aus dem vorgeschriebenen Texte Psalm 147. v. 12. 13. 14. Der Hohen und ungemein volckreichen Evangelischen Gemeine in der Haupt-Kirche zu St. Elisabeth empfohlen</t>
  </si>
  <si>
    <t xml:space="preserve">http://friedensbilder.gnm.de/sites/default/files/1677082.jpg</t>
  </si>
  <si>
    <t xml:space="preserve">Danck- und Friedens-Predigt</t>
  </si>
  <si>
    <t xml:space="preserve">AB 152988 (17)</t>
  </si>
  <si>
    <t xml:space="preserve">Gronau, Johann Hermann
Grynäus, Jean</t>
  </si>
  <si>
    <t xml:space="preserve">http://digitale.bibliothek.uni-halle.de/vd18/content/titleinfo/5889658</t>
  </si>
  <si>
    <t xml:space="preserve">Wegen des zwischen Sr. Königl. Maj. in Preußen unserm allergnädigsten Herrn und der Königinn von Ungarn und Böhmen Majestät Glücklich getroffenen Friedens,</t>
  </si>
  <si>
    <t xml:space="preserve">Uber den allergnädigst vorgeschriebenen Text aus Psalm XXI. v. 2, 3, 4. gehalten den 8ten Julii 1742.</t>
  </si>
  <si>
    <t xml:space="preserve">Berlin, gedruckt bey Johann Grynäus.</t>
  </si>
  <si>
    <t xml:space="preserve">http://friedensbilder.gnm.de/sites/default/files/AB 152988 (17).pdf</t>
  </si>
  <si>
    <t xml:space="preserve">GND-Verknüpfung Grynäus einfügen&amp;nbsp;http://d-nb.info/gnd/135666708GND-Verknüpfung Rockensüß&amp;nbsp;http://d-nb.info/gnd/122934059Anm. Redaktion: Beide Datensätze sind nicht im eingespielten Dump enthalten.</t>
  </si>
  <si>
    <t xml:space="preserve">Danck- und Friedens-Predigt., AB 152988 (17)</t>
  </si>
  <si>
    <t xml:space="preserve">Danck- und Friedens-Predigt.</t>
  </si>
  <si>
    <t xml:space="preserve">http://friedensbilder.gnm.de/content/frieden_foto_order1a7b1b</t>
  </si>
  <si>
    <t xml:space="preserve">Die Adler-Flügel der Allmacht, Treue und Güte Gottes </t>
  </si>
  <si>
    <t xml:space="preserve">Hist.Germ.D.283.m</t>
  </si>
  <si>
    <t xml:space="preserve">Wentzelmann, Ernst</t>
  </si>
  <si>
    <t xml:space="preserve">Neumann</t>
  </si>
  <si>
    <t xml:space="preserve">Potsdam</t>
  </si>
  <si>
    <t xml:space="preserve">http://digital.slub-dresden.de/id360409970</t>
  </si>
  <si>
    <t xml:space="preserve">[4] Bl., 151 S.</t>
  </si>
  <si>
    <t xml:space="preserve">Bey Gelegenheit des, zwischen Ihro Königl. Majestät in Preussen, ... und den Höfen zu Wien und Dreßden, den 25. Decemb. 1745, zu Dreßden, glücklich geschlossenen, und gezeichneten Friedens, in einer Friedens- Dank- und Bundes-Predigt, über die Textes Worte Exodi Cap. 19, v. 4. 5. 6. </t>
  </si>
  <si>
    <t xml:space="preserve">am höchstverodneten solennen Friedens- und Dank-Fest, den 16. Januar 1746, in der Heiligen Geist Kirche zu Potsdam vorgestellet. HErnach aber, nicht so wol als eine Predigt, sondern zum feierlichen Friedens-Gedächtnis, und Denkmahl der Göttlichen Gnaden und Wunder erweitert und aufgerichtet</t>
  </si>
  <si>
    <t xml:space="preserve">http://friedensbilder.gnm.de/sites/default/files/Wentzelmann.png</t>
  </si>
  <si>
    <t xml:space="preserve">Das neue Loblied der Völker bey den neuen Wundern der gnädigen Vorsehung </t>
  </si>
  <si>
    <t xml:space="preserve">8 TH PAST 274/40 (2)</t>
  </si>
  <si>
    <t xml:space="preserve">Meene, Heinrich</t>
  </si>
  <si>
    <t xml:space="preserve">Schwan</t>
  </si>
  <si>
    <t xml:space="preserve">http://resolver.sub.uni-goettingen.de/purl?PPN722471718</t>
  </si>
  <si>
    <t xml:space="preserve">78, [12] S.</t>
  </si>
  <si>
    <t xml:space="preserve">aus Psalm. 98. 1-3 an dem im Stifte Quedlinburg den 20 Jenner 1746 gefeyerten Friedensfeste</t>
  </si>
  <si>
    <t xml:space="preserve">vorgestellet und zum Besten des Waisenhauses dem Drucke überlassen</t>
  </si>
  <si>
    <t xml:space="preserve">72247167X</t>
  </si>
  <si>
    <t xml:space="preserve">http://friedensbilder.gnm.de/sites/default/files/00000001_1.jpg</t>
  </si>
  <si>
    <t xml:space="preserve">Friedens-Predigt über Jes. Cap. 52. v. 7. wegen des am 25sten Decemb. 1745. in Dreßden zwischen Friderich, Könige von Preussen, [et]c. Maria Theresia, Römischen Kayserin, [et]c. Fridrich August, Churf. zu Sachsen, [et]c. gestiffteten und den 12ten Januar. 1746. in Berlin öffentlich bekandt gemachten Friedens</t>
  </si>
  <si>
    <t xml:space="preserve">AB 153204 (21)</t>
  </si>
  <si>
    <t xml:space="preserve">Martini, Fridrich Wilhelm</t>
  </si>
  <si>
    <t xml:space="preserve">Grynäus</t>
  </si>
  <si>
    <t xml:space="preserve">http://digitale.bibliothek.uni-halle.de/urn/urn:nbn:de:gbv:3:1-444987</t>
  </si>
  <si>
    <t xml:space="preserve">Gehalten Dom. 2. post Epiph. als den 16 Jan. 1746. Nachmitt. in der Jerusalems-Kirche auf der Friedrichstadt zu Berlin</t>
  </si>
  <si>
    <t xml:space="preserve">http://friedensbilder.gnm.de/sites/default/files/6319322.jpg</t>
  </si>
  <si>
    <t xml:space="preserve">Lob und Heil Schlesiens, worinnen Friede gelehret und Gerechtigkeit geprediget wird</t>
  </si>
  <si>
    <t xml:space="preserve">Film R 2001.281,BUWrC-0562#ab Bildnr. 618</t>
  </si>
  <si>
    <t xml:space="preserve">Liegnitz</t>
  </si>
  <si>
    <t xml:space="preserve">Biblioteka Uniwersytecka</t>
  </si>
  <si>
    <t xml:space="preserve">Wroclaw</t>
  </si>
  <si>
    <t xml:space="preserve">BUWr 509115</t>
  </si>
  <si>
    <t xml:space="preserve">Vorlage für den Mikrofilm in der BSB Münschen, noch nicht digitalisiert</t>
  </si>
  <si>
    <t xml:space="preserve">wurde in der... Dank-Predigt wegen des zwischen des Koeniges von Preussen Majestaet, eines Theils, und der Roemischen Kayserin, Koenigin von Ungarn und Boehmen Majestaet, wie auch des Koeniges von Polen und Churfuersten von Sachsen Majestaet, andern Theils, den 25. Dec. vorigen Jahres in Dresden geschlossnen Friedens... vorgestellet...</t>
  </si>
  <si>
    <t xml:space="preserve">Der den Frieden ausbreitende Friede-Fürst in seiner Kirche, und in den Reichen der Welt </t>
  </si>
  <si>
    <t xml:space="preserve">8 in: BD 8571</t>
  </si>
  <si>
    <t xml:space="preserve">Jachmann, Gottlieb</t>
  </si>
  <si>
    <t xml:space="preserve">http://resolver.staatsbibliothek-berlin.de/SBB0000941400000000</t>
  </si>
  <si>
    <t xml:space="preserve">Ist Anno 1746. den 12. Januarii, bey dem solennen Friedens-Danckfeste, aus dem vorgeschriebenen Texte, Psalm CXIIX. 23. 24. Der sehr volckreichen Gemeine zu St. Bernhardin zu erbaulicher Andacht empfohlen worden</t>
  </si>
  <si>
    <t xml:space="preserve">http://friedensbilder.gnm.de/sites/default/files/Jachmann.png</t>
  </si>
  <si>
    <t xml:space="preserve">Höchst-schuldiges Lob- und Danck-Opfer, vor den wunderbahren Frieden</t>
  </si>
  <si>
    <t xml:space="preserve">AB 152988 (9)</t>
  </si>
  <si>
    <t xml:space="preserve">Elsner, Jacob</t>
  </si>
  <si>
    <t xml:space="preserve">Lorentz</t>
  </si>
  <si>
    <t xml:space="preserve">http://digitale.bibliothek.uni-halle.de/urn/urn:nbn:de:gbv:3:1-446809</t>
  </si>
  <si>
    <t xml:space="preserve">In einer Predigt den 16. Januarii 1746. am Friedens-Fest vorgestellet</t>
  </si>
  <si>
    <t xml:space="preserve">http://friedensbilder.gnm.de/sites/default/files/Unbenannt.png</t>
  </si>
  <si>
    <t xml:space="preserve">Danck-Predigt für den von Seiner Königlichen Maiestät in Preussen Friederich dem Zweiten rühmlichst wieder hergestelten Frieden</t>
  </si>
  <si>
    <t xml:space="preserve">Hist.Germ.D.282.s</t>
  </si>
  <si>
    <t xml:space="preserve">Decker, Johann Christoph</t>
  </si>
  <si>
    <t xml:space="preserve">http://digital.slub-dresden.de/id360409075</t>
  </si>
  <si>
    <t xml:space="preserve">an dem den 16 Januar 1746 hiezu verordneten Friedens-Fest in der Garnison-Kirche zu Potsdam gehalten</t>
  </si>
  <si>
    <t xml:space="preserve">http://friedensbilder.gnm.de/sites/default/files/00000001.tif(2).jpg</t>
  </si>
  <si>
    <t xml:space="preserve">Der frohe Widerschall eines bey erschallendem Frieden ihm selbst zum Wunder gemachten Landes</t>
  </si>
  <si>
    <t xml:space="preserve">6 in: Bd 8571</t>
  </si>
  <si>
    <t xml:space="preserve">http://resolver.staatsbibliothek-berlin.de/SBB0000941000000000</t>
  </si>
  <si>
    <t xml:space="preserve">[1] Bl., 48 S.</t>
  </si>
  <si>
    <t xml:space="preserve">Wurde an dem Tage der offentlichen feyerlichen Verkündigung Des von Sr. Königlichen Majestät in Preussen, Unserm Allergnädigsten Herrn, Mit Der Römisch-Kayser- auch zu Hungarn und Böheim Königlichen Majestät, Nicht weniger mit Des Königes in Pohlen und Chur-Fürstens zu Sachsen Königlichen Majestät, Den 25. December des Jahres 1745. in Dreßden glücklich und glorreichst geschlossenen Friedens, </t>
  </si>
  <si>
    <t xml:space="preserve">Den 12. Jenner 1746. bey dem darüber in gantz Schlesien allerhöchst-angeordneten und mit innigster Freude gefeyerten Danck-Feste, In der Königl. Haupt-Stadt Breßlau aus dem dazu bestimmten Text Psalm 118, v.23. 24. Der Hohen und außerordentlich volckreichen Gemeine in der Evangel. Hauptkirche zu St. Elisabeth vorgestellt und empfohlen</t>
  </si>
  <si>
    <t xml:space="preserve">http://friedensbilder.gnm.de/sites/default/files/Burg.png</t>
  </si>
  <si>
    <t xml:space="preserve">A sermon preach'd at the parish-church of St. John's, Hackney, on Tuesday, April 25, 1749</t>
  </si>
  <si>
    <t xml:space="preserve">225.i.3(18)</t>
  </si>
  <si>
    <t xml:space="preserve">Wright, Robert</t>
  </si>
  <si>
    <t xml:space="preserve">Printed for G. Hawkins at Milton's Head, between the two Temple Gates, Fleet-Street</t>
  </si>
  <si>
    <t xml:space="preserve">http://find.galegroup.com/ecco/infomark.do?contentSet=ECCOArticles&amp;docType=ECCOArticles&amp;bookId=1085501200&amp;type=getFullCitation&amp;tabID=T001&amp;prodId=ECCO&amp;docLevel=TEXT_GRAPHICS&amp;version=1.0&amp;source=library</t>
  </si>
  <si>
    <t xml:space="preserve">Being the day appointed for a publick thanksgiving for the peace. By Robert Wright, D. D. Rector of Hackney, and Chaplain to his Royal Highness the Prince of Wales. Publish'd at the Request of the Congregation</t>
  </si>
  <si>
    <t xml:space="preserve">2.16 Aachen England 1749-04-25</t>
  </si>
  <si>
    <t xml:space="preserve">The happiness of Britain illustrated</t>
  </si>
  <si>
    <t xml:space="preserve">4475.i.2(2)</t>
  </si>
  <si>
    <t xml:space="preserve">Warden, John</t>
  </si>
  <si>
    <t xml:space="preserve">Printed by T. Lumisden and Company sold by the booksellers in Edinburgh, Glasgow and Perth</t>
  </si>
  <si>
    <t xml:space="preserve">Edinburgh</t>
  </si>
  <si>
    <t xml:space="preserve">http://find.galegroup.com/ecco/infomark.do?contentSet=ECCOArticles&amp;docType=ECCOArticles&amp;bookId=1190300700&amp;type=getFullCitation&amp;tabID=T001&amp;prodId=ECCO&amp;docLevel=TEXT_GRAPHICS&amp;version=1.0&amp;source=library</t>
  </si>
  <si>
    <t xml:space="preserve">In a sermon preached in the Old church of Perth, on the day of publick thanksgiving for the peace, April 25. 1749. By John Warden, M. A. one of the Ministers of Perth</t>
  </si>
  <si>
    <t xml:space="preserve">A sermon preached at the Parish-Church of Blechingley in Survey, on Tuesday April 25th, 1749</t>
  </si>
  <si>
    <t xml:space="preserve">225.i.19(10)</t>
  </si>
  <si>
    <t xml:space="preserve">Thomas, John</t>
  </si>
  <si>
    <t xml:space="preserve">Printed for R. Dodsley in Pall-mall and sold by M Cooper in Paternoster Row</t>
  </si>
  <si>
    <t xml:space="preserve">http://find.galegroup.com/ecco/infomark.do?contentSet=ECCOArticles&amp;docType=ECCOArticles&amp;bookId=1393301700&amp;type=getFullCitation&amp;tabID=T001&amp;prodId=ECCO&amp;docLevel=TEXT_GRAPHICS&amp;version=1.0&amp;source=library</t>
  </si>
  <si>
    <t xml:space="preserve">Being the day appointed by His Majesty for a general thanksgiving, on account of the peace. By John Thomas, L.L.D. rector of Blechingley, and chaplain in Ordinary to His Majesty</t>
  </si>
  <si>
    <t xml:space="preserve">A sermon preach'd at Little-Wild-Street on Tuesday, April 25, 1749</t>
  </si>
  <si>
    <t xml:space="preserve">4477.b.90</t>
  </si>
  <si>
    <t xml:space="preserve">Stennett, Joseph</t>
  </si>
  <si>
    <t xml:space="preserve">Printed for John Ward in Little Britain
J. Oswald, in the Poultry
and H. Whitridge, at the Royal Exchange</t>
  </si>
  <si>
    <t xml:space="preserve">http://find.galegroup.com/ecco/infomark.do?contentSet=ECCOArticles&amp;docType=ECCOArticles&amp;bookId=0322302900&amp;type=getFullCitation&amp;tabID=T001&amp;prodId=ECCO&amp;docLevel=TEXT_GRAPHICS&amp;version=1.0&amp;source=library</t>
  </si>
  <si>
    <t xml:space="preserve">Being the day appointed by His Majesty, for a general thanksgiving to Almighty God, for the peace</t>
  </si>
  <si>
    <t xml:space="preserve">A sermon preached before the Right Honourable the Lord Mayor, the Aldermen, and citizens of London, at the Cathedral Church of St. Paul, on Tuesday, April 25, 1749</t>
  </si>
  <si>
    <t xml:space="preserve">225.i.3(4)</t>
  </si>
  <si>
    <t xml:space="preserve">King, Arnold</t>
  </si>
  <si>
    <t xml:space="preserve">Printed for John Brotherton opposite the New Church, in Lombard-Street</t>
  </si>
  <si>
    <t xml:space="preserve">http://find.galegroup.com/ecco/infomark.do?contentSet=ECCOArticles&amp;docType=ECCOArticles&amp;bookId=1085501800&amp;type=getFullCitation&amp;tabID=T001&amp;prodId=ECCO&amp;docLevel=TEXT_GRAPHICS&amp;version=1.0&amp;source=library</t>
  </si>
  <si>
    <t xml:space="preserve">Being the day of thanksgiving for a general peace. By Arnold King, L. L. B. Chaplain to the Right Hon. the Lord Mayor</t>
  </si>
  <si>
    <t xml:space="preserve">The duty of thanksgiving for peace in general</t>
  </si>
  <si>
    <t xml:space="preserve">1413.e.12(19)</t>
  </si>
  <si>
    <t xml:space="preserve">Kennicott, Benjamin</t>
  </si>
  <si>
    <t xml:space="preserve">Printed for S. Birt and J. Rivington, in London
R. Clements, in Oxford
J. Leake, in Bath
and E. Score, in Exeter</t>
  </si>
  <si>
    <t xml:space="preserve">http://find.galegroup.com/ecco/infomark.do?contentSet=ECCOArticles&amp;docType=ECCOArticles&amp;bookId=0627503200&amp;type=getFullCitation&amp;tabID=T001&amp;prodId=ECCO&amp;docLevel=TEXT_GRAPHICS&amp;version=1.0&amp;source=library</t>
  </si>
  <si>
    <t xml:space="preserve">And the reasonableness of thanksgiving for our present peace. A Sermon Preach'd at St. Martin's in Oxford, before the Mayor and Corporation, On Tuesday, April 25, 1749. Being the Day of Thanksgiving for the General Peace</t>
  </si>
  <si>
    <t xml:space="preserve">The great blessing of peace and truth in our days</t>
  </si>
  <si>
    <t xml:space="preserve">695.g.5(21)</t>
  </si>
  <si>
    <t xml:space="preserve">Kennedy, Gilbert</t>
  </si>
  <si>
    <t xml:space="preserve">Printed for James Blow, John Hay, and James Magee</t>
  </si>
  <si>
    <t xml:space="preserve">Belfast</t>
  </si>
  <si>
    <t xml:space="preserve">http://find.galegroup.com/ecco/infomark.do?contentSet=ECCOArticles&amp;docType=ECCOArticles&amp;bookId=0770601300&amp;type=getFullCitation&amp;tabID=T001&amp;prodId=ECCO&amp;docLevel=TEXT_GRAPHICS&amp;version=1.0&amp;source=library</t>
  </si>
  <si>
    <t xml:space="preserve">A sermon preach'd at Belfast, on Tuesday, April 25th, 1749. Being the Day of Public Thanksgiving for the Peace. Publish'd at the Desire of some of the Hearers</t>
  </si>
  <si>
    <t xml:space="preserve">4473.f.12(2)</t>
  </si>
  <si>
    <t xml:space="preserve">Printed by James Esdall on Cork Hill</t>
  </si>
  <si>
    <t xml:space="preserve">http://find.galegroup.com/ecco/infomark.do?contentSet=ECCOArticles&amp;docType=ECCOArticles&amp;bookId=0610000200&amp;type=getFullCitation&amp;tabID=T001&amp;prodId=ECCO&amp;docLevel=TEXT_GRAPHICS&amp;version=1.0&amp;source=library</t>
  </si>
  <si>
    <t xml:space="preserve">A sermon preached at Belfast, on Tuesday, April the 25th, 1749, Being the Day of Public Thanksgiving for the Peace. Published at the Desire of some of the Hearers</t>
  </si>
  <si>
    <t xml:space="preserve">Peace attended with Reformation a complete blessing</t>
  </si>
  <si>
    <t xml:space="preserve">4474.dd.31</t>
  </si>
  <si>
    <t xml:space="preserve">Hughes, Obadiah</t>
  </si>
  <si>
    <t xml:space="preserve">Printed by James Waugh, for Richard Hett, in the Poultry
James Buckland, in Pater Noster Row
and Mrs Winbush, at Charing Cross</t>
  </si>
  <si>
    <t xml:space="preserve">http://find.galegroup.com/ecco/infomark.do?contentSet=ECCOArticles&amp;docType=ECCOArticles&amp;bookId=0563901200&amp;type=getFullCitation&amp;tabID=T001&amp;prodId=ECCO&amp;docLevel=TEXT_GRAPHICS&amp;version=1.0&amp;source=library</t>
  </si>
  <si>
    <t xml:space="preserve">A sermon Preached at the Protestant Dissenters Chapel in Long---Ditch, Wesminster. On April xxv. Being the Day appointed for a general Thanksgiving to God, on account of the Peace, signed at Aix la Chapelle, October 18, N. S. 1748</t>
  </si>
  <si>
    <t xml:space="preserve">The advantages of peace</t>
  </si>
  <si>
    <t xml:space="preserve">225.f.19(19)</t>
  </si>
  <si>
    <t xml:space="preserve">Henry, William</t>
  </si>
  <si>
    <t xml:space="preserve">Printed for John Jolliffe in St. James's-Street</t>
  </si>
  <si>
    <t xml:space="preserve">http://find.galegroup.com/ecco/infomark.do?contentSet=ECCOArticles&amp;docType=ECCOArticles&amp;bookId=0627503100&amp;type=getFullCitation&amp;tabID=T001&amp;prodId=ECCO&amp;docLevel=TEXT_GRAPHICS&amp;version=1.0&amp;source=library</t>
  </si>
  <si>
    <t xml:space="preserve">And the means to perpetuate the present peace. A sermon preached in the parish church of Urney, on the 25th day of April 1749, being the publick thanksgiving for the peace. By William Henry, M.A. Rector of Urney in the Diocese of Derry, and Chaplain to his Grace Josiah Lord Archbishop of Tuam</t>
  </si>
  <si>
    <t xml:space="preserve">The blessings and obligations arising from peace</t>
  </si>
  <si>
    <t xml:space="preserve">225.i.3(19)</t>
  </si>
  <si>
    <t xml:space="preserve">Harris, Thomas</t>
  </si>
  <si>
    <t xml:space="preserve">Printed for J. Roberts near the Oxford-Arms in Warwick-Lane</t>
  </si>
  <si>
    <t xml:space="preserve">http://find.galegroup.com/ecco/infomark.do?contentSet=ECCOArticles&amp;docType=ECCOArticles&amp;bookId=1085501300&amp;type=getFullCitation&amp;tabID=T001&amp;prodId=ECCO&amp;docLevel=TEXT_GRAPHICS&amp;version=1.0&amp;source=library</t>
  </si>
  <si>
    <t xml:space="preserve">A sermon Preach'd in the parish-church of Gravesend in Kent, On the 25th of April, 1749. Being the Day appointed for a General Thanksgiving to Almighty God, for putting an End to the late bloody and expensive War, by the Conclusion of a Just and Honourable Peace</t>
  </si>
  <si>
    <t xml:space="preserve">The desireableness of peace</t>
  </si>
  <si>
    <t xml:space="preserve">225.f.19(18)</t>
  </si>
  <si>
    <t xml:space="preserve">Fothergill, Thomas</t>
  </si>
  <si>
    <t xml:space="preserve">Printed at the Theatre for Richard Clements and sold by J. and J. Rivington in St Paul's Church-Yard, London</t>
  </si>
  <si>
    <t xml:space="preserve">And the duty of a nation upon the recovery of it. A sermon preach'd before the University of Oxford, at St. Mary's, on Tuesday, April 25. 1749. Being the Day appointed to be kept as a General Thanksgiving to Almighty God for the Peace</t>
  </si>
  <si>
    <t xml:space="preserve">A sermon preach'd in the parish church of St. Mary Woolnoth in Lombard Street, on Tuesday, April 25, 1749</t>
  </si>
  <si>
    <t xml:space="preserve">225.i.3(5)</t>
  </si>
  <si>
    <t xml:space="preserve">Finch, Robert Pool</t>
  </si>
  <si>
    <t xml:space="preserve">Printed by John Hart in Popping's Court, Fleet-Street, and sold at the pamphletshops in London and Westminster</t>
  </si>
  <si>
    <t xml:space="preserve">http://find.galegroup.com/ecco/infomark.do?contentSet=ECCOArticles&amp;docType=ECCOArticles&amp;bookId=1085501900&amp;type=getFullCitation&amp;tabID=T001&amp;prodId=ECCO&amp;docLevel=TEXT_GRAPHICS&amp;version=1.0&amp;source=library</t>
  </si>
  <si>
    <t xml:space="preserve">Being the day appointed to be observed as a general thanksgiving</t>
  </si>
  <si>
    <t xml:space="preserve">A sermon preached before the House of Lords</t>
  </si>
  <si>
    <t xml:space="preserve">225.i.19(2)</t>
  </si>
  <si>
    <t xml:space="preserve">Drummond, Robert Hay</t>
  </si>
  <si>
    <t xml:space="preserve">Printed for John and Paul Knapton at the Crown in Ludgate-Street</t>
  </si>
  <si>
    <t xml:space="preserve">http://find.galegroup.com/ecco/infomark.do?contentSet=ECCOArticles&amp;docType=ECCOArticles&amp;bookId=0142200900&amp;type=getFullCitation&amp;tabID=T001&amp;prodId=ECCO&amp;docLevel=TEXT_GRAPHICS&amp;version=1.0&amp;source=library</t>
  </si>
  <si>
    <t xml:space="preserve">In the Abbey church of Westminster, on Tuesday, April 25, 1749. Being The Day appointed by his Majesty for a General Thanksgiving for the peace</t>
  </si>
  <si>
    <t xml:space="preserve">Reflections on the conduct of divine providence in the series and conclusion of the late war</t>
  </si>
  <si>
    <t xml:space="preserve">4475.b.43</t>
  </si>
  <si>
    <t xml:space="preserve">Doddridge, Philip</t>
  </si>
  <si>
    <t xml:space="preserve">Printed and sold by J. Waugh</t>
  </si>
  <si>
    <t xml:space="preserve">http://find.galegroup.com/ecco/infomark.do?contentSet=ECCOArticles&amp;docType=ECCOArticles&amp;bookId=0451801100&amp;type=getFullCitation&amp;tabID=T001&amp;prodId=ECCO&amp;docLevel=TEXT_GRAPHICS&amp;version=1.0&amp;source=library</t>
  </si>
  <si>
    <t xml:space="preserve">A sermon preached at Northampton, April 25, 1749. Being the day appointed by his Majesty for a general thanksgiving on account of the peace concluded with France and Spain</t>
  </si>
  <si>
    <t xml:space="preserve">True patriotism</t>
  </si>
  <si>
    <t xml:space="preserve">694.h.8(5)</t>
  </si>
  <si>
    <t xml:space="preserve">Conybeare, John</t>
  </si>
  <si>
    <t xml:space="preserve">Printed for James Fletcher in the Turle, Oxford: and sold by Samuel Birt, and John and James Rivington, in London</t>
  </si>
  <si>
    <t xml:space="preserve">http://find.galegroup.com/ecco/infomark.do?contentSet=ECCOArticles&amp;docType=ECCOArticles&amp;bookId=0224602700&amp;type=getFullCitation&amp;tabID=T001&amp;prodId=ECCO&amp;docLevel=TEXT_GRAPHICS&amp;version=1.0&amp;source=libra</t>
  </si>
  <si>
    <t xml:space="preserve">A sermon preach'd before the Honourable House of Commons, at St. Margaret's Westminster, on Tuesday, April 25, 1749. Being the Day of Thanksgiving for the General Peace</t>
  </si>
  <si>
    <t xml:space="preserve">Reflections on government and loyalty</t>
  </si>
  <si>
    <t xml:space="preserve">1578/4105</t>
  </si>
  <si>
    <t xml:space="preserve">Blackburn, John</t>
  </si>
  <si>
    <t xml:space="preserve">Printed and sold by J. Waughat the Turk's Head in Lombard-Street, T. Payne, and J. Bouquet, at the White Hart in Pater Noster Row</t>
  </si>
  <si>
    <t xml:space="preserve">http://find.galegroup.com/ecco/infomark.do?contentSet=ECCOArticles&amp;docType=ECCOArticles&amp;bookId=0301800300&amp;type=getFullCitation&amp;tabID=T001&amp;prodId=ECCO&amp;docLevel=TEXT_GRAPHICS&amp;version=1.0&amp;source=library</t>
  </si>
  <si>
    <t xml:space="preserve">A sermon preached at King John's Court, April 25. 1749. being the day appointed, by Authority, for a general thanksgiving for the late happy peace. Published at the Desire of the Hearers</t>
  </si>
  <si>
    <t xml:space="preserve">A sermon preached in the new-church of Aberdeen</t>
  </si>
  <si>
    <t xml:space="preserve">4477.a.133</t>
  </si>
  <si>
    <t xml:space="preserve">Bisset, John</t>
  </si>
  <si>
    <t xml:space="preserve">Printed and sold by J. Chalmers</t>
  </si>
  <si>
    <t xml:space="preserve">Aberdeen</t>
  </si>
  <si>
    <t xml:space="preserve">http://find.galegroup.com/ecco/infomark.do?contentSet=ECCOArticles&amp;docType=ECCOArticles&amp;bookId=0371901100&amp;type=getFullCitation&amp;tabID=T001&amp;prodId=ECCO&amp;docLevel=TEXT_GRAPHICS&amp;version=1.0&amp;source=library</t>
  </si>
  <si>
    <t xml:space="preserve">Upon the twenty-fifth day of April, 1749, being the national thanksgiving for the peace concluded last year at Aix-la-Chapelle</t>
  </si>
  <si>
    <t xml:space="preserve">The harmony between justice and peace</t>
  </si>
  <si>
    <t xml:space="preserve">225.f.21(4,5)</t>
  </si>
  <si>
    <t xml:space="preserve">Bennet, Philip</t>
  </si>
  <si>
    <t xml:space="preserve">Printed by J. Bentham Printer to the University
and sold by W. Thurlbourn in Cambridge
J. Beecroft in Lombard-Street, and J. and R. Tonson and S. Draper in the Strand, London</t>
  </si>
  <si>
    <t xml:space="preserve">http://find.galegroup.com/ecco/infomark.do?contentSet=ECCOArticles&amp;docType=ECCOArticles&amp;bookId=0210100700&amp;type=getFullCitation&amp;tabID=T001&amp;prodId=ECCO&amp;docLevel=TEXT_GRAPHICS&amp;version=1.0&amp;source=library</t>
  </si>
  <si>
    <t xml:space="preserve">And the means of enjoying and perpetuating peace. Two sermons, preached before the University of Cambridge, March 16, and April 25, 1749. At the Appointment of the Right Worshipful the Vice-Chancellor</t>
  </si>
  <si>
    <t xml:space="preserve">The evil effects of war</t>
  </si>
  <si>
    <t xml:space="preserve">225.f.19.(21.)</t>
  </si>
  <si>
    <t xml:space="preserve">Ball, Nathaniel</t>
  </si>
  <si>
    <t xml:space="preserve">Printed for J. Buckland at the Buck in Pater Noster Row
and R. Lobb, Bookseller in Chelmsford</t>
  </si>
  <si>
    <t xml:space="preserve">http://find.galegroup.com/ecco/infomark.do?contentSet=ECCOArticles&amp;docType=ECCOArticles&amp;bookId=0627503300&amp;type=getFullCitation&amp;tabID=T001&amp;prodId=ECCO&amp;docLevel=TEXT_GRAPHICS&amp;version=1.0&amp;source=librar</t>
  </si>
  <si>
    <t xml:space="preserve">And the blessings of peace, represented in a sermon preached at Chelmsford, On the 25th of April, 1749. Being the Day appointed for a Public Thanksgiving, on Account of the happy Restoration of Peace</t>
  </si>
  <si>
    <t xml:space="preserve">Das Opfer Zions an dem Gedächtnißtage seines Friedens.</t>
  </si>
  <si>
    <t xml:space="preserve">DD90 A 33219 (9)</t>
  </si>
  <si>
    <t xml:space="preserve">Mylius, Ernst Friedrich
König, Conrad</t>
  </si>
  <si>
    <t xml:space="preserve">http://resolver.sub.uni-goettingen.de/purl?PPN644835516</t>
  </si>
  <si>
    <t xml:space="preserve">Eine Predigt am sieben und zwanzigsten October 1748 als dem feyerlichen Gedächtnißtage des westphälischen Friedensschlusses gehalten</t>
  </si>
  <si>
    <t xml:space="preserve">Hamburg, Gedruckt und zu bekommen bey Conrad König.</t>
  </si>
  <si>
    <t xml:space="preserve">http://friedensbilder.gnm.de/sites/default/files/DD90 A 33219 (9).pdf</t>
  </si>
  <si>
    <t xml:space="preserve">Das Opfer Zions an dem Gedächtnißtage seines Friedens., DD90 A 33219 (9)</t>
  </si>
  <si>
    <t xml:space="preserve">http://friedensbilder.gnm.de/content/frieden_foto_order1a1823</t>
  </si>
  <si>
    <t xml:space="preserve">Friedens-Predigt, welche ... bey dem solennen Danck- und Friedens-Feste Dom. 2. p. Epiph. als den 16ten Januarii 1746. in der St. Nicolai Kirche alhier über Jes. 32. v. 17. 18. gehalten</t>
  </si>
  <si>
    <t xml:space="preserve">AB 153204 (27)</t>
  </si>
  <si>
    <t xml:space="preserve">Roloff, Michael
Liersch, Balthasar</t>
  </si>
  <si>
    <t xml:space="preserve">König</t>
  </si>
  <si>
    <t xml:space="preserve">http://digitale.bibliothek.uni-halle.de/urn/urn:nbn:de:gbv:3:1-445015</t>
  </si>
  <si>
    <t xml:space="preserve">Wurde bey dem Eintritt des 1751ten Jahrs zum Druck befordert, und als ein Neu-Jahrs-Geschenck den wehrtesten Gliedern der St. Nicolai Gemeine zum gesegneten Andencken ihres in Gott ruhenden Lehrers übergeben</t>
  </si>
  <si>
    <t xml:space="preserve">http://friedensbilder.gnm.de/sites/default/files/6319407.jpg</t>
  </si>
  <si>
    <t xml:space="preserve">The loyal miscellany</t>
  </si>
  <si>
    <t xml:space="preserve">292.k.10</t>
  </si>
  <si>
    <t xml:space="preserve">Dupont, John</t>
  </si>
  <si>
    <t xml:space="preserve">Printed by T. Read in Dogwell Court, White Fryers</t>
  </si>
  <si>
    <t xml:space="preserve">http://find.galegroup.com/ecco/infomark.do?contentSet=ECCOArticles&amp;docType=ECCOArticles&amp;bookId=0801900100&amp;type=getFullCitation&amp;tabID=T001&amp;prodId=ECCO&amp;docLevel=TEXT_GRAPHICS&amp;version=1.0&amp;source=library</t>
  </si>
  <si>
    <t xml:space="preserve">Consisting of several sermons, and other tracts and essays, in prose and verse: Published in separate Pieces from the Beginning of the late Unnatural Rebellion, to the Conclusion of the present Peace</t>
  </si>
  <si>
    <t xml:space="preserve">Ein dem Herrn wohlgefälliges Jubel- und Danck-Fest, wegen erlangter Religions-Freyheit,  </t>
  </si>
  <si>
    <t xml:space="preserve">AB 131893 (2)</t>
  </si>
  <si>
    <t xml:space="preserve">Petermann, George</t>
  </si>
  <si>
    <t xml:space="preserve">Harpeter</t>
  </si>
  <si>
    <t xml:space="preserve">http://digitale.bibliothek.uni-halle.de/urn/urn:nbn:de:gbv:3:1-478896</t>
  </si>
  <si>
    <t xml:space="preserve">zum danckbahren Andencken, des vor 200. Jahren zu Augspurg den 25. Sept. 1555. geschloßenen Religions-Friedens, So auf Hohe Verordnung Jn gesamten Chur-Sächsischen Landen, den 29. Sept. 1755 gefeyert wurde</t>
  </si>
  <si>
    <t xml:space="preserve">Nebst einer Vorbereitungs-Predigt vorgestellet und auf erhaltene Conceßion dem Druck übergeben</t>
  </si>
  <si>
    <t xml:space="preserve">http://friedensbilder.gnm.de/sites/default/files/6876270.jpg</t>
  </si>
  <si>
    <t xml:space="preserve">Der Fleiß in der Heiligung als das Dankopfer der evangelischen Christen</t>
  </si>
  <si>
    <t xml:space="preserve">DD98 A 488 (2)</t>
  </si>
  <si>
    <t xml:space="preserve">Ostermeyer, Joachim Heinrich</t>
  </si>
  <si>
    <t xml:space="preserve">Green</t>
  </si>
  <si>
    <t xml:space="preserve">http://resolver.sub.uni-goettingen.de/purl?PPN625467914</t>
  </si>
  <si>
    <t xml:space="preserve">Bey dem feyerlichen Andenken des Religionsfriedens am 19ten Sonntage nach Trinitatis 1755. nach Anleitung der gewöhnlichen Epistel Ephes. IV. 22-28. der christlichen Gemeine zu Travemünde in einer Dankpredigt vorgestellet</t>
  </si>
  <si>
    <t xml:space="preserve">http://friedensbilder.gnm.de/sites/default/files/Ostermeier.jpg</t>
  </si>
  <si>
    <t xml:space="preserve">Erneuertes Hundertjähriges Denkmahl des nach vielen der Evangelischen Religion wegen entstandenen Unruhen und Blutvergiessen im heil. römischen teutschen Reiche endlich auf dem Reichs-Tage zu Augspurg den 25. Sept. 1555 geschlossenen heilsamen Religion-Friedens, und deshalb von denen Evangelischen, besonders in Sächsischen Landen, auch vormahligen Primat- und Erz-Stifft Magdeburg im Jahr Christi 1655 hochfeyerlich begangenen Jubel-Fests</t>
  </si>
  <si>
    <t xml:space="preserve">Pon Vg 6619 (1)</t>
  </si>
  <si>
    <t xml:space="preserve">Seidel und Scheidhauer</t>
  </si>
  <si>
    <t xml:space="preserve">http://digitale.bibliothek.uni-halle.de/urn/urn:nbn:de:gbv:3:1-463674</t>
  </si>
  <si>
    <t xml:space="preserve">Bestehend in einer kleinen Sammlung einiger der Zeit davon im Druck ausgegangenen jetziger Zeit aber sehr raren Stücke, als: I.) Dan. Clasens Bericht warum die hohe Obrigkeit ... ein allgemeines Jubel-Fest angestellet. II.) Augusti ... Verordnung, nach welcher ... das Religion-Friedens-Jubel-Fest ... gehalten, III.) D. Gottfr. Olearii ... Jubel-Predigt</t>
  </si>
  <si>
    <t xml:space="preserve">http://friedensbilder.gnm.de/sites/default/files/6350328.jpg</t>
  </si>
  <si>
    <t xml:space="preserve">http://friedensbilder.gnm.de/content/frieden_object154f1b</t>
  </si>
  <si>
    <t xml:space="preserve">Zions Jubel-Lied</t>
  </si>
  <si>
    <t xml:space="preserve">Bibliotheks- und Medienzentrum der Nordkirche</t>
  </si>
  <si>
    <t xml:space="preserve">Mi 3390/6</t>
  </si>
  <si>
    <t xml:space="preserve">Lüttmann, Matthias</t>
  </si>
  <si>
    <t xml:space="preserve">Spiering</t>
  </si>
  <si>
    <t xml:space="preserve">60 S.</t>
  </si>
  <si>
    <t xml:space="preserve">wegen des zweyhundertjährigen Augspurgischen und das dem Herrn geheiligte Friedens-Fest wegen des vor 100 Jahren geschlossenen Westphälischen Religions-Friedens </t>
  </si>
  <si>
    <t xml:space="preserve">in zwoen Predigten seiner Gemeine im Jahr 1755 und 1748 vorgestellet von Matthias Lüttmann, Pastore der Kirche zum heil. Geiste, und am Gasthause</t>
  </si>
  <si>
    <t xml:space="preserve">342482858 </t>
  </si>
  <si>
    <t xml:space="preserve">Jubel-Predigt</t>
  </si>
  <si>
    <t xml:space="preserve">DD96 A 211 (3)</t>
  </si>
  <si>
    <t xml:space="preserve">Löw, Johann Adam</t>
  </si>
  <si>
    <t xml:space="preserve">Reyher
Mevius</t>
  </si>
  <si>
    <t xml:space="preserve">http://resolver.sub.uni-goettingen.de/purl?PPN623860163</t>
  </si>
  <si>
    <t xml:space="preserve">welche zum Gedächtniß des am 25. September im Jahr Christi 1555. zu Augspurg geschlossenen Religions-Friedens in der Augustiner-Kirche zu Gotha gehalten</t>
  </si>
  <si>
    <t xml:space="preserve">und auf Verlangen in Druck gegeben hat</t>
  </si>
  <si>
    <t xml:space="preserve">http://friedensbilder.gnm.de/sites/default/files/Löw.jpg</t>
  </si>
  <si>
    <t xml:space="preserve">La paix sur l'Israel de Dieu</t>
  </si>
  <si>
    <t xml:space="preserve">4 Th H 2538</t>
  </si>
  <si>
    <t xml:space="preserve">Le Maitre, Jean Henri</t>
  </si>
  <si>
    <t xml:space="preserve">Poetsch</t>
  </si>
  <si>
    <t xml:space="preserve">http://reader.digitale-sammlungen.de/de/fs1/object/display/bsb11227478_00031.html</t>
  </si>
  <si>
    <t xml:space="preserve">Sermons sur le second jubilé de la Paix-de-Religion</t>
  </si>
  <si>
    <t xml:space="preserve">S. [31-58]</t>
  </si>
  <si>
    <t xml:space="preserve">sermon sur le second jubilé de la paix-de-réligion ... </t>
  </si>
  <si>
    <t xml:space="preserve">prononcé dans l'église françoise de Christian-Erlang</t>
  </si>
  <si>
    <t xml:space="preserve">http://friedensbilder.gnm.de/sites/default/files/1505315614bsb11227478.jpg</t>
  </si>
  <si>
    <t xml:space="preserve">Deutsche Fassung verzeichnet, bislang kein Digitalisat verknüpft, auch wenn angegeben, überprüfen https://gso.gbv.de/DB=1.65/PPNSET?PPN=016441494VD18 12562564</t>
  </si>
  <si>
    <t xml:space="preserve">VD18 12328510-001</t>
  </si>
  <si>
    <t xml:space="preserve">http://www.mdz-nbn-resolving.de/urn/resolver.pl?urn=urn:nbn:de:bvb:12-bsb11227478-8</t>
  </si>
  <si>
    <t xml:space="preserve">[2] Bl., 24, 28 S.</t>
  </si>
  <si>
    <t xml:space="preserve">prononcez dans l'eglise françoise de Christian-Erlang</t>
  </si>
  <si>
    <t xml:space="preserve">le 28. Sept. 1755</t>
  </si>
  <si>
    <t xml:space="preserve">http://friedensbilder.gnm.de/sites/default/files/1505315003bsb11227478.jpg</t>
  </si>
  <si>
    <t xml:space="preserve">http://friedensbilder.gnm.de/content/frieden_object12314a
http://friedensbilder.gnm.de/content/frieden_object123165</t>
  </si>
  <si>
    <t xml:space="preserve">Sermon sur le second jubilé de la paix de religion</t>
  </si>
  <si>
    <t xml:space="preserve">Hollard, Albert Aimé Louis</t>
  </si>
  <si>
    <t xml:space="preserve">http://reader.digitale-sammlungen.de/de/fs1/object/display/bsb11227478_00007.html</t>
  </si>
  <si>
    <t xml:space="preserve">1-24</t>
  </si>
  <si>
    <t xml:space="preserve">Prononcée dans l'Eglise Francoise Reformée de Christian-Erlang, la Dimanche 28. Septembre 1755. Jour solemnel d'action de graces </t>
  </si>
  <si>
    <t xml:space="preserve">http://friedensbilder.gnm.de/sites/default/files/1505315550bsb11227478.jpg</t>
  </si>
  <si>
    <t xml:space="preserve">Das dem Gott des Friedens von den Kindern des Friedens geheiligte Friedens-Fest des zweyhundertjährigen Augspurgischen Religions-Friedens </t>
  </si>
  <si>
    <t xml:space="preserve">Fl-3556</t>
  </si>
  <si>
    <t xml:space="preserve">Gedicke, Friedrich</t>
  </si>
  <si>
    <t xml:space="preserve">Birnstiel</t>
  </si>
  <si>
    <t xml:space="preserve">http://rosdok.uni-rostock.de/resolve/id/rosdok_document_0000009604</t>
  </si>
  <si>
    <t xml:space="preserve">48, XVI S.</t>
  </si>
  <si>
    <t xml:space="preserve">wurde in einer Jubel-Predigt Dom. XXI. Trin. 1755. aus Apostel-Gesch. 9, 31. vorgestellet und auf Begehr dem Druck gewiedmet </t>
  </si>
  <si>
    <t xml:space="preserve">82658232X</t>
  </si>
  <si>
    <t xml:space="preserve">http://friedensbilder.gnm.de/sites/default/files/canvas2.png</t>
  </si>
  <si>
    <t xml:space="preserve">Zwo Predigten über die verordneten Texte</t>
  </si>
  <si>
    <t xml:space="preserve">C 2865</t>
  </si>
  <si>
    <t xml:space="preserve">Franck, Henrich Jobst</t>
  </si>
  <si>
    <t xml:space="preserve">Sülau</t>
  </si>
  <si>
    <t xml:space="preserve">am Friedens-Feste, als dem XIX Sonntage nach Trinitatis, 1755, Vor- und Nachmittags, gehalten.</t>
  </si>
  <si>
    <t xml:space="preserve">Nebst einer Nachricht, wie dieses Fest in dem Herzogthum Sachsen-Lauenburg und in dem Lüneburgischen ist gefeyret worden</t>
  </si>
  <si>
    <t xml:space="preserve">MK-7779.28</t>
  </si>
  <si>
    <t xml:space="preserve">Franck, Johann Sigismund</t>
  </si>
  <si>
    <t xml:space="preserve">Fritze</t>
  </si>
  <si>
    <t xml:space="preserve">Güstrow</t>
  </si>
  <si>
    <t xml:space="preserve">http://purl.uni-rostock.de/rosdok/ppn841212783</t>
  </si>
  <si>
    <t xml:space="preserve">an dem von Ihro Hertzoglichen Durchlauchtigkeit unserm gnädigsten Landes-Fürsten und Herrn, Herrn Christian Ludewig, Hertzogen zu Mecklenburg etc. zum Andencken des Religions- und Landesfriedens, auf den 25. September 1755. höchstverordnetem Friedens- Danck-Feste, gehalten, erstlich in der Stadt, nachgehends in der Closter-Kirche zu Malchow </t>
  </si>
  <si>
    <t xml:space="preserve">http://friedensbilder.gnm.de/sites/default/files/canvas.png</t>
  </si>
  <si>
    <t xml:space="preserve">Jubel-Predigt an dem Religionsfriedens-Feste</t>
  </si>
  <si>
    <t xml:space="preserve">Cm 9880</t>
  </si>
  <si>
    <t xml:space="preserve">Bussmann, Just Friderich</t>
  </si>
  <si>
    <t xml:space="preserve">Stern</t>
  </si>
  <si>
    <t xml:space="preserve">Lüneburg</t>
  </si>
  <si>
    <t xml:space="preserve">http://resolver.staatsbibliothek-berlin.de/SBB000049A900000000</t>
  </si>
  <si>
    <t xml:space="preserve">[3] Bl., 18 S.</t>
  </si>
  <si>
    <t xml:space="preserve">welches im Jahr 1755. den 12ten October in den hiesigen Königlichen und Churfürstlichen Ländern gefeiret wurde</t>
  </si>
  <si>
    <t xml:space="preserve">http://friedensbilder.gnm.de/sites/default/files/Bußmann.png</t>
  </si>
  <si>
    <t xml:space="preserve">Der Religionsfriede als ein Beweis der ewigen und unveränderlichen Friedensgedanken Gottes über sein Volk und seine Kirche</t>
  </si>
  <si>
    <t xml:space="preserve">8 TH PAST 220/5</t>
  </si>
  <si>
    <t xml:space="preserve">Schaeffer, Jacob Christian</t>
  </si>
  <si>
    <t xml:space="preserve">Montag</t>
  </si>
  <si>
    <t xml:space="preserve">http://gdz.sub.uni-goettingen.de/index.php?id=146&amp;PID=PPN874322375</t>
  </si>
  <si>
    <t xml:space="preserve">999/4Jur.1077</t>
  </si>
  <si>
    <t xml:space="preserve">http://www.mdz-nbn-resolving.de/urn/resolver.pl?urn=urn:nbn:de:bvb:12-bsb11068244-6</t>
  </si>
  <si>
    <t xml:space="preserve">[4] Bl. 62 S.</t>
  </si>
  <si>
    <t xml:space="preserve">An dem Regensburgischen zweyten hundertjährigen Jubelfeste den 25. September 1755. in einer Nachmittagspredigt zu St. Oßwald über Jerem. XXXIII, 9. vorgestellet und ... dem Drucke überlassen</t>
  </si>
  <si>
    <t xml:space="preserve">http://friedensbilder.gnm.de/sites/default/files/1503870036bsb11068244_page2_image2.jpg</t>
  </si>
  <si>
    <t xml:space="preserve">Johann Melchior Goezens Jubel-Predigt,</t>
  </si>
  <si>
    <t xml:space="preserve">A/246885</t>
  </si>
  <si>
    <t xml:space="preserve">Verfasser
Drucker
Stecher</t>
  </si>
  <si>
    <t xml:space="preserve">Goeze, Johann Melchior
Harmsen, Diedrich Anton
Pingeling, Thomas Albrecht
Pingeling, Gottfried Christian</t>
  </si>
  <si>
    <t xml:space="preserve">http://resolver.sub.uni-hamburg.de/goobi/PPN880312467</t>
  </si>
  <si>
    <t xml:space="preserve">an dem feyerlichen Gedächtniß-Tage des vor zweyhundert Jahren geschlossenen geseegneten Religions-Friedens, </t>
  </si>
  <si>
    <t xml:space="preserve">am 18 Sonntage nach Trinitatis 1755 gehalten, womit derselbe zugleich auf erhaltenen Ruf, zum Pastorat an die Katharinen Kirche nach Hamburg, sein bisheriges Amt, als Pastor an der Gemeine zum Heiligen Geist in Magdeburg, niedergeleget.</t>
  </si>
  <si>
    <t xml:space="preserve">Verlagsadresse
mit zusätzlicher Abbreviatur</t>
  </si>
  <si>
    <t xml:space="preserve">Hamburg, gedruckt und zu bekommen bey Diderich Anton Harmsen, auf den Holenweg. 
Hamb: Pingeling et Fil: del: et fc: 1756.</t>
  </si>
  <si>
    <t xml:space="preserve">http://friedensbilder.gnm.de/sites/default/files/A_246885_0.jpg</t>
  </si>
  <si>
    <t xml:space="preserve">Johann Melchior Goeze (1717–1786), der spätere Hamburger Hauptpastor und Kontrahent Lessings, nimmt mit der Predigt aus Anlass des zweihundertsten Jahrestags des Augsburger Religionsfriedens von seiner Gemeinde in Magdeburg Abschied.&amp;nbsp;Kurz vor Ausbruch des Siebenjährigen Kriegs interpretiert er in seiner Jubiläumspredigt den Religionsfrieden nicht nur als Beendigung des Kriegs zwischen Kaiser und Schmalkaldischen Bund, sondern in einer grundsätzlichen Perspektive als Erhaltung der evangelischen Kirche und Grundlegung der Glaubensfreiheit: „Dadurch erhielt die evangelische Kirche in Deutschland, völlige Gewissensfreiheit, und das Recht, öffentlich und ungehindert, ihrem Gott nach der Vorschrift seines Wortes zu dienen“.Natürlich verweist Goeze auf das Schicksal Magdeburgs im Dreißigjährigen Krieg, malt allerdings die Zerstörung nicht besonders aus, sondern betont die baldige Wiederherstellung als evangelische Stadt, die in der Gegenwart wieder Gewissensfreiheit genieße: „Wir leben unter dem Szepter eines Monarchen [sc. Friedrich II. von Preußen], welcher allen Gewissenszwang auf das äußerste verabscheuet und die evangelische Lutherische Kirche, in seinen Landen, auf keine Art beunruhigen lässet.“Großes Gewicht legt er im zweiten Teil seiner Predigt auf die religiösen Pflichten der Gläubigen, die aus dem göttlichen Geschenk des Friedens erwachsen: Ausgiebig kritisiert er diejenigen, die Gottes Güte und Treue „so schnöde verachten“ und „so schändlich von sich stoßen.“ Wahre Christen sollten Gott vertrauen, auf ihn hoffen und auf ihn harren. Letzteres erläutert Goeze wieder mit dem Beispiel Magdeburgs, diesmal in der Zeit nach Luthers Tod: „Und wie freundlich war der Herr den Seelen, die auf Ihn harreten? Magdeburg wurde von seiner schweren und langen Belagerung befreyet, und erhielt eine neue Bestätigung seiner Freyheiten, die … heldenmüthigen Bekenner des Evangelli, wurden aus ihren Banden los gemacht: von dem güldenen Religionsfrieden erschien zu Passau die Morgenröthe, und endlich ging nach drei Jahren, die Friedenssonne zu Augsburg, in vollem Glanze auf.“ So schreibt er Magdeburg unmittelbar in die Geschichte des Augsburger Relgionsfriedens ein.HPJ</t>
  </si>
  <si>
    <t xml:space="preserve">Johann Melchior Goezens Jubel-Predigt,, A/246885</t>
  </si>
  <si>
    <t xml:space="preserve">https://friedensbilder-neu.gnm.de/sites/default/files/2019-06/A_246885.png</t>
  </si>
  <si>
    <t xml:space="preserve">http://friedensbilder.gnm.de/content/frieden_foto_order1b4002</t>
  </si>
  <si>
    <t xml:space="preserve">Die geheiligten Pflichten treuer Bekenner der evangelischen Wahrheit bey dem aeuserlichen Frieden der Kirche</t>
  </si>
  <si>
    <t xml:space="preserve">Film R 2001.281,BUWrC-0475#ab Bildnr. 140</t>
  </si>
  <si>
    <t xml:space="preserve">Doering, Kaspar</t>
  </si>
  <si>
    <t xml:space="preserve">Schillen</t>
  </si>
  <si>
    <t xml:space="preserve">Lauban</t>
  </si>
  <si>
    <t xml:space="preserve">Bibliothek des evangelischen Predigerseminars</t>
  </si>
  <si>
    <t xml:space="preserve">Lutherstadt Wittenberg</t>
  </si>
  <si>
    <t xml:space="preserve">151/10</t>
  </si>
  <si>
    <t xml:space="preserve">Eine Jubelpredigt welche bey dem feyerlichen Andenken des vor zweyhundert Jahren zu Augsburg gluecklich geschlossnen Religionsfriedens den 29 des Herbstmonaths 1755 vor der niederwisaischen Kirchgemeinde gehalten wurde</t>
  </si>
  <si>
    <t xml:space="preserve">Die Friedens-Gedancken Gottes über sein Volck zur Zeit des Krieges</t>
  </si>
  <si>
    <t xml:space="preserve">Cob 11.452</t>
  </si>
  <si>
    <t xml:space="preserve">Fischer, Erdmann Rudolph</t>
  </si>
  <si>
    <t xml:space="preserve">Otto</t>
  </si>
  <si>
    <t xml:space="preserve">12636002-001</t>
  </si>
  <si>
    <t xml:space="preserve">Stellete an dem jährlichen Friedens-Fest aus Jerem. XXXIII. v. 6. 7. in der zu St. Moritz in Coburg gehaltenen Ambts-Predigt vor</t>
  </si>
  <si>
    <t xml:space="preserve">Herrn J. E. Roques ... Predigt an dem den 12ten März 1758 </t>
  </si>
  <si>
    <t xml:space="preserve">Fl-3122</t>
  </si>
  <si>
    <t xml:space="preserve">Rautenberg, Christian Günther
Roques de Maumont, Jacques Emmanuel</t>
  </si>
  <si>
    <t xml:space="preserve">Schulze</t>
  </si>
  <si>
    <t xml:space="preserve">Zelle</t>
  </si>
  <si>
    <t xml:space="preserve">63 S.</t>
  </si>
  <si>
    <t xml:space="preserve">wegen des Rückzuges der französischen Truppen gefeyerten ersten Dankfeste</t>
  </si>
  <si>
    <t xml:space="preserve">Gehalten in der französischen Kirche zu Zelle aus dem französischen übersetzt. Nebst einem Gedichte bey Gelegenheit des den 16ten April 1758 gefeyerten andern Dankfestes</t>
  </si>
  <si>
    <t xml:space="preserve">A thanksgiving sermon, for the important and astonishing victory obtain'd on the fifth of December, 1757</t>
  </si>
  <si>
    <t xml:space="preserve">Boston Public Library</t>
  </si>
  <si>
    <t xml:space="preserve">Boston</t>
  </si>
  <si>
    <t xml:space="preserve">XH.86.758F</t>
  </si>
  <si>
    <t xml:space="preserve">Fränkel, David Hirschel
Green, John
Russell, Joseph</t>
  </si>
  <si>
    <t xml:space="preserve">Reprinted and sold by Green and Russell, at their printingoffice in Queen Street</t>
  </si>
  <si>
    <t xml:space="preserve">London
Boston</t>
  </si>
  <si>
    <t xml:space="preserve">http://find.galegroup.com/ecco/infomark.do?contentSet=ECCOArticles&amp;docType=ECCOArticles&amp;bookId=1385601100&amp;type=getFullCitation&amp;tabID=T001&amp;prodId=ECCO&amp;docLevel=TEXT_GRAPHICS&amp;version=1.0&amp;source=library</t>
  </si>
  <si>
    <t xml:space="preserve">By The glorious King of Prussia, over the united, and far superior forces of the Austrians in Silesia: preach'd on the Sabbath of the tenth of said month at the synagogue of the Jews, in Berlin. By David Hirchel Franckel, Arch-Rabbi. Translated from the German original, printed at Berlin</t>
  </si>
  <si>
    <t xml:space="preserve">Dankpredigt über den grossen und herrlichen Sieg, </t>
  </si>
  <si>
    <t xml:space="preserve">4 .479#Beibd.12</t>
  </si>
  <si>
    <t xml:space="preserve">Verfasser
Drucker
Übersetzer</t>
  </si>
  <si>
    <t xml:space="preserve">Fränkel, David Hirschel
Tetzschner, Johann Karl
Mendelssohn, Moses</t>
  </si>
  <si>
    <t xml:space="preserve">http://reader.digitale-sammlungen.de/resolve/display/bsb10637547.html</t>
  </si>
  <si>
    <t xml:space="preserve">Welchen Se. Majestät unser allerweiseste König Den 5. December 1757. über die gesammte und weit überlegene Macht der Oesterreichischen Krieges-Völker bey Leuthen in Schlesien erfochten.</t>
  </si>
  <si>
    <t xml:space="preserve">Gehalten am Sabbath, den 10ten desselben Monaths in der Synagoge der Juden-Gemeine in Berlin</t>
  </si>
  <si>
    <t xml:space="preserve">In Commißion zu finden in Erlangen bey Johann Carl Tetzschnern, Buchdr. 1758.</t>
  </si>
  <si>
    <t xml:space="preserve">Für einen Frankfurter Nachdruck des Berliner Originals siehe&amp;nbsp;AB 43 14/k, 3 (14) (1).</t>
  </si>
  <si>
    <t xml:space="preserve">Signatur mit Rautenzeichen so korrekt (Nachfrage bei der BSB).</t>
  </si>
  <si>
    <t xml:space="preserve">http://friedensbilder.gnm.de/sites/default/files/Fränckel.jpg</t>
  </si>
  <si>
    <t xml:space="preserve">AB 43 14/k, 3 (14) (1)</t>
  </si>
  <si>
    <t xml:space="preserve">weitere Ausgabe</t>
  </si>
  <si>
    <t xml:space="preserve">http://friedensbilder.gnm.de/content/frieden_object123294</t>
  </si>
  <si>
    <t xml:space="preserve">http://friedensbilder.gnm.de/content/frieden_foto_order1a496e</t>
  </si>
  <si>
    <t xml:space="preserve">Dankpredigt ueber den großen und herrlichen Sieg</t>
  </si>
  <si>
    <t xml:space="preserve">Verfasser
Verleger
Übersetzer</t>
  </si>
  <si>
    <t xml:space="preserve">Fränkel, David Hirschel
Stock, Johann Adolph
Schilling, Johann Gottfried
Mendelssohn, Moses</t>
  </si>
  <si>
    <t xml:space="preserve">Stock Erben</t>
  </si>
  <si>
    <t xml:space="preserve">http://nbn-resolving.org/urn:nbn:de:gbv:3:1-309516</t>
  </si>
  <si>
    <t xml:space="preserve">Band mit Predigten anlässlich des preußischen Sieges bei Leuthen 1757</t>
  </si>
  <si>
    <t xml:space="preserve">S. 1–16</t>
  </si>
  <si>
    <t xml:space="preserve">Welchen Se. Majestät unser allerweiseste König Den 5. December 1757. Ueber die gesammte und weit überlegene Macht der Oesterreichischen Kriegesvölker bey Leuthen in Schlesien erfochten.</t>
  </si>
  <si>
    <t xml:space="preserve">Gehalten am Sabbath / den 10ten desselben Monaths in der Synagoge der hiesigen Judengemeine von David Hirschel Fränckel Ober-Land-Rabiner. Ins Deutsche übersetzt nach dem zu Berlin in der königl. Preußischen Hof-Buchdruckery gedruckten Original.</t>
  </si>
  <si>
    <t xml:space="preserve">In Commißion zu finden in Frankfurt bey Stocks Erben Schilling und Weber 1758.</t>
  </si>
  <si>
    <t xml:space="preserve">Schon nach den siegreichen Schlachten in den ersten beiden Jahren des Siebenjährigen Kriegs wurden in der Berliner Synagoge durch den Oberrabbiner David Hirschel Fränkel Dankpredigten gehalten, die anschließend im Druck erschienen. In der vorliegenden Predigt nach dem Sieg Friedrichs II. in der Schlacht bei Leuthen in Schlesien am 5.12.1757 feiert der Prediger ihn als "vielgeliebten Monarchen", rühmt seinen Heldenmut und seine Friedensliebe, die ihn nur aus Notwehr solche Schlachten führen lasse. Gleichwohl betont Fränkel, dass Kriegsglück und Sieg nur als Wirken Gottes verstanden werden können, und mahnt, keine Freude über den Tod der Feinde zu zeigen:&amp;nbsp;&amp;nbsp;"Wir sind alle Kinder des einzigen lebendigen Gottes. Auch diejenige, die sich unsere Feinde nennen, sind das Werk seiner Hände und lieben und fürchten ihn. Wir würden sie lieben wie unsere Brüder, wenn sie nicht von einer verkehrten Leidenschafft verführt worden wären, die Ruhe unseres vielgeliebten Monarchen zu stöhren. Wollen wir also jauchzen, wollen wir uns einer milden ungezähmten Freude überlassen, wenn das Werk der Hände Gottes untergehet?" In der Auslegung von 1. Mose 14 setzt Fränkel Friedrich II. mit Abraham gleich.&amp;nbsp;Die Auslegung belegt das Bemühen der Berliner Synagogengemeinde, sich als loyale Untertanen des preußischen Königs zu präsentieren. Die vorliegende&amp;nbsp;Predigt wurde nicht, wie lange angenommen, von Moses Mendelssohn verfasst, sondern lediglich von ihm&amp;nbsp;aus dem Hebräischen übersetzt.1&amp;nbsp;Sie ist damit ein sehr früher Beleg für den deutschsprachigen&amp;nbsp;Druck jüdischer Predigten.2&amp;nbsp;Basierend auf dem Berliner Exemplar&amp;nbsp;erschienen weitere Ausgaben in Frankfurt am Main, Erlangen sowie&amp;nbsp;in englischer Sprache in London und Boston (MA). Eine deutschsprachige Ausgabe in&amp;nbsp;Philadelphia (PA)&amp;nbsp;erweist sich als Rückübersetzung der Londoner Ausgabe.3
HPJ
&amp;nbsp;
	1.Vgl. Gad Freudenthal: Rabbi David Fränckel, Moses Mendelssohn, and the Beginning of the Berlin Haskalah: Reattributing a Patriotic Sermon (1757), in: European Journal of Jewish Studies 1 (2007), S. 3–33
	2.Nach Alexander Altmann: Moses Mendelssohn. A Biographical Study, Alabama 1973, S. 68, handelt es sich bei dieser Predigt sogar um "the earliest known specimen of modern Jewish preaching in the German tongue".
	3.Vgl. Freudenthal, S. 29
</t>
  </si>
  <si>
    <t xml:space="preserve">http://friedensbilder.gnm.de/sites/default/files/AB 43 14k, 3 14 1.jpg</t>
  </si>
  <si>
    <t xml:space="preserve">Schon nach den siegreichen Schlachten in den ersten beiden Jahren des Siebenjährigen Kriegs wurden in der Berliner Synagoge durch den Oberrabbiner David Hirschel Fränkel (1707–1762) Dankpredigten gehalten, die anschließend im Druck erschienen. In der vorliegenden Predigt nach dem Sieg Friedrichs II. in der Schlacht bei Leuthen in Schlesien am 5.12.1757 feiert der Prediger ihn als „vielgeliebten Monarchen“, rühmt seinen Heldenmut und seine Friedensliebe, die ihn nur aus Notwehr solche Schlachten führen lasse. Gleichwohl betont Fränkel, dass Kriegsglück und Sieg nur als Wirken Gottes verstanden werden können, und mahnt, keine Freude über den Tod der Feinde zu zeigen:&amp;nbsp; „Wir sind alle Kinder des einzigen lebendigen Gottes. Auch diejenige, die sich unsere Feinde nennen, sind das Werk seiner Hände und lieben und fürchten ihn. Wir würden sie lieben wie unsere Brüder, wenn sie nicht von einer verkehrten Leidenschafft verführt worden wären, die Ruhe unseres vielgeliebten Monarchen zu stöhren. Wollen wir also jauchzen, wollen wir uns einer milden ungezähmten Freude überlassen, wenn das Werk der Hände Gottes untergehet?“&amp;nbsp;In der Auslegung von 1. Mose 14 setzt Fränkel Friedrich II. mit Abraham gleich.&amp;nbsp;Die Auslegung belegt das Bemühen der Berliner Synagogengemeinde, sich als loyale Untertanen des preußischen Königs zu präsentieren.
Die vorliegende&amp;nbsp;Predigt wurde nicht, wie lange angenommen, von Moses Mendelssohn (1729-1786) verfasst, sondern lediglich von ihm&amp;nbsp;aus dem Hebräischen übersetzt. Sie ist damit ein sehr früher Beleg für den deutschsprachigen&amp;nbsp;Druck jüdischer Predigten. Nach Alexander Altmann handelt es sich bei dieser Predigt sogar um „the earliest known specimen of modern Jewish preaching in the German tongue“. Basierend auf dem Berliner Exemplar&amp;nbsp;erschienen weitere Ausgaben in Frankfurt am Main, Erlangen sowie&amp;nbsp;in englischer Sprache in London und Boston (Mass.).&amp;nbsp;
HPJ
&amp;nbsp;
</t>
  </si>
  <si>
    <t xml:space="preserve">Dankpredigt ueber den großen und herrlichen Sieg,, AB 43 14/k, 3 (14) (1)</t>
  </si>
  <si>
    <t xml:space="preserve">https://friedensbilder-neu.gnm.de/sites/default/files/2019-06/AB_43_14_k_3_14_1-1_0.png</t>
  </si>
  <si>
    <t xml:space="preserve">Dankpredigt ueber den großen und herrlichen Sieg,</t>
  </si>
  <si>
    <t xml:space="preserve">http://friedensbilder.gnm.de/content/frieden_object12327f</t>
  </si>
  <si>
    <t xml:space="preserve">http://friedensbilder.gnm.de/content/frieden_foto_order20c5c9</t>
  </si>
  <si>
    <t xml:space="preserve">AB 43 14/k, 3 (14)</t>
  </si>
  <si>
    <t xml:space="preserve">Fränkel, David Hirschel 
Stock, Johann Adolph
Schilling, Johann Gottfried</t>
  </si>
  <si>
    <t xml:space="preserve">http://friedensbilder.gnm.de/sites/default/files/AB 43 14K 3_Dummy.jpeg</t>
  </si>
  <si>
    <t xml:space="preserve">http://friedensbilder.gnm.de/content/frieden_object123294
http://friedensbilder.gnm.de/content/frieden_object14de31
http://friedensbilder.gnm.de/content/frieden_object14de56</t>
  </si>
  <si>
    <t xml:space="preserve">http://friedensbilder.gnm.de/content/frieden_foto_order1980ec</t>
  </si>
  <si>
    <t xml:space="preserve">Fränkel, David Hirschel</t>
  </si>
  <si>
    <t xml:space="preserve">Reeve</t>
  </si>
  <si>
    <t xml:space="preserve">By the glorious King of Prussia, over the united, and far superior forces of the Austrians in Silesia: preach'd on the Sabbath of the tenth of said month at the synagogue of the Jews, in Berlin</t>
  </si>
  <si>
    <t xml:space="preserve">A thanksgiving sermon</t>
  </si>
  <si>
    <t xml:space="preserve">Early American Imprints First Series</t>
  </si>
  <si>
    <t xml:space="preserve">Ann Arbor MI</t>
  </si>
  <si>
    <t xml:space="preserve">Evans 8126</t>
  </si>
  <si>
    <t xml:space="preserve">Green and Russell</t>
  </si>
  <si>
    <t xml:space="preserve">for the important and astonishing victory obtain'd on the fifth of December, 1757 By The glorious King of Prussia, over the united, and far superior forces of the Austrians in Silesia: </t>
  </si>
  <si>
    <t xml:space="preserve">preach'd on the Sabbath of the tenth of said month at the synagogue of the Jews, in Berlin. By David Hirchel Franckel, Arch-Rabbi. Translated from the German Original, Printed at Berlin. The Ninth Edition.</t>
  </si>
  <si>
    <t xml:space="preserve">Die&amp;nbsp;Predigt des Berliner Obberrabbiners David Herschel Fränkel aus Anlass der Schlacht bei Leuthen&amp;nbsp;wurde schon bald ins Englische übersetzt und in London veröffentlicht. Auch in den englischen Kolonien Nordamerikas gab es ein Interesse an dem preußischen Verbündeten. Zuerst erschienen Auszüge der Übersetzung im Juni 1758 im "American&amp;nbsp;Magazine and Monthly Chronicle for the British Colonies", bald danach noch im selben Jahr dann vollständige Nachdrücke in New York und, hier vorliegend, in Boston. Die Angabe, es handele sich bereits um die neunte Ausgab, ist vermutlich fiktiv und sollte das große Publikumsinteresse betonen.</t>
  </si>
  <si>
    <t xml:space="preserve">A thanksgiving sermon,, Evans 8126</t>
  </si>
  <si>
    <t xml:space="preserve">A thanksgiving sermon,</t>
  </si>
  <si>
    <t xml:space="preserve">Der Friede zwischen Preußen und Rußland, als ein Werk des allmächtigen und wunderbaren Gottes</t>
  </si>
  <si>
    <t xml:space="preserve">Dd 957 (5)</t>
  </si>
  <si>
    <t xml:space="preserve">Wegener, Karl Friedrich</t>
  </si>
  <si>
    <t xml:space="preserve">http://nbn-resolving.de/urn:nbn:de:gbv:3:1-490513</t>
  </si>
  <si>
    <t xml:space="preserve">in einer Dank- und Friedenspredigt aus Psalm 118,23. den Gemeinen zu Königes-Wusterhausen vorgestellet</t>
  </si>
  <si>
    <t xml:space="preserve">http://friedensbilder.gnm.de/sites/default/files/7681427.jpg</t>
  </si>
  <si>
    <t xml:space="preserve">Friedens-Predigt wegen der Verbindung der Preussischen und Russischen Majestäten</t>
  </si>
  <si>
    <t xml:space="preserve">Nf 1485 (10)</t>
  </si>
  <si>
    <t xml:space="preserve">Ortmann, Adolph Dieterich</t>
  </si>
  <si>
    <t xml:space="preserve">Voß</t>
  </si>
  <si>
    <t xml:space="preserve">1121192X</t>
  </si>
  <si>
    <t xml:space="preserve">http://nbn-resolving.org/urn:nbn:de:gbv:3:1-319377</t>
  </si>
  <si>
    <t xml:space="preserve">http://friedensbilder.gnm.de/sites/default/files/4815832.jpg</t>
  </si>
  <si>
    <t xml:space="preserve">Sermon Sur La Paix Conclue Entre S. M. Le Roi De Prusse Et S. M. I. L'Empereur De Russie</t>
  </si>
  <si>
    <t xml:space="preserve">AB 154398 (19)</t>
  </si>
  <si>
    <t xml:space="preserve">Jasperd</t>
  </si>
  <si>
    <t xml:space="preserve">http://nbn-resolving.org/urn:nbn:de:gbv:3:1-254105</t>
  </si>
  <si>
    <t xml:space="preserve">http://friedensbilder.gnm.de/sites/default/files/3793336.jpg</t>
  </si>
  <si>
    <t xml:space="preserve">Dank- Pfingst- und Friedens-Predigt</t>
  </si>
  <si>
    <t xml:space="preserve">67 in: Yf 6653</t>
  </si>
  <si>
    <t xml:space="preserve">Baumgarten, Nathanael</t>
  </si>
  <si>
    <t xml:space="preserve">http://digital.staatsbibliothek-berlin.de/werkansicht?PPN=PPN767886453&amp;PHYSID=PHYS_0001&amp;DMDID=</t>
  </si>
  <si>
    <t xml:space="preserve">Hist.Germ.D.328,misc.18</t>
  </si>
  <si>
    <t xml:space="preserve">bey feyerlicher Bekantmachung des zwischen Sr. Königl. Majestät unsern allergnädigsten König und Herrn und Sr. Kayserl. Majestät dem Kayser aller Reussen etc. geschlossenen Friedens</t>
  </si>
  <si>
    <t xml:space="preserve">Am ersten H. Pfingst-Tag 1762 im Friedrichs-Werder gehalten</t>
  </si>
  <si>
    <t xml:space="preserve">Ode ebensfalls abgedruckt in Oden und Gedichte auf das Freuden-Fest, Braumgarten
</t>
  </si>
  <si>
    <t xml:space="preserve">http://friedensbilder.gnm.de/sites/default/files/PPN767886453_00000001.tif</t>
  </si>
  <si>
    <t xml:space="preserve">Die „Dank-, Pfingst- und Friedens-Predigt“, die Nathanael Baumgarten (1717–1762), preußischer Oberkonsistorialrat und Prediger in Friedrichswerder, am Pfingstsonntag 1762 aus Anlass des Teilfriedens von St. Petersburg hielt, stellt eine Besonderheit dar: Die gesamte Predigt, einschließlich der einleitenden Worte, der Gebete und der Ankündigung der gemeinsamen Gesänge, ist in Paarreimen verfasst. In über 400 Versen mit wechselndem Versmaß entfaltet Baumgarten eine Schilderung des Siebenjährigen Krieges, vor allem der zeitweiligen Besetzung Berlins und seiner Vorstädte:&amp;nbsp;„Nach jener Schreckensnacht, da Feuerkugeln spielten, / die fast zuerst auf dich, o Friedrichswerder zielten, / vergiss es nicht, wie da dein weiser Magistrat / so väterlich für uns, bald eiferte, bald bat! / Vergiss es nie, was da dein Herz Gott angelobte / Als die Muthlosigkeit in deinen Adern tobte, / mehr als der Feind, der dich, o Dorotheenstadt,/ damals besetzt, und auch zum Teil geplündert hat.“ Großes Lob bringt der Prediger für den russischen Zaren auf:&amp;nbsp;„Und nein! Wir beteten sechs finstre Jahre durch. / Bis solch ein&amp;nbsp; Herz sich findt, ein Herz in Petersburg, / das unserem Friedens-Gott Raum und Gehör verwilligt; / und an Monarchen selbst, was Mißgunst ist, nicht billigt. [...] Nur in Jahrhunderten sehr selten es gelingt,/ daß jemand solch ein Herz / zu Cron und Szepter bringt!“&amp;nbsp;Angesichts dessen, dass der vollständige Frieden noch nicht erreicht ist, fährt Baumgarten fort, von seiner Gemeinde zu fordern, dass sie in ihren Gebeten fortfahre:&amp;nbsp;„O Tröster, laß sie nicht, laß keinen unerhört! / Zernichte was uns noch, des Friedens Hoffnung stöhrt./ Zernichte, was uns droht, den Frieden zu entweihen, / für den du gut gesagt, Gott will ihn uns verleihen!“&amp;nbsp;So spiegelt diese eindrucksvolle sprachliche Form gleichermaßen Herrscherlob und Friedenshoffnung. Der Autor der Predigt erlebte das kurz bevorstehende Ende des Krieges nicht mehr.
</t>
  </si>
  <si>
    <t xml:space="preserve">Dank- Pfingst- und Friedens-Predigt,, 67 in: Yf 6653</t>
  </si>
  <si>
    <t xml:space="preserve">https://friedensbilder-neu.gnm.de/sites/default/files/2019-06/67-in-Yf-6653_0.png</t>
  </si>
  <si>
    <t xml:space="preserve">Dank- Pfingst- und Friedens-Predigt,</t>
  </si>
  <si>
    <t xml:space="preserve">http://friedensbilder.gnm.de/content/frieden_foto_order1c3c74</t>
  </si>
  <si>
    <t xml:space="preserve">Zwo poetische Friedenspredigten</t>
  </si>
  <si>
    <t xml:space="preserve">Dd 957 (6)</t>
  </si>
  <si>
    <t xml:space="preserve">Bando, Joseph Friedrich</t>
  </si>
  <si>
    <t xml:space="preserve">Brandenburg</t>
  </si>
  <si>
    <t xml:space="preserve">http://nbn-resolving.de/urn:nbn:de:gbv:3:1-490640</t>
  </si>
  <si>
    <t xml:space="preserve">auf den [24. April / 5. May] und auf den 22. May 1762 am Feste der heiligen Dreyeinigkeit und Sonntags darauf, in der Gemeinde Jesu zu Pritzerbe und Fohrde</t>
  </si>
  <si>
    <t xml:space="preserve">http://friedensbilder.gnm.de/sites/default/files/7677430.jpg</t>
  </si>
  <si>
    <t xml:space="preserve">A sermon, preached to a society of Protestant dissenters</t>
  </si>
  <si>
    <t xml:space="preserve">RB.23.a.5902</t>
  </si>
  <si>
    <t xml:space="preserve">Wright, Thomas</t>
  </si>
  <si>
    <t xml:space="preserve">Printed for J. Buckland, T. Cadel, and E. Ward, in Bristol</t>
  </si>
  <si>
    <t xml:space="preserve">London
Bristol</t>
  </si>
  <si>
    <t xml:space="preserve">http://find.galegroup.com/ecco/infomark.do?contentSet=ECCOArticles&amp;docType=ECCOArticles&amp;bookId=1218200400&amp;type=getFullCitation&amp;tabID=T001&amp;prodId=ECCO&amp;docLevel=TEXT_GRAPHICS&amp;version=1.0&amp;source=library</t>
  </si>
  <si>
    <t xml:space="preserve">At Lewin's-Mead, in Bristol, on Thursday, May 5, 1763: Being the Day appointed for a National Thanksgiving for the peace</t>
  </si>
  <si>
    <t xml:space="preserve">2.19 Paris England 1763-05-05/08-11</t>
  </si>
  <si>
    <t xml:space="preserve">The triumph of Israelites over Moabites, or Protestants over Papists. A sermon preached at Great Totham in Essex, on May 5, 1763. being the day of publick thanksgiving for the peace</t>
  </si>
  <si>
    <t xml:space="preserve">G.Pamph.1012(21)</t>
  </si>
  <si>
    <t xml:space="preserve">Williams, Griffith</t>
  </si>
  <si>
    <t xml:space="preserve">Printed for C. Henderson under the Royal Exchange</t>
  </si>
  <si>
    <t xml:space="preserve">http://find.galegroup.com/ecco/infomark.do?contentSet=ECCOArticles&amp;docType=ECCOArticles&amp;bookId=1288500600&amp;type=getFullCitation&amp;tabID=T001&amp;prodId=ECCO&amp;docLevel=TEXT_GRAPHICS&amp;version=1.0&amp;source=library</t>
  </si>
  <si>
    <t xml:space="preserve">Die grose Pflicht, Gott aus den Begebenheiten der Welt kennen zu lernen</t>
  </si>
  <si>
    <t xml:space="preserve">Theol 8° 00780d/06 (002)</t>
  </si>
  <si>
    <t xml:space="preserve">Stölzel, Wilhelm Friedrich</t>
  </si>
  <si>
    <t xml:space="preserve">Eine Predigt an dem den Sonntag Quasimodogeniti nach Ostern öffentlich angesetzt gewesenen Dank- und Friedensfest über den gnädigst vorgeschriebenen Text B. Richter 6. v. 24</t>
  </si>
  <si>
    <t xml:space="preserve">Nachmittags in Hochfürstlicher Schloßkirche gehalten …</t>
  </si>
  <si>
    <t xml:space="preserve">http://friedensbilder.gnm.de/sites/default/files/8ac2b5ef-d5a6-478a-9ee1-4e9142998164.gif</t>
  </si>
  <si>
    <t xml:space="preserve">Eine herzliche Ermunterung zum Gott gefälligen Lobe für den allgemeinen Frieden</t>
  </si>
  <si>
    <t xml:space="preserve">Il 6949</t>
  </si>
  <si>
    <t xml:space="preserve">Stöcker, Georg Christian</t>
  </si>
  <si>
    <t xml:space="preserve">Struck</t>
  </si>
  <si>
    <t xml:space="preserve">Wernigerode</t>
  </si>
  <si>
    <t xml:space="preserve">http://nbn-resolving.org/urn:nbn:de:gbv:3:1-123825</t>
  </si>
  <si>
    <t xml:space="preserve">36 S. </t>
  </si>
  <si>
    <t xml:space="preserve">stellte am Sontage Lätare 1763 als an dem Hochverordneten Dankfeste für diese unschätzbare Wohlthat aus I B. der Kön. 8, 56-58. Vormittags in der Wernigerödischen Oberkirche vor</t>
  </si>
  <si>
    <t xml:space="preserve">http://friedensbilder.gnm.de/sites/default/files/1545253.jpg</t>
  </si>
  <si>
    <t xml:space="preserve">Die dankbare Betrachtung der großen Werke Gottes an dem erwünschten Friedensfest </t>
  </si>
  <si>
    <t xml:space="preserve">8 in: Bd 8562</t>
  </si>
  <si>
    <t xml:space="preserve">Steinkopf, Georg</t>
  </si>
  <si>
    <t xml:space="preserve">Hartung</t>
  </si>
  <si>
    <t xml:space="preserve">http://resolver.staatsbibliothek-berlin.de/SBB000099A800000000</t>
  </si>
  <si>
    <t xml:space="preserve">wurde an dem frohen Dankfest wegen des ... zu Hubertsburg den 15ten Febr. 1763. glücklich geschloßenen Friedens, der Alt-Roßgärtschen Gemeine am Sonntag Lätare, den 13ten März angepriesen </t>
  </si>
  <si>
    <t xml:space="preserve">und darauf als ein Denkmal der Göttlichen Wunder seiner geliebten Gemeine in Druck übergeben</t>
  </si>
  <si>
    <t xml:space="preserve">40292357X</t>
  </si>
  <si>
    <t xml:space="preserve">http://friedensbilder.gnm.de/sites/default/files/Steinkopf.png</t>
  </si>
  <si>
    <t xml:space="preserve">A sermon preached in the parish church of Reigate in Surry</t>
  </si>
  <si>
    <t xml:space="preserve">4473.h.1(6)</t>
  </si>
  <si>
    <t xml:space="preserve">Stead, William</t>
  </si>
  <si>
    <t xml:space="preserve">Printed for the author and sold by John Bird in Ave Maria Lane</t>
  </si>
  <si>
    <t xml:space="preserve">http://find.galegroup.com/ecco/infomark.do?contentSet=ECCOArticles&amp;docType=ECCOArticles&amp;bookId=1194301200&amp;type=getFullCitation&amp;tabID=T001&amp;prodId=ECCO&amp;docLevel=TEXT_GRAPHICS&amp;version=1.0&amp;source=library</t>
  </si>
  <si>
    <t xml:space="preserve">On Thursday, the 5th of May, 1763. Being the Day Appointed for a General thanksgiving to Almighty God, for putting an end to the late Bloody and Expensive War. By William Stead, M. A. Vicar of Reigate in Surry, and Chaplain to her Grace, Charlotte, Duchess Dowager of Somerset</t>
  </si>
  <si>
    <t xml:space="preserve">Das freudige Herz wahrer Christen über den von Gott bescherten Frieden</t>
  </si>
  <si>
    <t xml:space="preserve">33 in: 50 MA 46065</t>
  </si>
  <si>
    <t xml:space="preserve">Stade, Johann Friedrich von</t>
  </si>
  <si>
    <t xml:space="preserve">Brandt</t>
  </si>
  <si>
    <t xml:space="preserve">http://resolver.staatsbibliothek-berlin.de/SBB0000468600000000</t>
  </si>
  <si>
    <t xml:space="preserve">15 S.</t>
  </si>
  <si>
    <t xml:space="preserve">Eine Predigt am Dankfeste wegen des zwischen Ihro Königl. Majestät von Groß-Brittannien und den Königen von Frankreich und Spanien geschlossenen Friedens </t>
  </si>
  <si>
    <t xml:space="preserve">gehalten den 6 Januar. 1763. im Königlichen Dom zu Verden</t>
  </si>
  <si>
    <t xml:space="preserve">http://friedensbilder.gnm.de/sites/default/files/Stade.png</t>
  </si>
  <si>
    <t xml:space="preserve">Das freudige Herz wahrer Christen über den von Gott bescherten Frieden, 33 in: 50 MA 46065</t>
  </si>
  <si>
    <t xml:space="preserve">The circling blessing of peace considered in its vast importance</t>
  </si>
  <si>
    <t xml:space="preserve">RB.23.a.7905</t>
  </si>
  <si>
    <t xml:space="preserve">Smith, John</t>
  </si>
  <si>
    <t xml:space="preserve">Printed for the author and sold at his house in Oundle
also by E. Dilly, London
and by C. Dicey, at Northampton</t>
  </si>
  <si>
    <t xml:space="preserve">Northampton</t>
  </si>
  <si>
    <t xml:space="preserve">http://find.galegroup.com/ecco/infomark.do?contentSet=ECCOArticles&amp;docType=ECCOArticles&amp;bookId=1235700500&amp;type=getFullCitation&amp;tabID=T001&amp;prodId=ECCO&amp;docLevel=TEXT_GRAPHICS&amp;version=1.0&amp;source=library</t>
  </si>
  <si>
    <t xml:space="preserve">The substance of which was delivered in a thanksgiving-sermon at Basingstoke, in Hants, on Thursday, May 5, 1763, ... But more fully considered in two sermons at Oundle, in Northamptonshire, on the Lord's-Day, May 15, 1763</t>
  </si>
  <si>
    <t xml:space="preserve">Die Fassung des Herzens bey dem ... Frieden </t>
  </si>
  <si>
    <t xml:space="preserve">Bb 4 : 37 [6] [e]</t>
  </si>
  <si>
    <t xml:space="preserve">Schultze, Wilhelm Heinrich</t>
  </si>
  <si>
    <t xml:space="preserve">Glüsing</t>
  </si>
  <si>
    <t xml:space="preserve">wurde am Sonntage Cantate als an dem... Dank- und Friedens Feste über Psalm 33. v. 20-22 in hiesiger Garnison Kirche vorgestellet</t>
  </si>
  <si>
    <t xml:space="preserve">Das Lobopfer durch Jesum an Gott fuer die troestliche Abwendung seines Zorns</t>
  </si>
  <si>
    <t xml:space="preserve">Hist.Sax.C.1104</t>
  </si>
  <si>
    <t xml:space="preserve">Scheller, Gottlieb David Friedrich</t>
  </si>
  <si>
    <t xml:space="preserve">Ife</t>
  </si>
  <si>
    <t xml:space="preserve">http://digital.slub-dresden.de/werkansicht/dlf/78081/1/</t>
  </si>
  <si>
    <t xml:space="preserve">18 S.</t>
  </si>
  <si>
    <t xml:space="preserve">oder Vesperpredigt </t>
  </si>
  <si>
    <t xml:space="preserve">an dem Chursächsischen Friedensfeste den 21ten März 1763, welches, wie dem gesamten Lande, so auch insonderheit Weissenfels hochfeyerlich und erfreulich gewesen, in der Stadt-Kirche daselbst gehalten, und, nach eingegangener höchsten Censur und Genehmhaltung, nebs einem kurzen Wortverstand des Vormittagstextes, zu erbaulicher Erinnerung dem Druck übergeben</t>
  </si>
  <si>
    <t xml:space="preserve">http://friedensbilder.gnm.de/sites/default/files/00000005_0.jpg</t>
  </si>
  <si>
    <t xml:space="preserve">A sermon preach'd May the 5th, 1763</t>
  </si>
  <si>
    <t xml:space="preserve">4474.dd.61</t>
  </si>
  <si>
    <t xml:space="preserve">Sandercock, Edward</t>
  </si>
  <si>
    <t xml:space="preserve">Printed by A. Ward for W. Sandby, Bookseller in Fleet Street, and C. Henderson, under the Royal Exchange, London, and the booksellers in York</t>
  </si>
  <si>
    <t xml:space="preserve">York</t>
  </si>
  <si>
    <t xml:space="preserve">http://find.galegroup.com/ecco/infomark.do?contentSet=ECCOArticles&amp;docType=ECCOArticles&amp;bookId=0546401800&amp;type=getFullCitation&amp;tabID=T001&amp;prodId=ECCO&amp;docLevel=TEXT_GRAPHICS&amp;version=1.0&amp;source=library</t>
  </si>
  <si>
    <t xml:space="preserve">A day of public thanksgiving for the peace, to a congregation of protestant dissenters, at the chapel in St. Saviour-Gate, York</t>
  </si>
  <si>
    <t xml:space="preserve">Zwo Dankpredigten an dem auf allergnädigsten Landesväterlichen Befehl höchsterfreulich begangnen Friedens Dankfeste</t>
  </si>
  <si>
    <t xml:space="preserve">3.A.5089,angeb.27</t>
  </si>
  <si>
    <t xml:space="preserve">Ruhmer, Johann Gottlob</t>
  </si>
  <si>
    <t xml:space="preserve">Langenheim</t>
  </si>
  <si>
    <t xml:space="preserve">http://digital.slub-dresden.de/id433244887</t>
  </si>
  <si>
    <t xml:space="preserve">35 S.</t>
  </si>
  <si>
    <t xml:space="preserve">den 21. Merz 1763. gehalten und auf Verlangen der christlichen Gemeinden in Krippehna, Naundorf, Göritz, Behlitz, Pressen und Zschetga in Druck gegeben</t>
  </si>
  <si>
    <t xml:space="preserve">http://friedensbilder.gnm.de/sites/default/files/00000003.tif_page1_image1.jpg</t>
  </si>
  <si>
    <t xml:space="preserve">an: Rz 5463</t>
  </si>
  <si>
    <t xml:space="preserve">Roques, Jean Christoph
Brunier, Jacques Abel</t>
  </si>
  <si>
    <t xml:space="preserve">Knoch und Eslinger</t>
  </si>
  <si>
    <t xml:space="preserve">Vouex pour la paix par Roques. Fkf. 1763; Sermon sur psaume 126 par Roques. Fkf. 1763; Sermon sur Joel 2 par Roques. Fkf. 1763; Trois sermons par Brunier 1763</t>
  </si>
  <si>
    <t xml:space="preserve">Die dankende Freude vor den göttlichen Friede, oder Dank- und Friedenspredigt</t>
  </si>
  <si>
    <t xml:space="preserve">Il 6359 d</t>
  </si>
  <si>
    <t xml:space="preserve">Ritter, Johann Christian</t>
  </si>
  <si>
    <t xml:space="preserve">Prüffer</t>
  </si>
  <si>
    <t xml:space="preserve">Naumburg</t>
  </si>
  <si>
    <t xml:space="preserve">http://nbn-resolving.org/urn:nbn:de:gbv:3:1-198389</t>
  </si>
  <si>
    <t xml:space="preserve">An dem allgemeinen Dank- und Friedensfeste der Chursächsischen Lande den 21. März 1763. in der bischöfl. hohen Stiffts- und Cathedralkirche zu Naumburg</t>
  </si>
  <si>
    <t xml:space="preserve">vor zahlreicher Versammlung gehalten und, auf Ersuchen, dem Druck überlassen</t>
  </si>
  <si>
    <t xml:space="preserve">http://friedensbilder.gnm.de/sites/default/files/2899962.jpg</t>
  </si>
  <si>
    <t xml:space="preserve">The sovereign goodness of the most high in putting an end to destructive wars</t>
  </si>
  <si>
    <t xml:space="preserve">4474.e.125</t>
  </si>
  <si>
    <t xml:space="preserve">Richardson, John</t>
  </si>
  <si>
    <t xml:space="preserve">Printed for J. Buckland at the Buck in Pater Noster Row
G. Keith, at the Bible and Crown in Gracechurch Street
E. Dilly, at the Rose and Crown in the Poultry
T. Field, at the Wheat Sheaf in Cheapside
J. Payne, at the Feathers in Pater Noster Row
and</t>
  </si>
  <si>
    <t xml:space="preserve">http://find.galegroup.com/ecco/infomark.do?contentSet=ECCOArticles&amp;docType=ECCOArticles&amp;bookId=0353600800&amp;type=getFullCitation&amp;tabID=T001&amp;prodId=ECCO&amp;docLevel=TEXT_GRAPHICS&amp;version=1.0&amp;source=library</t>
  </si>
  <si>
    <t xml:space="preserve">Gratefully acknowledged. A sermon Preached May 5th, 1763: The Day appointed by His Majesty for a solemn Thanksgiving to Almighty God on Account of the peace. By John Richardson, At his Meeting-Place in Artillery-Lane, Spitalfields</t>
  </si>
  <si>
    <t xml:space="preserve">Lichtensteinisch und Rödlitzer Friedens-Denckmal</t>
  </si>
  <si>
    <t xml:space="preserve">Pon Vd 3132, QK</t>
  </si>
  <si>
    <t xml:space="preserve">Reim, Christian Benjamin</t>
  </si>
  <si>
    <t xml:space="preserve">Lotichius</t>
  </si>
  <si>
    <t xml:space="preserve">Lichtenstein (Sachsen) </t>
  </si>
  <si>
    <t xml:space="preserve">http://nbn-resolving.de/urn:nbn:de:gbv:3:1-450929</t>
  </si>
  <si>
    <t xml:space="preserve"> durch die, an dem, nach 6 und ein halbjährigen harten Kriege in Sachsen, durch Gottes Gnade wieder erlangten Friede, so den 15. Febr. 1763 zu Hubertsburg geschlossen, am 21. Mart. 1763. Montags nach Dom. Judica. angeordneten allgemeinen Danck-Feste, gehaltenen Zweyen Friedens-Predigten, gestifftet </t>
  </si>
  <si>
    <t xml:space="preserve">und nebst kurzer Nachricht, wie dieses Fest an beyden Orten feyerlich ist celebriret worden</t>
  </si>
  <si>
    <t xml:space="preserve">http://friedensbilder.gnm.de/sites/default/files/5997495.jpg</t>
  </si>
  <si>
    <t xml:space="preserve">Thanksgiving and prayer for those in authority</t>
  </si>
  <si>
    <t xml:space="preserve">Vet.A5e.5847</t>
  </si>
  <si>
    <t xml:space="preserve">Reader, Simon</t>
  </si>
  <si>
    <t xml:space="preserve">Printed for James Buckland at the Buck, in Pater Noster Row</t>
  </si>
  <si>
    <t xml:space="preserve">http://find.galegroup.com/ecco/infomark.do?contentSet=ECCOArticles&amp;docType=ECCOArticles&amp;bookId=0929400400&amp;type=getFullCitation&amp;tabID=T001&amp;prodId=ECCO&amp;docLevel=TEXT_GRAPHICS&amp;version=1.0&amp;source=library</t>
  </si>
  <si>
    <t xml:space="preserve">Recommended. A sermon preached at Wareham, in Dorsetshire, May the 5th, 1763: being the day of public thanksgiving for the peace with France and Spain</t>
  </si>
  <si>
    <t xml:space="preserve">Entwurf der Vormittagspredigt</t>
  </si>
  <si>
    <t xml:space="preserve">Pon Vd 3126 h, QK (3)</t>
  </si>
  <si>
    <t xml:space="preserve">Rambach, Friedrich Eberhard</t>
  </si>
  <si>
    <t xml:space="preserve">http://nbn-resolving.de/urn:nbn:de:gbv:3:1-283342</t>
  </si>
  <si>
    <t xml:space="preserve">in der Hauptkirche zur L. Frauen an dem Sonntage Lätare, an welchem für den zwischen Sr. Königl. Majestät in Preussen, der Kayserin Königin von Ungarn Maj. und des Königs von Pohlen Maj. als Churfürsten von Sachsen glücklich wiederhergestellten Frieden öffentlich gedanket wurde</t>
  </si>
  <si>
    <t xml:space="preserve">http://friedensbilder.gnm.de/sites/default/files/10511516.jpg
http://friedensbilder.gnm.de/sites/default/files/10511518.jpg
http://friedensbilder.gnm.de/sites/default/files/10511519.jpg
http://friedensbilder.gnm.de/sites/default/files/10511520.jpg</t>
  </si>
  <si>
    <t xml:space="preserve">Die rechte Weisheit eines mit Heyl und Frieden gesegneten Volks</t>
  </si>
  <si>
    <t xml:space="preserve">32 in: 50 MA 46065</t>
  </si>
  <si>
    <t xml:space="preserve">Pollmann, Gabriel Heinrich</t>
  </si>
  <si>
    <t xml:space="preserve">Förster</t>
  </si>
  <si>
    <t xml:space="preserve">http://resolver.staatsbibliothek-berlin.de/SBB0000468500000000</t>
  </si>
  <si>
    <t xml:space="preserve">wurde an dem allgemeinen Dank- und Friedens-Feste des Churfürstenthums Braunschweig-Lüneburg, welches den 6ten Januarii 1763. ... gefeyert ward, in der Marktkirche zu Hannover in einer Predigt über Psalm 107, 43. vorgestellet</t>
  </si>
  <si>
    <t xml:space="preserve">52597024X</t>
  </si>
  <si>
    <t xml:space="preserve">http://friedensbilder.gnm.de/sites/default/files/Pollmann.png</t>
  </si>
  <si>
    <t xml:space="preserve">Dank-Predigt </t>
  </si>
  <si>
    <t xml:space="preserve">H00/THL-XVIIII 38</t>
  </si>
  <si>
    <t xml:space="preserve">Pilger, Wilhelm Arnold Henrich</t>
  </si>
  <si>
    <t xml:space="preserve">Winckler</t>
  </si>
  <si>
    <t xml:space="preserve">Wetzlar</t>
  </si>
  <si>
    <t xml:space="preserve">http://digital.bib-bvb.de/view/bvbmets/viewer.0.6.1.jsp?folder_id=0&amp;dvs=1497967462772~37&amp;pid=12008184&amp;locale=de&amp;usePid1=true&amp;usePid2=true</t>
  </si>
  <si>
    <t xml:space="preserve">31 S.</t>
  </si>
  <si>
    <t xml:space="preserve">welche am Palm-Sontage als an dem von E.E. Rath der Kaiserlichen Freien Reichs-Stad Wezlar angeordneten Friedensfest in öffentlicher Versamlung gehalten wurde</t>
  </si>
  <si>
    <t xml:space="preserve">BV021616496</t>
  </si>
  <si>
    <t xml:space="preserve">http://friedensbilder.gnm.de/sites/default/files/BV021616496_0001.jpg</t>
  </si>
  <si>
    <t xml:space="preserve">The people's duty on the return of peace</t>
  </si>
  <si>
    <t xml:space="preserve">1112.e.7</t>
  </si>
  <si>
    <t xml:space="preserve">Parkhurst, John</t>
  </si>
  <si>
    <t xml:space="preserve">Printed for W. Faden in Peterborough-Court Fleet Street</t>
  </si>
  <si>
    <t xml:space="preserve">http://find.galegroup.com/ecco/infomark.do?contentSet=ECCOArticles&amp;docType=ECCOArticles&amp;bookId=1141800600&amp;type=getFullCitation&amp;tabID=T001&amp;prodId=ECCO&amp;docLevel=TEXT_GRAPHICS&amp;version=1.0&amp;source=library</t>
  </si>
  <si>
    <t xml:space="preserve">A sermon on Psalm xlvi. 8, &amp;c. Preached in the parish church of Epsom in Surrey, on Thursday May 5, 1763: being the day appointed by His Majesty's proclamation, for a general thanksgiving, on the conclusion of the peace. By John Parkhurst, M. A. Formerly Fellow of Clare Hall, Cambridge</t>
  </si>
  <si>
    <t xml:space="preserve">CIc-370(4).5</t>
  </si>
  <si>
    <t xml:space="preserve">Verfasser
Übersetzer
Herausgeber</t>
  </si>
  <si>
    <t xml:space="preserve">Mosessohn, Aaron
Mendelssohn, Moses
Hartog, Leo de</t>
  </si>
  <si>
    <t xml:space="preserve">... gehalten in der Synagoge zu Berlin am Sabbath den 27. Adar 523 (den 12. März 1763.) In's Deutsche übersetzt von R. S. K. Zum Druck befördert durch Hartog Leo</t>
  </si>
  <si>
    <t xml:space="preserve">Zum Kürzel R. S. K. siehe BM Hebrew: R[abbi] S[amson] K[alir, or rather, the German written by M. Mendelssohn.] - Dazu auch: Freudenthal, Gad: Rabbi David Fränckel, Moses Mendelssohn, and the beginning of the Berlin Haskalah : reattributing a patriotic sermon (1757). In: European Journal of Jewish Studies 1 (2007)1, S. 3-33. Freudenthal weist nach, dass die Friedenspredigt von Mendelssohn in Deutsch geschrieben wurde und die Zuschreibung zu Mosessohn und zu RSK als Übersetzer fingiert sind. Hingegen ist die Mendelssohn zugeschriebene Dankpredigt am 10.12.1757 nach der Schlacht von Leuthen tatsächlich vom angegebenen Autor David Fränckel. Siehe dort.&amp;nbsp;</t>
  </si>
  <si>
    <t xml:space="preserve">Das würdige Verhalten derer, welchen der Fürst des Friedens zuruft Friede sey mit euch! </t>
  </si>
  <si>
    <t xml:space="preserve">31 in: 50 MA 46065</t>
  </si>
  <si>
    <t xml:space="preserve">Mosche, Gabriel Christoph Benjamin</t>
  </si>
  <si>
    <t xml:space="preserve">Beumelburg</t>
  </si>
  <si>
    <t xml:space="preserve">http://resolver.staatsbibliothek-berlin.de/SBB0000468400000000</t>
  </si>
  <si>
    <t xml:space="preserve">Ps 102,18-21</t>
  </si>
  <si>
    <t xml:space="preserve">wurde am Sonntage Quasimodogeniti 1763, als an dem in denen Fürstl. Schwarzburg-Sondershäusisch- und Arnstädtischen Landen feyerlich begangenen Friedens- und Dankfeste nach Anleitung des vorgeschriebenen Textes Psalm 102, 18-21. einer volkreichen Versammlung in der Oberkirche zu Arnstadt vorgetragen, und die hiervon gehaltene Predigt, nebst einer kurzen Beschreibung von denen an erwähntem Feste in der Fürstl. Residenzstadt Arnstadt veranstalteten Feyerlichkeiten, dem Druck überlassen </t>
  </si>
  <si>
    <t xml:space="preserve">http://friedensbilder.gnm.de/sites/default/files/Mosche.png</t>
  </si>
  <si>
    <t xml:space="preserve">Freudiger Eingang mit Loben und Danken zu den Thoren und Vorhöfen Gottes </t>
  </si>
  <si>
    <t xml:space="preserve">520/Ab 904 adn15</t>
  </si>
  <si>
    <t xml:space="preserve">Mittag, Johann Gottfried</t>
  </si>
  <si>
    <t xml:space="preserve">http://nbn-resolving.de/urn/resolver.pl?urn=urn:nbn:de:gbv:9-g-5034218</t>
  </si>
  <si>
    <t xml:space="preserve">[6] S.</t>
  </si>
  <si>
    <t xml:space="preserve">in der Marienkirche zu Uelzen als in selbiger das von Sr. Königl. Mai. in Großbritannien und Churfürstl. Durchl. von Braunschweiglüneburg allergnädigst angeordnete Friedensfest am Fest der Erscheinung Christi den 6. Jenner 1763. feierlichst begangen ward musicalisch angestellet</t>
  </si>
  <si>
    <t xml:space="preserve">http://friedensbilder.gnm.de/sites/default/files/PPN886269806_LOG_0002_page1_image1.jpg</t>
  </si>
  <si>
    <t xml:space="preserve">Freudiger Eingang mit Loben und Danken zu den Thoren und Vorhöfen Gottes , 520/Ab 904 adn15</t>
  </si>
  <si>
    <t xml:space="preserve">The blessings of peace</t>
  </si>
  <si>
    <t xml:space="preserve">4476.aa.109(6)</t>
  </si>
  <si>
    <t xml:space="preserve">Lowthion, Samuel</t>
  </si>
  <si>
    <t xml:space="preserve">Printed by T. Slack for W. Charnley</t>
  </si>
  <si>
    <t xml:space="preserve">Newcastle</t>
  </si>
  <si>
    <t xml:space="preserve">http://find.galegroup.com/ecco/infomark.do?contentSet=ECCOArticles&amp;docType=ECCOArticles&amp;bookId=1106203000&amp;type=getFullCitation&amp;tabID=T001&amp;prodId=ECCO&amp;docLevel=TEXT_GRAPHICS&amp;version=1.0&amp;source=library</t>
  </si>
  <si>
    <t xml:space="preserve">A sermon preached In Hanover-Square, Newcastle upon Tyne, on the General Thanksgiving Day, (thursday, May 5, 1763,) Appointed by Royal Proclamation, for the Peace Concluded between Great-Britain, France, and Spain</t>
  </si>
  <si>
    <t xml:space="preserve">A sermon preached at Weathersfield, July 6, 1763</t>
  </si>
  <si>
    <t xml:space="preserve">Evans 9417</t>
  </si>
  <si>
    <t xml:space="preserve">Lockwood, James</t>
  </si>
  <si>
    <t xml:space="preserve">James Parker and Company</t>
  </si>
  <si>
    <t xml:space="preserve">New Haven, CT</t>
  </si>
  <si>
    <t xml:space="preserve">https://nl.sub.uni-goettingen.de/id/aas03003217</t>
  </si>
  <si>
    <t xml:space="preserve">Being the day appointed by authority for a public thanksgiving, on account of the peace, concluded with France and Spain</t>
  </si>
  <si>
    <t xml:space="preserve">Die Pflichten eines Volks dem der Herr Ruhe umher geschenket hat</t>
  </si>
  <si>
    <t xml:space="preserve">4 in: Dq 10</t>
  </si>
  <si>
    <t xml:space="preserve">Lilienthal, Theodor Christoph</t>
  </si>
  <si>
    <t xml:space="preserve">Hartung
Zeise</t>
  </si>
  <si>
    <t xml:space="preserve">http://resolver.staatsbibliothek-berlin.de/SBB000078C700000000</t>
  </si>
  <si>
    <t xml:space="preserve">Ps 46,9-12</t>
  </si>
  <si>
    <t xml:space="preserve">Bey Gelegenheit des den 15ten Februarii 1763 zwischen Sr. Königlichen Majestät von Preussen, und der Kayserin Königin von Ungarn und Böhmen Majestät, wie auch Sr. Majestät dem Könige von Pohlen und Churfürsten von Sachsen, zu Hubertsburg geschlossenen Friedens, an dem deshalb am Sonntage Lätare gefeyerten Dankfeste aus dem verordneten Texte Psalm 46, 9-12</t>
  </si>
  <si>
    <t xml:space="preserve">45526743X</t>
  </si>
  <si>
    <t xml:space="preserve">http://friedensbilder.gnm.de/sites/default/files/Lilienthal.png</t>
  </si>
  <si>
    <t xml:space="preserve">Friedenspredigt</t>
  </si>
  <si>
    <t xml:space="preserve">8 H BRUNSV 5049 (3)</t>
  </si>
  <si>
    <t xml:space="preserve">Knittel, Franz Anton</t>
  </si>
  <si>
    <t xml:space="preserve">Bindseil</t>
  </si>
  <si>
    <t xml:space="preserve">http://resolver.sub.uni-goettingen.de/purl?PPN720789222</t>
  </si>
  <si>
    <t xml:space="preserve">Sie ist am Dankfeste, das wegen des wiederhergestellten allgemeinen Friedens in den sämtlichen Herzoglichen Braunschweigischen Landen den 17ten April 1763. gefeyret wurde, gehalten</t>
  </si>
  <si>
    <t xml:space="preserve">http://friedensbilder.gnm.de/sites/default/files/Knittel.jpg</t>
  </si>
  <si>
    <t xml:space="preserve">Das dreyfache Andenken an den großen und erhabenen Jehova </t>
  </si>
  <si>
    <t xml:space="preserve">Pon Ya 1089, QK</t>
  </si>
  <si>
    <t xml:space="preserve">Klotz, Johann Christian</t>
  </si>
  <si>
    <t xml:space="preserve">Büschel</t>
  </si>
  <si>
    <t xml:space="preserve">http://digitale.bibliothek.uni-halle.de/urn/urn:nbn:de:gbv:3:1-120232</t>
  </si>
  <si>
    <t xml:space="preserve">56 S. </t>
  </si>
  <si>
    <t xml:space="preserve">stellte nach langwierigem Kriege und erfolgten Frieden Mittwochs nach Misericordias Domini 1763. als am Gedächtnistage des großen Brandes da den 29. April 1596. die ganze Stadt Bischoffswerda in die Asche geleget worden aus Psalm XLIII. 5. 6. vor M. Johann Christian Klotz , Superintendent</t>
  </si>
  <si>
    <t xml:space="preserve">Welchem einige Nachrichten, von den Calvinisten und solchem Brande, aus den Gedächtnisschriften, die im Jahr 1593. und1653. bey Aufsetzung des Knopfs, auf dem Thurm des am 7. März 1763. des Nachts eingefallenen alten Rath- und Gewandhauses, hineingeleget gewesen, wie auch von der am 21. März 1763. begangenen Bischofswerdischen Friedens-Feyer beygefüget worden</t>
  </si>
  <si>
    <t xml:space="preserve">http://friedensbilder.gnm.de/sites/default/files/1474694.jpg</t>
  </si>
  <si>
    <t xml:space="preserve">Upon the peace</t>
  </si>
  <si>
    <t xml:space="preserve">Evans 9409</t>
  </si>
  <si>
    <t xml:space="preserve">Horrocks, James</t>
  </si>
  <si>
    <t xml:space="preserve">Joseph Royle</t>
  </si>
  <si>
    <t xml:space="preserve">Williamsburg, VA</t>
  </si>
  <si>
    <t xml:space="preserve">https://nl.sub.uni-goettingen.de/id/aas03001137</t>
  </si>
  <si>
    <t xml:space="preserve">A sermon. </t>
  </si>
  <si>
    <t xml:space="preserve">Preach'd at the church of Petsworth, in the county of Gloucester, on August the 25th, the day appointed by authority for the observance of that solemnity</t>
  </si>
  <si>
    <t xml:space="preserve">Upon the peace, Evans 9409</t>
  </si>
  <si>
    <t xml:space="preserve">Erfreuendes Andenken der Friedens Feyer</t>
  </si>
  <si>
    <t xml:space="preserve">Pon Vd 3127, QK</t>
  </si>
  <si>
    <t xml:space="preserve">Hirt, Johann Friedrich</t>
  </si>
  <si>
    <t xml:space="preserve">Schill</t>
  </si>
  <si>
    <t xml:space="preserve">http://nbn-resolving.org/urn:nbn:de:gbv:3:1-153094</t>
  </si>
  <si>
    <t xml:space="preserve">welche am Sontag Cantate und denen darauf folgenden Tagen des Jahres 1763 in Jena angestellet worden</t>
  </si>
  <si>
    <t xml:space="preserve">http://friedensbilder.gnm.de/sites/default/files/2053307.jpg</t>
  </si>
  <si>
    <t xml:space="preserve">Christliche Friedens-Predigt So bey dem In Chur-Sächsischen Landen gnädigst angeordneten Friedens-Dank-Feste</t>
  </si>
  <si>
    <t xml:space="preserve">Hist.Sax.C.1100</t>
  </si>
  <si>
    <t xml:space="preserve">Hesse, Carl Friedrich
Schulze, Georg</t>
  </si>
  <si>
    <t xml:space="preserve">http://digital.slub-dresden.de/werkansicht/dlf/113317/1/</t>
  </si>
  <si>
    <t xml:space="preserve">Montags nach Judica den 21. Martii 1763. Aus dem vorgeschriebenen Texte Psalm XXVIII. v. 6 - 9 incl. </t>
  </si>
  <si>
    <t xml:space="preserve">In der Kirche zu St. Afra in Meißen gehalten und auf inständiges Begehren dem Druck überlassen</t>
  </si>
  <si>
    <t xml:space="preserve">Meijssen, gedruckt und zu finden bey George Schulzen.</t>
  </si>
  <si>
    <t xml:space="preserve">http://friedensbilder.gnm.de/sites/default/files/Hist.Sax_.C.1100.pdf</t>
  </si>
  <si>
    <t xml:space="preserve">Christliche Friedens-Predigt So bey dem In Chur-Sächsischen Landen gnädigst angeordneten Friedens-Dank-Feste, Hist.Sax.C.1100</t>
  </si>
  <si>
    <t xml:space="preserve">http://friedensbilder.gnm.de/content/frieden_foto_order1a515f</t>
  </si>
  <si>
    <t xml:space="preserve">Predigt über Johannis 14., 27</t>
  </si>
  <si>
    <t xml:space="preserve">30 in: 50 MA 46065</t>
  </si>
  <si>
    <t xml:space="preserve">Hermes, Hermann Daniel</t>
  </si>
  <si>
    <t xml:space="preserve">Haude und Spener</t>
  </si>
  <si>
    <t xml:space="preserve">http://resolver.staatsbibliothek-berlin.de/SBB0000468300000000</t>
  </si>
  <si>
    <t xml:space="preserve">23 S.</t>
  </si>
  <si>
    <t xml:space="preserve">Gehalten in Zossen am Friedensfest 1763</t>
  </si>
  <si>
    <t xml:space="preserve">http://friedensbilder.gnm.de/sites/default/files/Hermes_0.png</t>
  </si>
  <si>
    <t xml:space="preserve">Die grosse Friedensfeyer des bisher geängsteten Sachsenlandes </t>
  </si>
  <si>
    <t xml:space="preserve">Pon Vd 3133, QK</t>
  </si>
  <si>
    <t xml:space="preserve">Hermann, Gottlob</t>
  </si>
  <si>
    <t xml:space="preserve">Ulrich</t>
  </si>
  <si>
    <t xml:space="preserve">Löbau</t>
  </si>
  <si>
    <t xml:space="preserve">http://digitale.bibliothek.uni-halle.de/vd18/content/pageview/2068908</t>
  </si>
  <si>
    <t xml:space="preserve">2008 8 009465</t>
  </si>
  <si>
    <t xml:space="preserve">Titelblatt fehlt</t>
  </si>
  <si>
    <t xml:space="preserve">http://digital.slub-dresden.de/id320744248</t>
  </si>
  <si>
    <t xml:space="preserve">[4] Bl., 55 S.</t>
  </si>
  <si>
    <t xml:space="preserve">welche auf  Ihro Königl. Majest. in Pohlen und Churfürstl. Durchl. zu Sachsen allergnädigsten Befehl den Ein und Zwanzigsten März 1763. als den Montag nach dem Sonntage Judica im Churfürstenthume Sachsen, demselben incorporirten und andern Landen wegen des den 15. Febr. zu Hubertusburg geschlossenen Friedens begangen wurde, in der Amtspredigt seinen Zuhörern zur andächtigen Betrachtung vorgestellet und auf Kosten eines hohen Gönners auch anhaltendes Verlangen vieler durch die Wohlthat des Friedens gerührter Herzen</t>
  </si>
  <si>
    <t xml:space="preserve">Nebst einer kurzen Nachricht von der hiesigen Orts angestelten Friedensfeyer</t>
  </si>
  <si>
    <t xml:space="preserve">http://friedensbilder.gnm.de/sites/default/files/2068908.jpg</t>
  </si>
  <si>
    <t xml:space="preserve">The blessings of peace. A sermon preached in Christ-Church, Dublin, before their Excellencies the Lords Justices General and General Governors of Ireland. On the 5th. day of May, 1763</t>
  </si>
  <si>
    <t xml:space="preserve">4474.bbb.57</t>
  </si>
  <si>
    <t xml:space="preserve">Printed by S. Powell</t>
  </si>
  <si>
    <t xml:space="preserve">Predigt über 1.B. der Kön. VIII,56-58 </t>
  </si>
  <si>
    <t xml:space="preserve">8 TH PAST 340/34</t>
  </si>
  <si>
    <t xml:space="preserve">Heise, Ernst August</t>
  </si>
  <si>
    <t xml:space="preserve">an dem allgemeinen Friedensfest der Churhannöverischen Lande, den 6. Januar 1763</t>
  </si>
  <si>
    <t xml:space="preserve">Joy and salvation by Christ; his arm displayed in the Protestant cause</t>
  </si>
  <si>
    <t xml:space="preserve">Library of Congress</t>
  </si>
  <si>
    <t xml:space="preserve">E199.H37</t>
  </si>
  <si>
    <t xml:space="preserve">Haven, Samuel</t>
  </si>
  <si>
    <t xml:space="preserve">Printed and sold by Daniel Fowle</t>
  </si>
  <si>
    <t xml:space="preserve">Portsmouth, NH</t>
  </si>
  <si>
    <t xml:space="preserve">http://find.galegroup.com/ecco/retrieve.do?sort=Author&amp;docLevel=TEXT_GRAPHICS&amp;inPS=true&amp;prodId=ECCO&amp;userGroupName=wib7515&amp;doDirectDocNumSearch=false&amp;tabID=T001&amp;resultListType=RESULT_LIST&amp;currentPosition=1&amp;contentSet=ECCOArticles&amp;collectionId=&amp;bookId=1496400900&amp;retrieveOtherVolume=true&amp;fromHoldingsLib=true&amp;fromBackToFullCitation=true&amp;totalCount=&amp;pageFrom=&amp;relevancePageBatch=</t>
  </si>
  <si>
    <t xml:space="preserve">A sermon preached in the South Parish in Portsmouth; occasioned by the remarkable success of His Majesty's arms in the late war, and by the happy peace of 1763</t>
  </si>
  <si>
    <t xml:space="preserve">Ein vertrauliches Sendschreiben eines Lehrers an seine liebe Gemeine, darinnen alle und jede zu gottseeliger und danckbarer Betrachtung, der nach einem langen und blutigen Krieg, von dem Gott des Friedens endlich erlangten Wohlthat des edlen Friedens ernstlich ermahnet</t>
  </si>
  <si>
    <t xml:space="preserve">Hist.Sax.C.1103</t>
  </si>
  <si>
    <t xml:space="preserve">Hahn, Gottlieb Herrmann</t>
  </si>
  <si>
    <t xml:space="preserve">Fuld</t>
  </si>
  <si>
    <t xml:space="preserve">Schneeberg</t>
  </si>
  <si>
    <t xml:space="preserve">http://digital.slub-dresden.de/werkansicht/dlf/113165/1/</t>
  </si>
  <si>
    <t xml:space="preserve">auch zu einer Gottwohlgefälligen Zubereitung des, auf allerhöchste Verordnung, am 21. Mertz 1763. zu haltenden Danck- u. Friedens-Festes, und zu dessen feyerlicher Begehung sowohl in das Haus Gottes als auch in das Lyzeum beweglich und priesterlich eingeladen</t>
  </si>
  <si>
    <t xml:space="preserve">Ingleichen die ansehnlichen Gelehrten dieser Berg-Stadt ... zur liebreichen Anhörung junger Friedensherolde ersuchet und zu dem Ende über den Inhalt aller an diesem Friedens-Feste auf dem Schneebergischen Zion ausfallenden Friedens-Wünsche nemlich über Psalm LXXXV.v.10.11. einige kurtze und zur Vorbereitung erbauliche Anmerckungen angestellet von der dermaligen Einrichtung des Gottesdienstes seiner werthen Gemeine Nachrichten ertheilet und alle Stände mit dem Frieden mit Gott und in Gott gesegnet werden</t>
  </si>
  <si>
    <t xml:space="preserve">http://friedensbilder.gnm.de/sites/default/files/Hahn.png</t>
  </si>
  <si>
    <t xml:space="preserve">Den Frieden der Völker auf Erden, </t>
  </si>
  <si>
    <t xml:space="preserve">34 in: 50 MA 46065</t>
  </si>
  <si>
    <t xml:space="preserve">Goeze, Johann Melchior</t>
  </si>
  <si>
    <t xml:space="preserve">Harmsen, Diedrich Anton</t>
  </si>
  <si>
    <t xml:space="preserve">http://resolver.staatsbibliothek-berlin.de/SBB0000468B00000000</t>
  </si>
  <si>
    <t xml:space="preserve">Jes 45,6-8</t>
  </si>
  <si>
    <t xml:space="preserve">3 Bl. 34 S.</t>
  </si>
  <si>
    <t xml:space="preserve">als ein grosses und herliches Werk des Allerhöchsten stellete am Frölichen Friedensfeste welches am Sontage Exaudi 1763 in Hamburg gefeyret wurde, aus Jes. 45, 6. 7. 8. seiner wertesten Gemeine vor </t>
  </si>
  <si>
    <t xml:space="preserve">http://friedensbilder.gnm.de/sites/default/files/PPN653875401_00000005.tif</t>
  </si>
  <si>
    <t xml:space="preserve">Der Druck enthält eine Predigt des Hamburger Pastors Johann Melchior Goeze (1717–1786), Prediger an St. Katharinen und Senior des geistlichen Ministeriums der Hansestadt, aus Anlass des Dankfestes, das am 15. Mai 1763 begangen wurde, um das Ende des Siebenjährigen Kriegs zu feiern. Goeze widmete diese Predigt dem Kollegium der Amtsbrüder.&amp;nbsp;Die Predigt&amp;nbsp;gliedert sich in Vorbereitung, Text, Einleitung, Vortrag, Abhandlung und Anwendung und wird durch je ein Gebet eingeleitet und beschlossen.&amp;nbsp;
Der Prediger unternimmt einen erheblichen rhetorischen Aufwand, um seine zwei Grundaussagen zu belegen, dass der Frieden der Völker das Werk Gottes und dass er ein herrliches Werk sei. Dabei verwendet er ungewöhnliche sprachliche Bilder, etwa den Krieg als Sturm und den Frieden als Licht zu bezeichnen. Am Ende der Predigt wendet er sich an die Bürger von Hamburg und hält ihnen vor Augen, dass sie durch diesen Krieg kaum Beeinträchtigungen erlebt haben, weshalb er befürchtet, dass „Irdischgesinnte“ infrage stellen werden, dass Gott Urheber dieses Friedens sei. Er appelliert an die Hörer, denjenigen zur Hilfe zu kommen, die&amp;nbsp;–&amp;nbsp;anders als sie&amp;nbsp;&amp;nbsp;–&amp;nbsp;im Krieg alles verloren haben.
Der Ton der Predigt ist eigentümlich verhalten, fast defensiv. Immer wieder bedient sich Goeze rhetorischer Fragen, um seine Aussagen zu rechtfertigen. Er zieht vielfach die natürliche Vernunft zur Plausibilisierung seiner Aussagen heran, um biblische Bilder zu verstärken. Aus der Predigt wird deutlich, dass die Stadt Hamburg nicht nur im Krieg keine Belastungen erleiden musste, sondern auch durch den Frieden keine Verbesserung ihrer Lage erwartet.&amp;nbsp;
Goeze gilt als Vertreter des orthodoxen Luthertums und trat einige Jahre nach dieser Predigt als wichtigster Opponent von Gotthold Ephraim Lessing im sog. „Fragmentenstreit“ hervor. Im Vergleich zu Friedenspredigten des 17. Jahrhunderts zeigt seine Predigt eine deutliche Beeinflussung seiner Gemeinde durch aufklärerisches Gedankengut, dem er entgegenzutreten versucht, aber auch Rechnung tragen muss.&amp;nbsp;
HPJ
</t>
  </si>
  <si>
    <t xml:space="preserve">Intro
Frieden durch göttliches Handeln</t>
  </si>
  <si>
    <t xml:space="preserve">Den Frieden der Völker auf Erden , 34 in: 50 MA 46065</t>
  </si>
  <si>
    <t xml:space="preserve">https://friedensbilder-neu.gnm.de/sites/default/files/2019-06/34-in-50-MA-46065.png</t>
  </si>
  <si>
    <t xml:space="preserve">Den Frieden der Völker auf Erden </t>
  </si>
  <si>
    <t xml:space="preserve">http://friedensbilder.gnm.de/content/frieden_foto_order175cae</t>
  </si>
  <si>
    <t xml:space="preserve">Das mit freudiger Dankbarkeit belebte Herz wahrer Unterthanen Gottes und dieser Landen über den von GOTT uns Geschenkten edlen Frieden </t>
  </si>
  <si>
    <t xml:space="preserve">M: Gn 2756</t>
  </si>
  <si>
    <t xml:space="preserve">Eimbke, Georg Heinrich Bernhard</t>
  </si>
  <si>
    <t xml:space="preserve">hat am Friedens-Feste, welches in den Herzoglichen Braunschweig-Lüneburgischen Landen ... den 17. April 1763. gefeiret worden ...</t>
  </si>
  <si>
    <t xml:space="preserve">A sermon on Psalm Cxxii</t>
  </si>
  <si>
    <t xml:space="preserve">694.h.8(8)</t>
  </si>
  <si>
    <t xml:space="preserve">Printed for W. Johnston in Ludgate Street</t>
  </si>
  <si>
    <t xml:space="preserve">http://find.galegroup.com/ecco/infomark.do?contentSet=ECCOArticles&amp;docType=ECCOArticles&amp;bookId=0224602900&amp;type=getFullCitation&amp;tabID=T001&amp;prodId=ECCO&amp;docLevel=TEXT_GRAPHICS&amp;version=1.0&amp;source=library</t>
  </si>
  <si>
    <t xml:space="preserve">Ver. 6,7,8,9. Preached at the parish church of St. Margaret, Westminster, on Thursday, May 5, 1763, being the Day appointed for the General Thanksgiving for Peace. By Patrick Delany, D. D. Dean of Down, in Ireland</t>
  </si>
  <si>
    <t xml:space="preserve">A sermon preached at the parish-church of Brastead in Kent</t>
  </si>
  <si>
    <t xml:space="preserve">4474.dd.11</t>
  </si>
  <si>
    <t xml:space="preserve">Davis, George</t>
  </si>
  <si>
    <t xml:space="preserve">Printed for R. and J. Dodsley in Pall Mall
S. Baker, in York Street, Covent Garden
J. Beecroft, in Pater Noster Row
B. Barker, in College Street, Westminster
and E. Baker, at Tunbridge Wells</t>
  </si>
  <si>
    <t xml:space="preserve">http://find.galegroup.com/ecco/infomark.do?contentSet=ECCOArticles&amp;docType=ECCOArticles&amp;bookId=0756600400&amp;type=getFullCitation&amp;tabID=T001&amp;prodId=ECCO&amp;docLevel=TEXT_GRAPHICS&amp;version=1.0&amp;source=library</t>
  </si>
  <si>
    <t xml:space="preserve">On Thursday, the fifth of May, 1763. Being the Day appointed by His Majesty for a General Thanksgiving on Account of the Peace. By George Davis, M. A. Master of Queen Elizabeth's Free Grammar-School at Sevenoaks, Kent</t>
  </si>
  <si>
    <t xml:space="preserve">Erweckung zu Dank und Gebet am Friedensfeste</t>
  </si>
  <si>
    <t xml:space="preserve">Hist.Sax.C.1099</t>
  </si>
  <si>
    <t xml:space="preserve">Crusius, Christian August</t>
  </si>
  <si>
    <t xml:space="preserve">http://digital.slub-dresden.de/werkansicht/dlf/112843/1/</t>
  </si>
  <si>
    <t xml:space="preserve">Über den verordneten Text Ps. 28, 6 - 9. </t>
  </si>
  <si>
    <t xml:space="preserve">am 21. März 1763. in der Universitätskirche zu Leipzig in der Frühpredigt vorgetragen</t>
  </si>
  <si>
    <t xml:space="preserve">42672545X</t>
  </si>
  <si>
    <t xml:space="preserve">http://friedensbilder.gnm.de/sites/default/files/00000005.tif_page1_image1.jpg</t>
  </si>
  <si>
    <t xml:space="preserve">Eine Danck- und Friedens-Predigt bey Gelegenheit der Gedächtniß-Feyer des den 15ten Febr. 1763. zwischen Sr. Königl. Majestät in Preussen unsern allergnädigsten König und Herren, der Kayserin, Königin von Ungern und Böhmen Majest. und des Königs von Pohlen und Churfürsten von Sachsen Majestät, zu Hubertusburg in Sachsen geschlossenen Friedens über den vorgeschriebenen Text 1 Reg. 8 v. 56, 57 und 58. am Sontage Oculi in der St. Nicolai Kirche in Berlin gehalten</t>
  </si>
  <si>
    <t xml:space="preserve">AB 153204 (14)</t>
  </si>
  <si>
    <t xml:space="preserve">Cruciger, Johann</t>
  </si>
  <si>
    <t xml:space="preserve">http://digitale.bibliothek.uni-halle.de/urn/urn:nbn:de:gbv:3:1-444939</t>
  </si>
  <si>
    <t xml:space="preserve">1Kön 8,56-58</t>
  </si>
  <si>
    <t xml:space="preserve">National peace a choice blessing of the Lord</t>
  </si>
  <si>
    <t xml:space="preserve">4476.ee.16(13)</t>
  </si>
  <si>
    <t xml:space="preserve">Craner, Thomas</t>
  </si>
  <si>
    <t xml:space="preserve">Printed for Joseph Johnson at Mead's Head, opposite the Monument</t>
  </si>
  <si>
    <t xml:space="preserve">http://find.galegroup.com/ecco/infomark.do?contentSet=ECCOArticles&amp;docType=ECCOArticles&amp;bookId=0770601800&amp;type=getFullCitation&amp;tabID=T001&amp;prodId=ECCO&amp;docLevel=TEXT_GRAPHICS&amp;version=1.0&amp;source=library</t>
  </si>
  <si>
    <t xml:space="preserve">A Sermon Preached to a Congreagation of protestant dissenters, at The Meeting-House over-against the Library in Red-Cross-Street, May the 5th, 1763: being The Day appointed by his Most Excellent Majesty King George, for a Solemn Thanksgiving to Almighty God, for restoring Peace to these Realms. By Thomas Craner. Published at the unanimous Request of the Church and Auditory</t>
  </si>
  <si>
    <t xml:space="preserve">A sermon preached at the Cathedral Church of York, on Thursday, May 5, 1763</t>
  </si>
  <si>
    <t xml:space="preserve">4474.cc.22</t>
  </si>
  <si>
    <t xml:space="preserve">Cowper, Charles</t>
  </si>
  <si>
    <t xml:space="preserve">Printed by A. Ward in Coney Street</t>
  </si>
  <si>
    <t xml:space="preserve">http://find.galegroup.com/ecco/infomark.do?contentSet=ECCOArticles&amp;docType=ECCOArticles&amp;bookId=0633800600&amp;type=getFullCitation&amp;tabID=T001&amp;prodId=ECCO&amp;docLevel=TEXT_GRAPHICS&amp;version=1.0&amp;source=library</t>
  </si>
  <si>
    <t xml:space="preserve">Being the day appointed for a general thanksgiving to Almighty God, for putting an end to the late bloody and expensive war, by the Conclusion of a Peace. By Charles Cowper, A. M. Canon Residentiary of the said Church</t>
  </si>
  <si>
    <t xml:space="preserve">A sermon, preached at the parish church of St. Andrew</t>
  </si>
  <si>
    <t xml:space="preserve">4476.aa.13</t>
  </si>
  <si>
    <t xml:space="preserve">Castelfranc, Gideon</t>
  </si>
  <si>
    <t xml:space="preserve">Printed and sold by Bennet and Woolhead Jamaica : printed and sold by Bennet and Woolhead, Printers to the Honorable Council</t>
  </si>
  <si>
    <t xml:space="preserve">Kingston, Jamaica</t>
  </si>
  <si>
    <t xml:space="preserve">http://find.galegroup.com/ecco/infomark.do?contentSet=ECCOArticles&amp;docType=ECCOArticles&amp;bookId=0385401800&amp;type=getFullCitation&amp;tabID=T001&amp;prodId=ECCO&amp;docLevel=TEXT_GRAPHICS&amp;version=1.0&amp;source=library</t>
  </si>
  <si>
    <t xml:space="preserve">On Friday the second of September, 1763, being the day appointed by His Excellency the Governor, for a general thanksgiving, on account of the peace</t>
  </si>
  <si>
    <t xml:space="preserve">The great blessing of stable times, together with the means of procuring it</t>
  </si>
  <si>
    <t xml:space="preserve">E199.C22</t>
  </si>
  <si>
    <t xml:space="preserve">Caner, Henry
Bernard, Francis</t>
  </si>
  <si>
    <t xml:space="preserve">Printed by Thomas and John Fleet at the Heart &amp; Crown in Cornhill</t>
  </si>
  <si>
    <t xml:space="preserve">http://find.galegroup.com/ecco/retrieve.do?sort=Author&amp;docLevel=TEXT_GRAPHICS&amp;inPS=true&amp;prodId=ECCO&amp;userGroupName=wib7515&amp;doDirectDocNumSearch=false&amp;tabID=T001&amp;resultListType=RESULT_LIST&amp;searchId=R1&amp;currentPosition=2&amp;contentSet=ECCOArticles&amp;showLOI=&amp;bookId=1387100200&amp;collectionId=&amp;relevancePageBatch=CB129870401&amp;retrieveOtherVolume=true</t>
  </si>
  <si>
    <t xml:space="preserve">A sermon preached at King's Chapel in Boston, August 11. 1763. Being a day of thanksgiving appointed by public authority on occasion of the general peace</t>
  </si>
  <si>
    <t xml:space="preserve">Das göttliche Wohlgefallen, Segensströme des Friedens über alles auszubreiten, was bisher von Kriegsfluthen überschwemmt gewesen</t>
  </si>
  <si>
    <t xml:space="preserve">28 in: 50 MA 46065</t>
  </si>
  <si>
    <t xml:space="preserve">http://resolver.staatsbibliothek-berlin.de/SBB0000468200000000</t>
  </si>
  <si>
    <t xml:space="preserve">Bey dem im Jahr 1763. den 10. März auf allerhöchsten königlichen Befehl wegen des den 15. Febr. zu Hubertsburg geschlossenen glorreichen Friedens zwischen Seiner Königl. Majestät in Preußen, und andern Theils der Kaiserinn Königinn von Ungarn und Böhmen Majestät wie auch Sr. Majestät dem Könige von Polen, Churfürsten zu Sachsen, angestellten  höchstfeyerlichem Dankfeste aus dem darzu vorgeschriebenen Texte Psalm 29, v. 10. 11. zu Breßlau in der Hauptkirche zu St. Elisabeth der außerordentlich vornehmen und volkreichen Gemeine mir allgemeiner freudigsten Rührung zum Preise Gottes vorgestellt</t>
  </si>
  <si>
    <t xml:space="preserve">http://friedensbilder.gnm.de/sites/default/files/canvas4.png</t>
  </si>
  <si>
    <t xml:space="preserve">Discourses on several important subjects</t>
  </si>
  <si>
    <t xml:space="preserve">Union Theological College</t>
  </si>
  <si>
    <t xml:space="preserve">HBK-176-24</t>
  </si>
  <si>
    <t xml:space="preserve">Printed by John Bruce and Company and sold at their printinghouse in Craig's Close, and by the booksellers in town and country</t>
  </si>
  <si>
    <t xml:space="preserve">http://find.galegroup.com/ecco/infomark.do?contentSet=ECCOArticles&amp;docType=ECCOArticles&amp;bookId=1589700200&amp;type=getFullCitation&amp;tabID=T001&amp;prodId=ECCO&amp;docLevel=TEXT_GRAPHICS&amp;version=1.0&amp;source=library</t>
  </si>
  <si>
    <t xml:space="preserve">Containing, I. A thanksgiving sermon for the peace in 1748, from Psal cvi. 1, 21, 22, 23. II. A sermon on a fast day, on account of the earthquake at Lisbon, from Hos. ix. 7. and Micah xiii. 8. III. A lecture from Philippians iv. 1. IV. An action sermon on Isaiah xlii. 6. designed to have been preached by the author at the celebration of the sacrament, 7th November 1756, and found among his papers after his death. To which are added, five sermons preached on sacramental occasions, taken from the author's manuscripts, and never before published. By the Late Reverend Mr. John Bisset minister of the Gospel at Aberdeen. Entered in Stationers Hall according to act of Parliament</t>
  </si>
  <si>
    <t xml:space="preserve">Der Segen eines Volks dessen Schild der HErr im Kriege war und im Friede seine Hülfe bleibet</t>
  </si>
  <si>
    <t xml:space="preserve">Bb 4 : 33 [2]</t>
  </si>
  <si>
    <t xml:space="preserve">Basch, Siegmund</t>
  </si>
  <si>
    <t xml:space="preserve">Glünsing</t>
  </si>
  <si>
    <t xml:space="preserve">40, 4 : 148</t>
  </si>
  <si>
    <t xml:space="preserve">Vermutlich Verlust bei Bibliotheksbrand 2004</t>
  </si>
  <si>
    <t xml:space="preserve">bei dem am Sonntage Cantate verordneten FriedensFeste</t>
  </si>
  <si>
    <t xml:space="preserve">15387211X</t>
  </si>
  <si>
    <t xml:space="preserve">Der Segen eines Volks, Bb 4 : 33 [2]</t>
  </si>
  <si>
    <t xml:space="preserve">Der Segen eines Volks</t>
  </si>
  <si>
    <t xml:space="preserve">Stimmen der Boten, die Friede verkündigen</t>
  </si>
  <si>
    <t xml:space="preserve">Pon Vd 3123</t>
  </si>
  <si>
    <t xml:space="preserve">Barth, Christian Heinrich</t>
  </si>
  <si>
    <t xml:space="preserve">Gerlach</t>
  </si>
  <si>
    <t xml:space="preserve">Dresden
Leipzig</t>
  </si>
  <si>
    <t xml:space="preserve">http://digitale.bibliothek.uni-halle.de/urn/urn:nbn:de:gbv:3:1-126797</t>
  </si>
  <si>
    <t xml:space="preserve">[XXI], 111 S.</t>
  </si>
  <si>
    <t xml:space="preserve">welche am 21 März 1763, als am Sächsischen Friedensdankfeste in einigen Gemeinden des Erzgebürges erschollen sind</t>
  </si>
  <si>
    <t xml:space="preserve">http://friedensbilder.gnm.de/sites/default/files/1596533.jpg</t>
  </si>
  <si>
    <t xml:space="preserve">Poetische Dankpredigt, wegen des zwischen Preußen, Oesterreich und Sachsen zu Hubertusburg den 15. Febr. 1763 geschlossenen erwünschten Friedens</t>
  </si>
  <si>
    <t xml:space="preserve">Dd 957 (7)</t>
  </si>
  <si>
    <t xml:space="preserve">http://digitale.bibliothek.uni-halle.de/urn/urn:nbn:de:gbv:3:1-490605</t>
  </si>
  <si>
    <t xml:space="preserve">zum Preis der allerhöchsten Majestät aus erfreutem Herzen gehalten </t>
  </si>
  <si>
    <t xml:space="preserve">http://friedensbilder.gnm.de/sites/default/files/7677399.jpg</t>
  </si>
  <si>
    <t xml:space="preserve">Gott im Frieden</t>
  </si>
  <si>
    <t xml:space="preserve">4 in: Bd 8562</t>
  </si>
  <si>
    <t xml:space="preserve">Arnoldt, Daniel Heinrich</t>
  </si>
  <si>
    <t xml:space="preserve">Zeise
Hartungs Erben</t>
  </si>
  <si>
    <t xml:space="preserve">http://resolver.staatsbibliothek-berlin.de/SBB0000999500000000</t>
  </si>
  <si>
    <t xml:space="preserve">Ps 64,10f</t>
  </si>
  <si>
    <t xml:space="preserve">nach Gelegenheit der Psalm 64,10 u. f. befindlichen Worte</t>
  </si>
  <si>
    <t xml:space="preserve">1763 den 13. Merz, als an den, wegen des zu Hubertusburg den 15. Februar geschloßnen Friedens, geordneten Dankfeste, in der hiesigen Schloßkirche betrachtet </t>
  </si>
  <si>
    <t xml:space="preserve">http://friedensbilder.gnm.de/sites/default/files/Arnoldt.png</t>
  </si>
  <si>
    <t xml:space="preserve">Th 8° 00726/17</t>
  </si>
  <si>
    <t xml:space="preserve">Armand, Jacques</t>
  </si>
  <si>
    <t xml:space="preserve">Broenner</t>
  </si>
  <si>
    <t xml:space="preserve">46 S. </t>
  </si>
  <si>
    <t xml:space="preserve">dans l'eglise Françoise de Hanau, en présence de messieurs les officiers François de regiment du Roy</t>
  </si>
  <si>
    <t xml:space="preserve">Sermon sur l'esprit de l'évangile</t>
  </si>
  <si>
    <t xml:space="preserve">KiAr G III 9:8</t>
  </si>
  <si>
    <t xml:space="preserve">Lehr</t>
  </si>
  <si>
    <t xml:space="preserve">Hanau</t>
  </si>
  <si>
    <t xml:space="preserve">Hauptbibliothek</t>
  </si>
  <si>
    <t xml:space="preserve">A sermon On the Spirit of the Gospel</t>
  </si>
  <si>
    <t xml:space="preserve">Cambridge University Queens' College</t>
  </si>
  <si>
    <t xml:space="preserve">P249</t>
  </si>
  <si>
    <t xml:space="preserve">Armand, Jacques
Davey, Thomas A.</t>
  </si>
  <si>
    <t xml:space="preserve">Chase</t>
  </si>
  <si>
    <t xml:space="preserve">Norwich</t>
  </si>
  <si>
    <t xml:space="preserve">ESTC</t>
  </si>
  <si>
    <t xml:space="preserve">T173198</t>
  </si>
  <si>
    <t xml:space="preserve">http://find.galegroup.com/ecco/infomark.do?contentSet=ECCOArticles&amp;docType=ECCOArticles&amp;bookId=0925100300&amp;type=getFullCitation&amp;tabID=T001&amp;prodId=ECCO&amp;docLevel=TEXT_GRAPHICS&amp;version=1.0&amp;source=library</t>
  </si>
  <si>
    <t xml:space="preserve">45,[1]p.</t>
  </si>
  <si>
    <t xml:space="preserve">preached on account of the peace, in the French church at Hanau, (on the 12th of December, 1762.) before the French officers of the King's Regiment</t>
  </si>
  <si>
    <t xml:space="preserve">Translated by Thomas Davey, School-Master, in Norwich</t>
  </si>
  <si>
    <t xml:space="preserve">http://friedensbilder.gnm.de/sites/default/files/Download Document(1).jpg</t>
  </si>
  <si>
    <t xml:space="preserve">The felicity of the times</t>
  </si>
  <si>
    <t xml:space="preserve">1359.i.1</t>
  </si>
  <si>
    <t xml:space="preserve">Apthorp, East</t>
  </si>
  <si>
    <t xml:space="preserve">Printed by Green and Russell at their printing office in Queen Street</t>
  </si>
  <si>
    <t xml:space="preserve">http://find.galegroup.com/ecco/retrieve.do?retrieveOtherVolume=true&amp;sort=Author&amp;inPS=true&amp;prodId=ECCO&amp;userGroupName=wib7515&amp;tabID=T001&amp;bookId=0651401100&amp;resultListType=RESULT_LIST&amp;searchId=R1&amp;currentPosition=3&amp;contentSet=ECCOArticles&amp;showLOI=&amp;docId=CW3320905957&amp;docLevel=FASCIMILE&amp;workId=CW120905957&amp;relevancePageBatch=CW120905957&amp;retrieveFormat=MULTIPAGE_DOCUMENT&amp;callistoContentSet=ECLL&amp;docPage=article&amp;hilite=y</t>
  </si>
  <si>
    <t xml:space="preserve">A sermon preached at Christ-Church, Cambridge, on Thursday, XI August, MDCCLXIII. Being a day of thanksgiving for the general peace</t>
  </si>
  <si>
    <t xml:space="preserve">Friede macht Freude, oder: Freude über den Frieden</t>
  </si>
  <si>
    <t xml:space="preserve">Hist.Sax.C.1098</t>
  </si>
  <si>
    <t xml:space="preserve">Am Ende, Johann Joachim Gottlob</t>
  </si>
  <si>
    <t xml:space="preserve">http://digital.slub-dresden.de/id42629887X</t>
  </si>
  <si>
    <t xml:space="preserve">Wurde am 21sten März, als an dem allgemeinen Dank-Friedens-Feste, In der Predigt über den 28sten Ps. und deßen 6. 7. 8. u. 9. Vers in der Frauen-Kirche bey dem gewöhnlichen Creutz-Kirchen-Gottesdiens vorgestellet</t>
  </si>
  <si>
    <t xml:space="preserve">und auf anhaltendes Verlangen, auch zum dankbaren Andencken des von GOtt wieder verliehenen Friedens dem Drucke übergeben</t>
  </si>
  <si>
    <t xml:space="preserve">42629887X</t>
  </si>
  <si>
    <t xml:space="preserve">http://friedensbilder.gnm.de/sites/default/files/am Ende.jpg</t>
  </si>
  <si>
    <t xml:space="preserve">Der Dresdener Superintendent und Prediger an der Kreuzkirche, Johann Joachim Gottlob am Ende (1704–1777), hielt die in diesem Druck vorliegende Predigt anlässlich des sächsischen Friedensfests auf den Frieden von Hubertusburg am 21. März 1763. Er predigt aus großer persönlicher Betroffenheit, denn während des Krieges musste er die Zerstörung seiner Predigtkirche, der Kreuzkirche, während der Belagerung von Dresden mit ansehen. Gleichwohl bestimmt Freude den Tenor seiner Predigt. Der Prediger kombiniert den vorgegebenen Predigttext aus Psalm 28 mit einer Auslegung von Sprüche 12,20: „Die zum Frieden raten, machen Freude“. Seine Freude über den Frieden formuliert er im ersten Teil rückblickend auf das Vergangene: Der Krieg hatte besonders für Dresden erhebliche Belastungen und Zerstörungen mit sich gebracht. Im zweiten Teil behandelt Am Ende ebenso wie Goeze in Hamburg die Fragen, wer der Geber des Friedens ist und wie die Menschen über diese gute Gabe Gottes ihre Freude zum Ausdruck bringen sollen. Dabei setzt er sich mit dem Eindruck auseinander, dass der Friede „keinem Lande ... so wenig vorteilhafftig worden, als unserem geliebtesten Vaterlande“&amp;nbsp;sei und spricht direkt die Unzufriedenen an. Er verweist auf die weltweite Dimension des Krieges und die Verbreitung des Evangeliums „bis an die wildesten Völker“. Der Prediger stellt den Gläubigen die Hoffnung auf das Zukünftige vor Augen und widerspricht all jenen, die für die Zukunft als Ergebnis des Friedens „lauter fürchterliche Vorstellungen, lauter traurige Prospecte vorzubilden“&amp;nbsp;unternehmen. Er ruft Städte und Kirchen, Schulen und Gerichten, Händlern, Handwerkern und Bauern sowie den Geflüchtete die Aussicht auf Ruhe und Freiheit zu: „Sachsen wird doch, unter der guten Hand Gottes, Sachsen bleiben.“HPJ</t>
  </si>
  <si>
    <t xml:space="preserve">Frieden durch göttliches Handeln
Herrscherrepräsentation</t>
  </si>
  <si>
    <t xml:space="preserve">Friede macht Freude, oder: Freude über den Frieden, Hist.Sax.C.1098</t>
  </si>
  <si>
    <t xml:space="preserve">https://friedensbilder-neu.gnm.de/sites/default/files/2019-06/Hist_Sax_C_1098_0.png</t>
  </si>
  <si>
    <t xml:space="preserve">http://friedensbilder.gnm.de/content/frieden_foto_order1a46a8</t>
  </si>
  <si>
    <t xml:space="preserve">Dank-Predigt wegen des zwischen Sr. Königl. Majestät in Preussen ... und der Kayserin-Königin von Ungarn, und des Königs von Pohlen ... am 15. Febr. 1763. geschlossenen Friedens</t>
  </si>
  <si>
    <t xml:space="preserve">Hist.Germ.D.767.k</t>
  </si>
  <si>
    <t xml:space="preserve">Abel, Heinrich Friderich</t>
  </si>
  <si>
    <t xml:space="preserve">Hechtel</t>
  </si>
  <si>
    <t xml:space="preserve">Leipzig
Magdeburg
Frankfurt an der Oder</t>
  </si>
  <si>
    <t xml:space="preserve">http://digital.slub-dresden.de/ppn323858147</t>
  </si>
  <si>
    <t xml:space="preserve">in der Hohen Stiftskirche zu Magdeburg über Psalm 122, 6--9. gehalten </t>
  </si>
  <si>
    <t xml:space="preserve">http://friedensbilder.gnm.de/sites/default/files/Abel.jpg</t>
  </si>
  <si>
    <t xml:space="preserve">Sermon sur l'esprit de l'evangile Prononcé a l'occasion de la paix</t>
  </si>
  <si>
    <t xml:space="preserve">Hib.7.767.2</t>
  </si>
  <si>
    <t xml:space="preserve">Sleater</t>
  </si>
  <si>
    <t xml:space="preserve">T192383</t>
  </si>
  <si>
    <t xml:space="preserve">http://find.galegroup.com/ecco/infomark.do?contentSet=ECCOArticles&amp;docType=ECCOArticles&amp;bookId=1676700600&amp;type=getFullCitation&amp;tabID=T001&amp;prodId=ECCO&amp;docLevel=TEXT_GRAPHICS&amp;version=1.0&amp;source=library</t>
  </si>
  <si>
    <t xml:space="preserve">35,[1]p.</t>
  </si>
  <si>
    <t xml:space="preserve">http://friedensbilder.gnm.de/sites/default/files/Download Document.jpg</t>
  </si>
  <si>
    <t xml:space="preserve">Two discourses on the spirit and evidences of Christianity</t>
  </si>
  <si>
    <t xml:space="preserve">4015.cc.4</t>
  </si>
  <si>
    <t xml:space="preserve">Robertson</t>
  </si>
  <si>
    <t xml:space="preserve">T100848</t>
  </si>
  <si>
    <t xml:space="preserve">http://find.galegroup.com/ecco/infomark.do?contentSet=ECCOArticles&amp;docType=ECCOArticles&amp;bookId=0847600100&amp;type=getFullCitation&amp;tabID=T001&amp;prodId=ECCO&amp;docLevel=TEXT_GRAPHICS&amp;version=1.0&amp;source=library</t>
  </si>
  <si>
    <t xml:space="preserve">xl, 84 S.</t>
  </si>
  <si>
    <t xml:space="preserve">The former preached at the Hague, the 8th September 1762: the latter delivered in the French Church of Hanau, on the occasion of the late peace, to a Congregation composed of Catholics and Protestants, at their own desire. Translated from the original French of the Rev. Mr. James Armand Minister of the Walloon Church in Hanau: And Dedicated, by the Translator, to the Rev. Moderator of the General Assembly 1768</t>
  </si>
  <si>
    <t xml:space="preserve">http://friedensbilder.gnm.de/sites/default/files/_SRXYM7AEA6JkBIAX@)Wsimq.jpg</t>
  </si>
  <si>
    <t xml:space="preserve">Eine Predigt von dem wahren und falschen Frieden</t>
  </si>
  <si>
    <t xml:space="preserve">5 in: Dm 12006</t>
  </si>
  <si>
    <t xml:space="preserve">Harmsen</t>
  </si>
  <si>
    <t xml:space="preserve">1016829X</t>
  </si>
  <si>
    <t xml:space="preserve">http://resolver.staatsbibliothek-berlin.de/SBB0000A46F00000000</t>
  </si>
  <si>
    <t xml:space="preserve">XXXII, 152 S.</t>
  </si>
  <si>
    <t xml:space="preserve">Am Sontage Misericord. Domini dieses Jahres, über das ordentliche Evangelium, Joh. 10, 12-16. gehalten, und hernach weiter ausgeführet, und mit erläuternden Anmerkungen und einigen Zugaben versehen</t>
  </si>
  <si>
    <t xml:space="preserve">Keine Friedenspredigt im engeren Sinne, vielmehr eine Predigt über die Notwendigkeit einer konfessionell kompromisslosen Haltung -- und damit nah an den "Friedenspredigt" betitelten Streitschriften des frühen 17. Jahrhunderts.</t>
  </si>
  <si>
    <t xml:space="preserve">http://friedensbilder.gnm.de/sites/default/files/Goeze_0.png</t>
  </si>
  <si>
    <t xml:space="preserve">Predigt noch einmal genauer ansehen; die Vorrede verortet die Predigt im Kontext der Streitigkeiten mit Büsching.</t>
  </si>
  <si>
    <t xml:space="preserve">Mußkaus Lob- und Dank-Opfer am Friedens-Feste</t>
  </si>
  <si>
    <t xml:space="preserve">Pon Yd 2412, QK</t>
  </si>
  <si>
    <t xml:space="preserve">Vogel, Johann Georg</t>
  </si>
  <si>
    <t xml:space="preserve">Beneke</t>
  </si>
  <si>
    <t xml:space="preserve">Pförten, Niederlausitz</t>
  </si>
  <si>
    <t xml:space="preserve">http://nbn-resolving.org/urn:nbn:de:gbv:3:1-201108</t>
  </si>
  <si>
    <t xml:space="preserve">den I Sonnt. nach Trinit. 1779. über Ps. 147, v. 12-14. in der Amts-Predigt vorgestellt, und nebst Beschreibung der dabey gewesenen Feyerlichkeiten und eines errichteten Monuments herausgegeben</t>
  </si>
  <si>
    <t xml:space="preserve">http://friedensbilder.gnm.de/sites/default/files/2901900.jpg</t>
  </si>
  <si>
    <t xml:space="preserve">Friedenspredigt am 23. May 1779</t>
  </si>
  <si>
    <t xml:space="preserve">3.A.6062,angeb.5</t>
  </si>
  <si>
    <t xml:space="preserve">Teller, Wilhelm Abraham</t>
  </si>
  <si>
    <t xml:space="preserve">Decker</t>
  </si>
  <si>
    <t xml:space="preserve">http://digital.slub-dresden.de/id338914579</t>
  </si>
  <si>
    <t xml:space="preserve">http://friedensbilder.gnm.de/sites/default/files/Teller.png</t>
  </si>
  <si>
    <t xml:space="preserve">Sermon sur la Paix De Teschen</t>
  </si>
  <si>
    <t xml:space="preserve">2 in: Rz 5458</t>
  </si>
  <si>
    <t xml:space="preserve">Reclam, Peter Christian Friedrich</t>
  </si>
  <si>
    <t xml:space="preserve">http://digital.staatsbibliothek-berlin.de/werkansicht?PPN=PPN878737340&amp;PHYSID=PHYS_0001&amp;DMDID=</t>
  </si>
  <si>
    <t xml:space="preserve">prononcé dans la Temple de la Fridrichstadt le Dimanche de la Pentecôte 23 Mai 1779</t>
  </si>
  <si>
    <t xml:space="preserve">http://friedensbilder.gnm.de/sites/default/files/Reclam.png</t>
  </si>
  <si>
    <t xml:space="preserve">Rz 5463</t>
  </si>
  <si>
    <t xml:space="preserve">Laurillard dit Fallot, Georges Jacques</t>
  </si>
  <si>
    <t xml:space="preserve">Hoffmann</t>
  </si>
  <si>
    <t xml:space="preserve">Unikat unvollständig</t>
  </si>
  <si>
    <t xml:space="preserve">prononcés le 30 de Mai et le 6 de Juin Cleves 1779</t>
  </si>
  <si>
    <t xml:space="preserve">Sermon Sur La Paix De Teschen</t>
  </si>
  <si>
    <t xml:space="preserve">Hist.Germ.D.389,3</t>
  </si>
  <si>
    <t xml:space="preserve">de Bordeaux et fils</t>
  </si>
  <si>
    <t xml:space="preserve">http://digital.slub-dresden.de/id34943686X</t>
  </si>
  <si>
    <t xml:space="preserve">Prononcé Dans L'Eglise De Buchholtz, Le Dimanche 30. Mai</t>
  </si>
  <si>
    <t xml:space="preserve">34943686X</t>
  </si>
  <si>
    <t xml:space="preserve">http://friedensbilder.gnm.de/sites/default/files/Formey2.jpg</t>
  </si>
  <si>
    <t xml:space="preserve">Sermon prononcé le 23 May dans le temple dur Werder</t>
  </si>
  <si>
    <t xml:space="preserve">1 in:@Rz 5458</t>
  </si>
  <si>
    <t xml:space="preserve">Erman, Jean Pierre</t>
  </si>
  <si>
    <t xml:space="preserve">1174085X</t>
  </si>
  <si>
    <t xml:space="preserve">http://resolver.staatsbibliothek-berlin.de/SBB0001F2C300000000</t>
  </si>
  <si>
    <t xml:space="preserve">http://friedensbilder.gnm.de/sites/default/files/Erman.png</t>
  </si>
  <si>
    <t xml:space="preserve">A sermon on the blessings of peace</t>
  </si>
  <si>
    <t xml:space="preserve">RB.23.b.2011</t>
  </si>
  <si>
    <t xml:space="preserve">Cordiner, Charles</t>
  </si>
  <si>
    <t xml:space="preserve">Printed for B.White in Fleet Street</t>
  </si>
  <si>
    <t xml:space="preserve">http://find.galegroup.com/ecco/infomark.do?contentSet=ECCOArticles&amp;docType=ECCOArticles&amp;bookId=1260501300&amp;type=getFullCitation&amp;tabID=T001&amp;prodId=ECCO&amp;docLevel=TEXT_GRAPHICS&amp;version=1.0&amp;source=library</t>
  </si>
  <si>
    <t xml:space="preserve">Preached the first Sunday after Easter. By the Revd Charles Cordiner, Minister of St. Andrew's Chapel, in Banff</t>
  </si>
  <si>
    <t xml:space="preserve">A thanksgiving sermon delivered at Boston December 11, 1783</t>
  </si>
  <si>
    <t xml:space="preserve">4485.c.67</t>
  </si>
  <si>
    <t xml:space="preserve">Willard, Joseph</t>
  </si>
  <si>
    <t xml:space="preserve">Printed by T. and J. Fleet</t>
  </si>
  <si>
    <t xml:space="preserve">http://find.galegroup.com/ecco/infomark.do?contentSet=ECCOArticles&amp;docType=ECCOArticles&amp;bookId=0448102500&amp;type=getFullCitation&amp;tabID=T001&amp;prodId=ECCO&amp;docLevel=TEXT_GRAPHICS&amp;version=1.0&amp;source=library</t>
  </si>
  <si>
    <t xml:space="preserve">To the religious society in Brattle Street, under the pastoral care of the Rev. Samuel Cooper, D.D. By the Rev. Joseph Willard, A.M. President of the university in Cambridge</t>
  </si>
  <si>
    <t xml:space="preserve">2.20 Paris USA 1783-12-11</t>
  </si>
  <si>
    <t xml:space="preserve">The doctrine of a providence, illustrated and applied in a sermon, preached to a congregation of protestant dissenters, at Nottingham, July 29, 1784; being the Day Appointed for a General Thanksgiving, on the Conclusion of the Late Destructive War. By the Rev. George Walker, F.R.S.</t>
  </si>
  <si>
    <t xml:space="preserve">4474.cc.109</t>
  </si>
  <si>
    <t xml:space="preserve">Walker, George</t>
  </si>
  <si>
    <t xml:space="preserve">Printed for J. Johnson No 72, St Paul's ChurchYard,</t>
  </si>
  <si>
    <t xml:space="preserve">http://find.galegroup.com/ecco/infomark.do?contentSet=ECCOArticles&amp;docType=ECCOArticles&amp;bookId=0582001800&amp;type=getFullCitation&amp;tabID=T001&amp;prodId=ECCO&amp;docLevel=TEXT_GRAPHICS&amp;version=1.0&amp;sourc</t>
  </si>
  <si>
    <t xml:space="preserve">2.21 Paris England 1784-07-29</t>
  </si>
  <si>
    <t xml:space="preserve">A sermon preached at Richmond in Surry on July 29th 1784</t>
  </si>
  <si>
    <t xml:space="preserve">3755.d.11(4)</t>
  </si>
  <si>
    <t xml:space="preserve">Wakefield, Gilbert</t>
  </si>
  <si>
    <t xml:space="preserve">Printed for J. Johnson No 72, St Paul's Church Yard,</t>
  </si>
  <si>
    <t xml:space="preserve">http://find.galegroup.com/ecco/infomark.do?contentSet=ECCOArticles&amp;docType=ECCOArticles&amp;bookId=0042501100&amp;type=getFullCitation&amp;tabID=T001&amp;prodId=ECCO&amp;docLevel=TEXT_GRAPHICS&amp;version=1.0&amp;source=library</t>
  </si>
  <si>
    <t xml:space="preserve">The day appointed for a general thanksgiving on account of the peace. By Gilbert Wakefield, B. A. Late Fellow of Jesus-College, Cambridge</t>
  </si>
  <si>
    <t xml:space="preserve">God is to be praised for the glory of his majesty, and for his mighty works</t>
  </si>
  <si>
    <t xml:space="preserve">E297.T86</t>
  </si>
  <si>
    <t xml:space="preserve">Trumbull, Benjamin</t>
  </si>
  <si>
    <t xml:space="preserve">Printed by Thomas and Samuel Green</t>
  </si>
  <si>
    <t xml:space="preserve">http://find.galegroup.com/ecco/retrieve.do?qrySerId=Locale%28en%2C%2C%29%3AFQE%3D%28A0%2CNone%2C18%29Trumbull%2C+Benjamin%3AAnd%3ALQE%3D%28da%2CNone%2C4%291784%3AAnd%3ALQE%3D%28BA%2CNone%2C124%292NEF+Or+0LRH+Or+2NEK+Or+0LRL+Or+2NEI+Or+0LRI+Or+2NEJ+Or+0LRK+Or+2NEG+Or+0LRF+Or+2NEH+Or+0LRJ+Or+2NEM+Or+0LRN+Or+2NEL+Or+0LRM%24&amp;sort=Author&amp;docLevel=TEXT_GRAPHICS&amp;inPS=true&amp;prodId=ECCO&amp;userGroupName=wib7515&amp;doDirectDocNumSearch=false&amp;tabID=T001&amp;resultListType=RESULT_LIST&amp;searchId=R1&amp;currentPosition=1&amp;contentSet=ECCOArticles&amp;showLOI=&amp;bookId=1383000200&amp;collectionId=W012550&amp;relevancePageBatch=CB131560269</t>
  </si>
  <si>
    <t xml:space="preserve">A sermon, delivered at North-Haven, December 11, 1783. The day appointed by the United States for a general thanksgiving on account of the peace concluded with Great-Britain</t>
  </si>
  <si>
    <t xml:space="preserve">A sermon preached before the Lords</t>
  </si>
  <si>
    <t xml:space="preserve">681.g.12(5)</t>
  </si>
  <si>
    <t xml:space="preserve">Smallwell, Edward</t>
  </si>
  <si>
    <t xml:space="preserve">Printed for J. and J. Fletcher in the Turl</t>
  </si>
  <si>
    <t xml:space="preserve">http://find.galegroup.com/ecco/infomark.do?contentSet=ECCOArticles&amp;docType=ECCOArticles&amp;bookId=0224900800&amp;type=getFullCitation&amp;tabID=T001&amp;prodId=ECCO&amp;docLevel=TEXT_GRAPHICS&amp;version=1.0&amp;source=library</t>
  </si>
  <si>
    <t xml:space="preserve">Spiritual and temporal, in the abbey church, Westminster, on Thursday, July 30, 1784, being The Day appointed to be observed as a Day of General Thanksgiving. By Edward, Lord Bishop of St. David's</t>
  </si>
  <si>
    <t xml:space="preserve">A thanksgiving sermon, preached July 29, 1784</t>
  </si>
  <si>
    <t xml:space="preserve">4474.dd.65</t>
  </si>
  <si>
    <t xml:space="preserve">Scott, Thomas</t>
  </si>
  <si>
    <t xml:space="preserve">Printed and sold by Thomas Dicey and Co.</t>
  </si>
  <si>
    <t xml:space="preserve">http://find.galegroup.com/ecco/infomark.do?contentSet=ECCOArticles&amp;docType=ECCOArticles&amp;bookId=0913601700&amp;type=getFullCitation&amp;tabID=T001&amp;prodId=ECCO&amp;docLevel=TEXT_GRAPHICS&amp;version=1.0&amp;source=library</t>
  </si>
  <si>
    <t xml:space="preserve">At the parish church of Olney, Bucks, by Thomas Scott, Curate of Olney and Weston-Underwood</t>
  </si>
  <si>
    <t xml:space="preserve">The Divine goodness displayed, in the American Revolution</t>
  </si>
  <si>
    <t xml:space="preserve">E297.R69</t>
  </si>
  <si>
    <t xml:space="preserve">Rodgers, John</t>
  </si>
  <si>
    <t xml:space="preserve">Printed by Samuel Loudon</t>
  </si>
  <si>
    <t xml:space="preserve">http://find.galegroup.com/ecco/infomark.do?contentSet=ECCOArticles&amp;docType=ECCOArticles&amp;bookId=1254600400&amp;type=getFullCitation&amp;tabID=T001&amp;prodId=ECCO&amp;docLevel=TEXT_GRAPHICS&amp;version=1.0&amp;source=librar</t>
  </si>
  <si>
    <t xml:space="preserve">A sermon, preached in New-York, December 11th, 1783. Appointed by Congress, as a day of public thanksgiving, throughout the United States; by John Rodgers, D.D.</t>
  </si>
  <si>
    <t xml:space="preserve">A sermon preached before the Honourable House of Commons</t>
  </si>
  <si>
    <t xml:space="preserve">114.e.22</t>
  </si>
  <si>
    <t xml:space="preserve">Pretyman, George</t>
  </si>
  <si>
    <t xml:space="preserve">Printed for B. White Fleet Street</t>
  </si>
  <si>
    <t xml:space="preserve">http://find.galegroup.com/ecco/infomark.do?contentSet=ECCOArticles&amp;docType=ECCOArticles&amp;bookId=0224900900&amp;type=getFullCitation&amp;tabID=T001&amp;prodId=ECCO&amp;docLevel=TEXT_GRAPHICS&amp;version=1.0&amp;source=library</t>
  </si>
  <si>
    <t xml:space="preserve">At St. Margaret's, Westminster, on Thursday, July 29, 1784: Being the Day appointed, by His Majesty's Proclamation, for a General Thanksgiving. By George Pretyman, D. D. Prebendary of Westminster</t>
  </si>
  <si>
    <t xml:space="preserve">A sermon, delivered to the First Religious Society in Roxbury, December 11, 1783</t>
  </si>
  <si>
    <t xml:space="preserve">E297 .P84 Am Imp</t>
  </si>
  <si>
    <t xml:space="preserve">Porter, Eliphalet</t>
  </si>
  <si>
    <t xml:space="preserve">Printed by Adams and Nourse</t>
  </si>
  <si>
    <t xml:space="preserve">Being the first day of public thanksgiving, in America, after the restoration of peace, and the ulitmate acknowledgment of her independence</t>
  </si>
  <si>
    <t xml:space="preserve">Two sermons, preached in the parish church of Laycock, Wilts</t>
  </si>
  <si>
    <t xml:space="preserve">4461.bbb.25</t>
  </si>
  <si>
    <t xml:space="preserve">Popham, Edward</t>
  </si>
  <si>
    <t xml:space="preserve">Printed and sold by S. Hazard</t>
  </si>
  <si>
    <t xml:space="preserve">Bath</t>
  </si>
  <si>
    <t xml:space="preserve">http://find.galegroup.com/ecco/infomark.do?contentSet=ECCOArticles&amp;docType=ECCOArticles&amp;bookId=0938300300&amp;type=getFullCitation&amp;tabID=T001&amp;prodId=ECCO&amp;docLevel=TEXT_GRAPHICS&amp;version=1.0&amp;source=librar</t>
  </si>
  <si>
    <t xml:space="preserve">The former on February 8, 1782; being the day appointed by proclamation, for a public fast: the latter on July 29, 1784; Being the Day appointed by Proclamation, for a General Thanksgiving, for the Peace. By Edward Popham, D. D. Rector of Chilton-Foliat, and Vicar of Laycock, Wilts</t>
  </si>
  <si>
    <t xml:space="preserve">Reflections on the goodness of God in supporting the people of the United States through the late war, and giving them so advantageous and honourable a peace</t>
  </si>
  <si>
    <t xml:space="preserve">E297.082</t>
  </si>
  <si>
    <t xml:space="preserve">Osgood, David</t>
  </si>
  <si>
    <t xml:space="preserve">Printed by T. and  J. Fleet</t>
  </si>
  <si>
    <t xml:space="preserve">http://find.galegroup.com/ecco/retrieve.do?qrySerId=Locale%28en%2C%2C%29%3AFQE%3D%28A0%2CNone%2C13%29Osgood%2C+David%3AAnd%3ALQE%3D%28da%2CNone%2C4%291784%3AAnd%3ALQE%3D%28BA%2CNone%2C124%292NEF+Or+0LRH+Or+2NEK+Or+0LRL+Or+2NEI+Or+0LRI+Or+2NEJ+Or+0LRK+Or+2NEG+Or+0LRF+Or+2NEH+Or+0LRJ+Or+2NEM+Or+0LRN+Or+2NEL+Or+0LRM%24&amp;sort=Author&amp;docLevel=TEXT_GRAPHICS&amp;inPS=true&amp;prodId=ECCO&amp;userGroupName=wib7515&amp;doDirectDocNumSearch=false&amp;tabID=T001&amp;resultListType=RESULT_LIST&amp;searchId=R2&amp;currentPosition=1&amp;contentSet=ECCOArticles&amp;showLOI=&amp;bookId=1492401700&amp;collectionId=W021696&amp;relevancePageBatch=CB127593836</t>
  </si>
  <si>
    <t xml:space="preserve">A sermon preached on the day day of annual and national thanksgiving December 11, 1783</t>
  </si>
  <si>
    <t xml:space="preserve">A sermon, preached upon the occasion, of the general thanksgiving</t>
  </si>
  <si>
    <t xml:space="preserve">4476.cc.73</t>
  </si>
  <si>
    <t xml:space="preserve">Keate, William</t>
  </si>
  <si>
    <t xml:space="preserve">http://find.galegroup.com/ecco/infomark.do?contentSet=ECCOArticles&amp;docType=ECCOArticles&amp;bookId=0738600700&amp;type=getFullCitation&amp;tabID=T001&amp;prodId=ECCO&amp;docLevel=TEXT_GRAPHICS&amp;version=1.0&amp;source=library</t>
  </si>
  <si>
    <t xml:space="preserve">For the late peace, July 29th. 1784. By the Rev. William Keate, M. A. Formerly Fellow of King's College. Cambridge, and Rector of Piddle-Hinton, Dorsetshire</t>
  </si>
  <si>
    <t xml:space="preserve">A sermon preached on the 29th of July, 1784</t>
  </si>
  <si>
    <t xml:space="preserve">694.h.8(11)</t>
  </si>
  <si>
    <t xml:space="preserve">Hunter, William</t>
  </si>
  <si>
    <t xml:space="preserve">Printed for the authorby J. Tymbs</t>
  </si>
  <si>
    <t xml:space="preserve">http://find.galegroup.com/ecco/infomark.do?contentSet=ECCOArticles&amp;docType=ECCOArticles&amp;bookId=0224900200&amp;type=getFullCitation&amp;tabID=T001&amp;prodId=ECCO&amp;docLevel=TEXT_GRAPHICS&amp;version=1.0&amp;source=library</t>
  </si>
  <si>
    <t xml:space="preserve">Being appointed a day of general thanksgiving, upon the re-establishment of peace, by the Rev. William Hunter, M. A. Rector Of ST. Ann's, Limehouse, London</t>
  </si>
  <si>
    <t xml:space="preserve">The Lord our deliverer</t>
  </si>
  <si>
    <t xml:space="preserve">RB.23.a.19293</t>
  </si>
  <si>
    <t xml:space="preserve">Gaskin, George</t>
  </si>
  <si>
    <t xml:space="preserve">http://find.galegroup.com/ecco/infomark.do?contentSet=ECCOArticles&amp;docType=ECCOArticles&amp;bookId=1680300700&amp;type=getFullCitation&amp;tabID=T001&amp;prodId=ECCO&amp;docLevel=TEXT_GRAPHICS&amp;version=1.0&amp;source=library</t>
  </si>
  <si>
    <t xml:space="preserve">A sermon preached in the parish-churches of Mepal and Sutton, in the Diocese and Isle of Ely, on Thursday, July 29, 1784; (being the day appointed for a general Thanksgiving to Almighty God, for putting an end to the late bloody, extended, and expensive war.) By George Gaskin, M.A. rector of Mepal cum Sutton, and lecturer of St. Mary, Islington, Middlesex</t>
  </si>
  <si>
    <t xml:space="preserve">The due method of keeping the Sabbath, and its reward</t>
  </si>
  <si>
    <t xml:space="preserve">695.g.5(12)</t>
  </si>
  <si>
    <t xml:space="preserve">Ellis, William</t>
  </si>
  <si>
    <t xml:space="preserve">Printed by R. Raikes</t>
  </si>
  <si>
    <t xml:space="preserve">Glocester</t>
  </si>
  <si>
    <t xml:space="preserve">http://find.galegroup.com/ecco/infomark.do?contentSet=ECCOArticles&amp;docType=ECCOArticles&amp;bookId=0770600700&amp;type=getFullCitation&amp;tabID=T001&amp;prodId=ECCO&amp;docLevel=TEXT_GRAPHICS&amp;version=1.0&amp;source=lib</t>
  </si>
  <si>
    <t xml:space="preserve">A sermon, preached at the parish church of Stroud, Glocestershire, on the day of thanksgiving. July 29, 1784. By the Rev. W. Ellis, curate of Stroud, and Chaplain to the right Hon. Lord Ducie. The profits of this sermon are appropriated to the support of the Sunday schools established in the Parish of Stroud. To which are annexed, Rules for the management of the abovementioned schools</t>
  </si>
  <si>
    <t xml:space="preserve">A sermon preached in the Third Presbyterian Church in the city of Philadelphia, on Thursday December 11, 1783</t>
  </si>
  <si>
    <t xml:space="preserve">4486.bb.25</t>
  </si>
  <si>
    <t xml:space="preserve">Duffield, George</t>
  </si>
  <si>
    <t xml:space="preserve">http://find.galegroup.com/ecco/retrieve.do?qrySerId=Locale%28en%2C%2C%29%3AFQE%3D%28A0%2CNone%2C16%29Duffield%2C+George%3AAnd%3ALQE%3D%28da%2CNone%2C4%291784%3AAnd%3ALQE%3D%28BA%2CNone%2C124%292NEF+Or+0LRH+Or+2NEK+Or+0LRL+Or+2NEI+Or+0LRI+Or+2NEJ+Or+0LRK+Or+2NEG+Or+0LRF+Or+2NEH+Or+0LRJ+Or+2NEM+Or+0LRN+Or+2NEL+Or+0LRM%24&amp;sort=Author&amp;docLevel=TEXT_GRAPHICS&amp;inPS=true&amp;prodId=ECCO&amp;userGroupName=wib7515&amp;doDirectDocNumSearch=false&amp;tabID=T001&amp;resultListType=RESULT_LIST&amp;searchId=R1&amp;currentPosition=1&amp;contentSet=ECCOArticles&amp;showLOI=&amp;bookId=0410101700&amp;collectionId=W029351&amp;relevancePageBatch=CW119723369</t>
  </si>
  <si>
    <t xml:space="preserve">The day appointed by the United States in Congress assembled, to be observed as a day of thanksgiving, for the restoration of peace, and establishment of our independence, in the enjoyment of our rights and privileges</t>
  </si>
  <si>
    <t xml:space="preserve">A thanksgiving sermon preached to his people 29 July, 1784</t>
  </si>
  <si>
    <t xml:space="preserve">4474.cc.28</t>
  </si>
  <si>
    <t xml:space="preserve">Dickens, Charles</t>
  </si>
  <si>
    <t xml:space="preserve">Printed by J. Archdeacon</t>
  </si>
  <si>
    <t xml:space="preserve">http://find.galegroup.com/ecco/infomark.do?contentSet=ECCOArticles&amp;docType=ECCOArticles&amp;bookId=0665102800&amp;type=getFullCitation&amp;tabID=T001&amp;prodId=ECCO&amp;docLevel=TEXT_GRAPHICS&amp;version=1.0&amp;source=library</t>
  </si>
  <si>
    <t xml:space="preserve">By Charles Dickens, LL.D. Vicar of Hemingford Grey, Huntingdonshire, from these Words, - the Streets of the City Shall be Full of Boys and Girls, Playing in the Streets Thereof. (zechariah viii. 5.) and Inscribed to her Grace, the Duchess of Argyll</t>
  </si>
  <si>
    <t xml:space="preserve">A sermon preached in Billerica, December 11, 1783</t>
  </si>
  <si>
    <t xml:space="preserve">4486.b.22</t>
  </si>
  <si>
    <t xml:space="preserve">Cumings, Henry</t>
  </si>
  <si>
    <t xml:space="preserve">http://find.galegroup.com/ecco/infomark.do?contentSet=ECCOArticles&amp;docType=ECCOArticles&amp;bookId=0665301500&amp;type=getFullCitation&amp;tabID=T001&amp;prodId=ECCO&amp;docLevel=TEXT_GRAPHICS&amp;version=1.0&amp;source=library</t>
  </si>
  <si>
    <t xml:space="preserve">The day recommended by Congress to all the states, to be observed as a day of public thanksgiving, and appointed to be observed accordingly, throughout the Commonwealth of Massachusetts, by the authority of the same. By Henry Cumings, A.M. Pastor of the church there</t>
  </si>
  <si>
    <t xml:space="preserve">The miseries of war, and the hope of final and universal peace, set forth in a thanksgiving sermon, preached at Colyton, in the county of Devon, July 29th, 1784, by Joseph Cornish</t>
  </si>
  <si>
    <t xml:space="preserve">4473.e.32(7)</t>
  </si>
  <si>
    <t xml:space="preserve">Cornish, Joseph</t>
  </si>
  <si>
    <t xml:space="preserve">Printed by T. Norris</t>
  </si>
  <si>
    <t xml:space="preserve">Taunton</t>
  </si>
  <si>
    <t xml:space="preserve">http://find.galegroup.com/ecco/infomark.do?contentSet=ECCOArticles&amp;docType=ECCOArticles&amp;bookId=0700200600&amp;type=getFullCitation&amp;tabID=T001&amp;prodId=ECCO&amp;docLevel=TEXT_GRAPHICS&amp;version=1.0&amp;source=library</t>
  </si>
  <si>
    <t xml:space="preserve">A sermon, delivered at New-London, North-Parish</t>
  </si>
  <si>
    <t xml:space="preserve">Evans 18422</t>
  </si>
  <si>
    <t xml:space="preserve">Cook, Rozel</t>
  </si>
  <si>
    <t xml:space="preserve">Timothy Green</t>
  </si>
  <si>
    <t xml:space="preserve">New London, CT</t>
  </si>
  <si>
    <t xml:space="preserve">https://nl.sub.uni-goettingen.de/id/aas03010025</t>
  </si>
  <si>
    <t xml:space="preserve">upon the anniversary Thanksgiving, December 11, 1783</t>
  </si>
  <si>
    <t xml:space="preserve">http://friedensbilder.gnm.de/sites/default/files/default.jpg</t>
  </si>
  <si>
    <t xml:space="preserve">A sermon preached on Thursday the twenty-ninth of July, MDCCLXXXIV, the late day of national thanksgiving, to a congregation of Protestant-dissenters, in Saint-Saviour-Gate, York</t>
  </si>
  <si>
    <t xml:space="preserve">4475.f.50(7)</t>
  </si>
  <si>
    <t xml:space="preserve">Cappe, Newcome</t>
  </si>
  <si>
    <t xml:space="preserve">Printed by A. Ward</t>
  </si>
  <si>
    <t xml:space="preserve">http://find.galegroup.com/ecco/infomark.do?contentSet=ECCOArticles&amp;docType=ECCOArticles&amp;bookId=0546402100&amp;type=getFullCitation&amp;tabID=T001&amp;prodId=ECCO&amp;docLevel=TEXT_GRAPHICS&amp;version=1.0&amp;source=library</t>
  </si>
  <si>
    <t xml:space="preserve">A sermon preached in Greenwich church, on Thursday, July 29, 1784</t>
  </si>
  <si>
    <t xml:space="preserve">694.h.8(4)</t>
  </si>
  <si>
    <t xml:space="preserve">Burnaby, Andrew</t>
  </si>
  <si>
    <t xml:space="preserve">Printed for T. Payne and Son</t>
  </si>
  <si>
    <t xml:space="preserve">http://find.galegroup.com/ecco/infomark.do?contentSet=ECCOArticles&amp;docType=ECCOArticles&amp;bookId=0224602600&amp;type=getFullCitation&amp;tabID=T001&amp;prodId=ECCO&amp;docLevel=TEXT_GRAPHICS&amp;version=1.0&amp;source=library</t>
  </si>
  <si>
    <t xml:space="preserve">The day appointed for a general thanksgiving: and printed at the desire of several of the most respectable inhabitants of the place. By the Rev. Andrew Burnaby, D.D. vicar of Greenwich</t>
  </si>
  <si>
    <t xml:space="preserve">America saved, or Divine glory displayed, in the late war with Great Britain</t>
  </si>
  <si>
    <t xml:space="preserve">4486.e.57</t>
  </si>
  <si>
    <t xml:space="preserve">Brockway, Thomas</t>
  </si>
  <si>
    <t xml:space="preserve">Printed by Hudson and Goodwin</t>
  </si>
  <si>
    <t xml:space="preserve">Hartford, CT</t>
  </si>
  <si>
    <t xml:space="preserve">http://find.galegroup.com/ecco/infomark.do?contentSet=ECCOArticles&amp;docType=ECCOArticles&amp;bookId=0640602400&amp;type=getFullCitation&amp;tabID=T001&amp;prodId=ECCO&amp;docLevel=TEXT_GRAPHICS&amp;version=1.0&amp;source=library</t>
  </si>
  <si>
    <t xml:space="preserve">A thanksgiving sermon, preached in Lebanon, Second Society, and now offered to the public, at the desire of a number of the hearers. By Thomas Brockway, A.M. Pastor of the church in said society</t>
  </si>
  <si>
    <t xml:space="preserve">The divine conduct reviewed</t>
  </si>
  <si>
    <t xml:space="preserve">4473.c.8(8)</t>
  </si>
  <si>
    <t xml:space="preserve">Bennet, William</t>
  </si>
  <si>
    <t xml:space="preserve">Printed by R. Hett</t>
  </si>
  <si>
    <t xml:space="preserve">http://find.galegroup.com/ecco/infomark.do?contentSet=ECCOArticles&amp;docType=ECCOArticles&amp;bookId=0372201900&amp;type=getFullCitation&amp;tabID=T001&amp;prodId=ECCO&amp;docLevel=TEXT_GRAPHICS&amp;version=1.0&amp;source=library</t>
  </si>
  <si>
    <t xml:space="preserve">A sermon preached in the Meeting-House, on the Pavement, Moorfields, July 29, 1784; being a day of general thanksgiving. By William Bennet. Published by desire of the church and congregation</t>
  </si>
  <si>
    <t xml:space="preserve">God the author of peace and lover of concord</t>
  </si>
  <si>
    <t xml:space="preserve">694.h.8(1)</t>
  </si>
  <si>
    <t xml:space="preserve">Backhouse, William</t>
  </si>
  <si>
    <t xml:space="preserve">Printed and sold by Simmons and Kirkby</t>
  </si>
  <si>
    <t xml:space="preserve">Canterbury</t>
  </si>
  <si>
    <t xml:space="preserve">http://find.galegroup.com/ecco/infomark.do?contentSet=ECCOArticles&amp;docType=ECCOArticles&amp;bookId=0224602300&amp;type=getFullCitation&amp;tabID=T001&amp;prodId=ECCO&amp;docLevel=TEXT_GRAPHICS&amp;version=1.0&amp;source=library</t>
  </si>
  <si>
    <t xml:space="preserve">A sermon preached at the parish church of Deal, on Thursday, July 29, 1784. Being the Day appointed and commanded by the King to be kept as a General thanksgiving to almighty God for the Peace. By William Backhouse, D. D. Rector of deal, and archdeacon of canterbury. For the benefit of seven orphans</t>
  </si>
  <si>
    <t xml:space="preserve">Predigt am Dankfeste wegen des zwischen Rußland und Schweden geschlossenen Friedens</t>
  </si>
  <si>
    <t xml:space="preserve">8 TH PAST 310/60 (17)</t>
  </si>
  <si>
    <t xml:space="preserve">Wolff, Martin Luther</t>
  </si>
  <si>
    <t xml:space="preserve">Breitkopf</t>
  </si>
  <si>
    <t xml:space="preserve">http://gdz.sub.uni-goettingen.de/dms/load/img/?PID=PPN723789177</t>
  </si>
  <si>
    <t xml:space="preserve">Am 13 Sonntage nach Trinitatis, als den 18 August 1790</t>
  </si>
  <si>
    <t xml:space="preserve">http://friedensbilder.gnm.de/sites/default/files/Wolff.jpg</t>
  </si>
  <si>
    <t xml:space="preserve">E286N6 1794P</t>
  </si>
  <si>
    <t xml:space="preserve">Pilmore, Joseph</t>
  </si>
  <si>
    <t xml:space="preserve">Printed by John Buel</t>
  </si>
  <si>
    <t xml:space="preserve">http://find.galegroup.com/ecco/retrieve.do?qrySerId=Locale%28en%2C%2C%29%3AFQE%3D%28A0%2CNone%2C15%29Pilmore%2C+Joseph%3AAnd%3AFQE%3D%280X%2CNone%2C4%291794%3AAnd%3ALQE%3D%28BA%2CNone%2C124%292NEF+Or+0LRH+Or+2NEK+Or+0LRL+Or+2NEI+Or+0LRI+Or+2NEJ+Or+0LRK+Or+2NEG+Or+0LRF+Or+2NEH+Or+0LRJ+Or+2NEM+Or+0LRN+Or+2NEL+Or+0LRM%24&amp;sort=Author&amp;docLevel=TEXT_GRAPHICS&amp;inPS=true&amp;prodId=ECCO&amp;userGroupName=wib7515&amp;doDirectDocNumSearch=false&amp;tabID=T001&amp;resultListType=RESULT_LIST&amp;searchId=R1&amp;currentPosition=1&amp;contentSet=ECCOArticles&amp;showLOI=&amp;bookId=1386600700&amp;collectionId=W016824&amp;relevancePageBatch=CB131574507</t>
  </si>
  <si>
    <t xml:space="preserve">A sermon, preached in Christ's Church, New-York, on the Fourth of July, 1794. At the joint request of the Tammany Society or, Columbian Order, and the Society of Mechanics</t>
  </si>
  <si>
    <t xml:space="preserve">Les avantages de la guerre et les dangers de la paix dans la circonstance actuelle</t>
  </si>
  <si>
    <t xml:space="preserve">8 TH PAST 346/46</t>
  </si>
  <si>
    <t xml:space="preserve">LaSaussaye, J. G. C. de</t>
  </si>
  <si>
    <t xml:space="preserve">Gosse</t>
  </si>
  <si>
    <t xml:space="preserve">1 Bl., 42 S.</t>
  </si>
  <si>
    <t xml:space="preserve">Sermon Prononcé dans l'Eglise Wallonne de la Haye le jour du jeune le 26 Mars 1794 sur Pseaume XCIV,12-23</t>
  </si>
  <si>
    <t xml:space="preserve">http://friedensbilder.gnm.de/sites/default/files/Seiten aus 22318.jpg</t>
  </si>
  <si>
    <t xml:space="preserve">The continuance of peace and increasing prosperity a source of consolation and just cause of gratitude to the inhabitants of the United States</t>
  </si>
  <si>
    <t xml:space="preserve">4486.i.79(2)</t>
  </si>
  <si>
    <t xml:space="preserve">Ware, Henry</t>
  </si>
  <si>
    <t xml:space="preserve">Printed by Samuel Hall</t>
  </si>
  <si>
    <t xml:space="preserve">http://find.galegroup.com/ecco/retrieve.do?sort=Author&amp;docLevel=TEXT_GRAPHICS&amp;inPS=true&amp;prodId=ECCO&amp;userGroupName=wib7515&amp;doDirectDocNumSearch=false&amp;tabID=T001&amp;resultListType=RESULT_LIST&amp;currentPosition=1&amp;contentSet=ECCOArticles&amp;showLOI=&amp;bookId=0980900200&amp;collectionId=&amp;relevancePageBatch=CW122385075</t>
  </si>
  <si>
    <t xml:space="preserve">A sermon, delivered February 19, 1795; being a day set apart by the president, for thanksgiving and prayer through the United States. By Henry Ware, Pastor of a church in Hingham</t>
  </si>
  <si>
    <t xml:space="preserve">Evans 29668</t>
  </si>
  <si>
    <t xml:space="preserve">Tyler, John</t>
  </si>
  <si>
    <t xml:space="preserve">John Trumbull</t>
  </si>
  <si>
    <t xml:space="preserve">Norwich, CT</t>
  </si>
  <si>
    <t xml:space="preserve">https://nl.sub.uni-goettingen.de/id/aas03023120</t>
  </si>
  <si>
    <t xml:space="preserve">20 S. </t>
  </si>
  <si>
    <t xml:space="preserve">A sermon preached at Norwich, on the continental thanksgiving, February 19, 1795</t>
  </si>
  <si>
    <t xml:space="preserve">The glorious and peaceable tendency of the Christian religion. A sermon, preached on the fast-day, 1795, at the meeting in Jamaica-Row, Bermondsey</t>
  </si>
  <si>
    <t xml:space="preserve">4474.cc.105</t>
  </si>
  <si>
    <t xml:space="preserve">Townsend, John</t>
  </si>
  <si>
    <t xml:space="preserve">Printed for T. Chapman, J. Matthews, Mrs Priestley, W. Ash, T. Knott</t>
  </si>
  <si>
    <t xml:space="preserve">http://find.galegroup.com/ecco/infomark.do?contentSet=ECCOArticles&amp;docType=ECCOArticles&amp;bookId=0651401000&amp;type=getFullCitation&amp;tabID=T001&amp;prodId=ECCO&amp;docLevel=TEXT_GRAPHICS&amp;version=1.0&amp;source=library</t>
  </si>
  <si>
    <t xml:space="preserve">4 in: 50 MA 50052</t>
  </si>
  <si>
    <t xml:space="preserve">Ancillon, Jean Pierre Frédéric</t>
  </si>
  <si>
    <t xml:space="preserve">1181635X</t>
  </si>
  <si>
    <t xml:space="preserve">http://resolver.staatsbibliothek-berlin.de/SBB0000F98F00000000</t>
  </si>
  <si>
    <t xml:space="preserve">[1] Bl., VI, 34 S.</t>
  </si>
  <si>
    <t xml:space="preserve">Prononcé Dans Le Temple Du Werder Le 10. Mai</t>
  </si>
  <si>
    <t xml:space="preserve">http://friedensbilder.gnm.de/sites/default/files/Ancillon.png</t>
  </si>
  <si>
    <t xml:space="preserve">The obligations of Christians to avoid war as much as possible, and to live in peace one with another</t>
  </si>
  <si>
    <t xml:space="preserve">Syn 7.79.65/3</t>
  </si>
  <si>
    <t xml:space="preserve">Hewat, Alexander</t>
  </si>
  <si>
    <t xml:space="preserve">Printed for T. Cadell Jun., W. Davies (successors to Mr Cadell), H. Murray, J. Bell</t>
  </si>
  <si>
    <t xml:space="preserve">http://find.galegroup.com/ecco/infomark.do?contentSet=ECCOArticles&amp;docType=ECCOArticles&amp;bookId=1659302600&amp;type=getFullCitation&amp;tabID=T001&amp;prodId=ECCO&amp;docLevel=TEXT_GRAPHICS&amp;version=1.0&amp;source=library</t>
  </si>
  <si>
    <t xml:space="preserve">A sermon for the Fast Day, March 8, 1797</t>
  </si>
  <si>
    <t xml:space="preserve">National peace the source of national prosperity</t>
  </si>
  <si>
    <t xml:space="preserve">4485.aaa.9</t>
  </si>
  <si>
    <t xml:space="preserve">Emmons, Nathanael</t>
  </si>
  <si>
    <t xml:space="preserve">Leonard Worcester</t>
  </si>
  <si>
    <t xml:space="preserve">Worcester, MA</t>
  </si>
  <si>
    <t xml:space="preserve">http://find.galegroup.com/ecco/retrieve.do?qrySerId=Locale%28en%2C%2C%29%3AFQE%3D%28A0%2CNone%2C17%29Emmons%2C+Nathanael%3AAnd%3ALQE%3D%28da%2CNone%2C4%291797%3AAnd%3ALQE%3D%28BA%2CNone%2C124%292NEF+Or+0LRH+Or+2NEK+Or+0LRL+Or+2NEI+Or+0LRI+Or+2NEJ+Or+0LRK+Or+2NEG+Or+0LRF+Or+2NEH+Or+0LRJ+Or+2NEM+Or+0LRN+Or+2NEL+Or+0LRM%24&amp;sort=Author&amp;docLevel=TEXT_GRAPHICS&amp;inPS=true&amp;prodId=ECCO&amp;userGroupName=wib7515&amp;doDirectDocNumSearch=false&amp;tabID=T001&amp;resultListType=RESULT_LIST&amp;searchId=R1&amp;currentPosition=2&amp;contentSet=ECCOArticles&amp;showLOI=&amp;bookId=0662100300&amp;collectionId=W028655&amp;relevancePageBatch=CW121081141</t>
  </si>
  <si>
    <t xml:space="preserve">A sermon delivered at Franklin, on the day of annual thanksgiving, December 15th, MDCCXCVI. By Nathanael Emmons, A.M. Pastor of the church in Franklin</t>
  </si>
  <si>
    <t xml:space="preserve">Preparation for war the best security for peace</t>
  </si>
  <si>
    <t xml:space="preserve">Evans 10662</t>
  </si>
  <si>
    <t xml:space="preserve">Kendall, James</t>
  </si>
  <si>
    <t xml:space="preserve">Munroe and Francis</t>
  </si>
  <si>
    <t xml:space="preserve">Boston MS</t>
  </si>
  <si>
    <t xml:space="preserve">https://nl.sub.uni-goettingen.de/id/aas04280173</t>
  </si>
  <si>
    <t xml:space="preserve">Illustrated in a sermon</t>
  </si>
  <si>
    <t xml:space="preserve">delivered before the Ancient and Honourable Artillery Company on the Anniversary of their election of officers Boston, June 2, 1806</t>
  </si>
  <si>
    <t xml:space="preserve">Friedens-Predigt an Deutschland gehalten</t>
  </si>
  <si>
    <t xml:space="preserve">Res/P.o.germ. 1160 f</t>
  </si>
  <si>
    <t xml:space="preserve">Paul, Jean</t>
  </si>
  <si>
    <t xml:space="preserve">Mohr
Zimmer</t>
  </si>
  <si>
    <t xml:space="preserve">Heidelberg</t>
  </si>
  <si>
    <t xml:space="preserve">http://www.mdz-nbn-resolving.de/urn/resolver.pl?urn=urn:nbn:de:bvb:12-bsb10925104-3</t>
  </si>
  <si>
    <t xml:space="preserve">http://friedensbilder.gnm.de/sites/default/files/1505486212bsb10925104.jpg</t>
  </si>
  <si>
    <t xml:space="preserve">4474.f.47</t>
  </si>
  <si>
    <t xml:space="preserve">Jefferson, Jacob</t>
  </si>
  <si>
    <t xml:space="preserve">Clarendon Press</t>
  </si>
  <si>
    <t xml:space="preserve">http://find.galegroup.com/ecco/infomark.do?contentSet=ECCOArticles&amp;docType=ECCOArticles&amp;bookId=0389700400&amp;type=getFullCitation&amp;tabID=T001&amp;prodId=ECCO&amp;docLevel=TEXT_GRAPHICS&amp;version=1.0&amp;source=library</t>
  </si>
  <si>
    <t xml:space="preserve">And the means of preserving it. A sermon preached before the University of Oxford, at St. Mary's, on Thursday, May 5. M.DCC.LXIII. Being the day appointed for a general thanksgiving to Almighty God for the peace</t>
  </si>
  <si>
    <t xml:space="preserve">Glorifying of God</t>
  </si>
  <si>
    <t xml:space="preserve">Trinity College Library Cambridge</t>
  </si>
  <si>
    <t xml:space="preserve">K.12.70</t>
  </si>
  <si>
    <t xml:space="preserve">http://gateway.proquest.com/openurl?ctx_ver=Z39.88-2003&amp;res_id=xri:eebo&amp;rft_val_fmt=&amp;rft_id=xri:eebo:image:34382</t>
  </si>
  <si>
    <t xml:space="preserve">The just tribute of a thankfull people, discovered and press'd in a sermon preach'd December 2. 1697. Being the day of thanksgiving for the peace. Thanksgiving sermon on Psalm 50. verse 15</t>
  </si>
  <si>
    <t xml:space="preserve">Des Sächsischen Zions so schuldig- als williges Dank-Opfer</t>
  </si>
  <si>
    <t xml:space="preserve">Hist.Sax.C.1101</t>
  </si>
  <si>
    <t xml:space="preserve">Baudius, Karl Christian</t>
  </si>
  <si>
    <t xml:space="preserve">http://digital.slub-dresden.de/werkansicht/dlf/78043/1/</t>
  </si>
  <si>
    <t xml:space="preserve">34 S. </t>
  </si>
  <si>
    <t xml:space="preserve">vor dem nach dem Kriege aus Gnaden geschenkten Frieden, </t>
  </si>
  <si>
    <t xml:space="preserve">wurde am am Montage nach dem Sonntage Judica, welches war der 21. März 1763. als an dem auf Sr. Königl. Majest. ... allergnädigsten Befehl zu feiern angeordnetem Friedens-Dank-Feste über den vorgeschriebenen Dank-Text, aus Jesaja XII. v. 1, der Christlichen Gemeine zu Dahma zur Ermunterung vorgetragen, auch auf derselben wie auch anderer Wünschen und Begehren zu ihrer beständigen dankbaren Erinnerung und Erbauung dem Druck übergeben</t>
  </si>
  <si>
    <t xml:space="preserve">http://friedensbilder.gnm.de/sites/default/files/Baudius.png</t>
  </si>
  <si>
    <t xml:space="preserve">Grace &amp; Paix</t>
  </si>
  <si>
    <t xml:space="preserve">Trinity College Library Dublin</t>
  </si>
  <si>
    <t xml:space="preserve">P.KK.37 no.8</t>
  </si>
  <si>
    <t xml:space="preserve">Lortie, André</t>
  </si>
  <si>
    <t xml:space="preserve">http://gateway.proquest.com/openurl?ctx_ver=Z39.88-2003&amp;res_id=xri:eebo&amp;rft_val_fmt=&amp;rft_id=xri:eebo:image:153460</t>
  </si>
  <si>
    <t xml:space="preserve">[6] Bl. 21 S.</t>
  </si>
  <si>
    <t xml:space="preserve">Ou prémier sermon prononcé dans l'Eglise Francoise de la Savoye le 7 Aoust 1681. jour de communion, </t>
  </si>
  <si>
    <t xml:space="preserve">http://friedensbilder.gnm.de/sites/default/files/Lortie.gif</t>
  </si>
  <si>
    <t xml:space="preserve">Medaille auf den Frieden von Passarowitz</t>
  </si>
  <si>
    <t xml:space="preserve">Med 6788</t>
  </si>
  <si>
    <t xml:space="preserve">Ausst. Kat. Stuttgart 2012
Simiæ 2011
Bernheimer 1984
Todoroviæ 1975</t>
  </si>
  <si>
    <t xml:space="preserve">S. 140, Kat.-Nr. 98 (Hans-Martin Kaulbach)
S. 280
Katalog Teil II, S. 77, Kat.-Nr. 131
Nr. 4</t>
  </si>
  <si>
    <t xml:space="preserve">49
45,02</t>
  </si>
  <si>
    <t xml:space="preserve">V.
M. </t>
  </si>
  <si>
    <t xml:space="preserve">Umschrift 
Umschrift
Inschrift</t>
  </si>
  <si>
    <t xml:space="preserve">CAROLVS VI. D. G. ROM. IMP. SEMP. AVG.
VICTOR NON ALIO SVBSCRIBIT PACTA COLORE
INDVCIAE CVM HOSTIBVS.
IN PACIS INDVCIAS DEBELLATO SVPPLICI HOSTI GLORIOSE CONCESSAS.</t>
  </si>
  <si>
    <t xml:space="preserve">An der Herstellung der Medaille anlässlich des Friedens von Passarowitz waren zwei Medailleure beteiligt. Für das Porträt Karls VI. auf der Vorderseite nutzte&amp;nbsp;Georg Wilhelm Vestner&amp;nbsp;einen&amp;nbsp;Prägestempel, den&amp;nbsp;er bereits 1717 für eine Medaille auf die Eroberung Belgrads angefertigt hatte.[fn]Bernheimer 1984, Katalog, S. 63, Kat.-Nr. 104.[/fn] Den Stempel der Rückseite schuf hingegen Philipp Heinrich Müller: Merkur präsentiert dem Kaiser ein Vertragsdokument, dass dieser mit einer im Blut eines Türken getränkten Feder unterzeichnet.&amp;nbsp;In Anbetracht dieser Szene sucht ein Türke hinter dem Götterboten Schutz. Eine zur "Medaille auf den (...) zu Passarowitz geschlossenen Stillstand" gehörende Beschreibung erläutert die Darstellung genauer. Der Waffenstillstand mit den Osmanen ist das Ergebnis der erfolgreichen Kriegsführung des Kaiserreichs. So verdeutlicht auch die Umschrift, dass die Herstellung des Friedens nur mit vorausgegangenem Blutvergießen möglich war. Das Blut aus dem Türkenkopf lieferte ”die rechte Farb/ womit des Siegers Hand bestettiget das letzt-getroffne Stillstands Band“. Müller karikiert damit eine gängige Bildsprache, die sich seit dem Westfälischen Frieden und der Weiterentwicklung frühneuzeitlicher Diplomatie etabliert hatte: Federkiel und Tintenfass gelten als neue Instrumente des Friedens (siehe hierfür&amp;nbsp;26252 Mz). So zeigt eine Nürnberger Medaille auf den Frieden von Rastatt (Med 1621) einen Putto, dem ein umgedrehter Soldatenhelm als Tintenfass dient. Müllers Abwandlung verkehrt das Friedensinstrument wiederum in ein Kriegssymbol.Auf dem Revers ergeben sich zwei Chronogramme, eines im Friedensdokument Merkurs (1717) und eines für die Inschrift im unteren Abschnitt (1718). Neben der Bildsprache enthält die Beschriftung ein wichtiges Detail. Die Bezeichnung des Vertrags als Waffenstillstand mit den Feinden (INDVCIAE CVM HOSTIBVS) entspricht den historischen Gegebenheiten, denn die Verträge zwischen europäischen Herrschern und dem Osmanischen Reich waren stets befristete Waffenstillstandsverträge.ALS</t>
  </si>
  <si>
    <t xml:space="preserve">http://friedensbilder.gnm.de/sites/default/files/Med6788_vs.tif
http://friedensbilder.gnm.de/sites/default/files/Med6788_rs.tif</t>
  </si>
  <si>
    <t xml:space="preserve">Medaille auf den Frieden von Passarowitz, Vorderseite , Med 6788
Medaille auf den Frieden von Passarowitz, Rückseite, Med 6788</t>
  </si>
  <si>
    <t xml:space="preserve">Medaille auf den Frieden von Passarowitz, Vorderseite 
Medaille auf den Frieden von Passarowitz, Rückseite</t>
  </si>
  <si>
    <t xml:space="preserve">http://friedensbilder.gnm.de/content/frieden_foto_order204f8a</t>
  </si>
  <si>
    <t xml:space="preserve">Allegorie auf den Frieden von Teschen 1779</t>
  </si>
  <si>
    <t xml:space="preserve">HB 6384, Kapsel 1220</t>
  </si>
  <si>
    <t xml:space="preserve">Stecher
Zeichner
Bildhauer</t>
  </si>
  <si>
    <t xml:space="preserve">Stahl, Johann Ludwig
Krüger, Johann Conrad
Trippel, Andreas</t>
  </si>
  <si>
    <t xml:space="preserve">Schemper-Sparholz 1995
Ausst. Kat. Schaffhausen 1993
Journal Politique 1780
Thieme Becker</t>
  </si>
  <si>
    <t xml:space="preserve">S. 249
S. 19–20 und 264
S. 17
Bd. XXI, [Art.] Johann Conrad Krüger, S. 599</t>
  </si>
  <si>
    <t xml:space="preserve">23,4 x 59,2 
23 x 56 </t>
  </si>
  <si>
    <t xml:space="preserve">J. C. Krüger. del. Berlini
J. L. Stahl sculpsit. Norb: 1785.</t>
  </si>
  <si>
    <t xml:space="preserve">Der in Rom tätige Bildhauer Alexander Trippel&amp;nbsp;schuf anlässlich des Friedens von Teschen ein Stuckrelief. Mit Hilfe Christian von Mechels versuchte er sich damit am Wiener Hof zu etablieren: Er fertigte einen Abguss an und sandte ihn an Maria Theresia. Galt die persönliche Adressierung bereits als&amp;nbsp;Fauxpas,[fn]Für den Kunsthandel war die Kanzlei des Reichsfürsten&amp;nbsp;Wenzel Anton von&amp;nbsp;Kaunitz-Rietberg verantwortlich.[/fn]&amp;nbsp;fehlte bei der ersten Sendung ein wichtiges Dokument. Trippel hatte nämlich eine Erläuterung der allegorischen Darstellung bei einem Schweizer Malerfreund in Auftrag gegeben, die erst einige Tage danach in Wien eintraf. Trotz der Begeisterung für das Relief erhielt der Bildhauer anstelle des Auftrags für eine Marmoranfertigung lediglich eine Entlohnung.&amp;nbsp;
Im Zentrum reichen sich Joseph II. und Friedrich II.&amp;nbsp;die Hände, während eine Personifikation des Ruhmes ihre Häupter mit Lorbeer krönt. Hinter beiden stehen die Figuren der Kurfürstentümer Bayerns und Sachsens sowie kleine Genien, welche die Förderung der Künste (Bildhauerei, Malerei und Poesie) versinnbildlichen. Links schließt Maria Theresia die Tore des Janustempels, zu deren Füßen eine Personifikation der Zwietracht zu Boden gesunken ist. Auch wenn die Komposition den Fokus auf die beiden Monarchen am Altar lenkt, spricht das Bild mit der Schließung des Janustempels der österreichischen Regentin die friedensstiftende Rolle zu. Damit entspricht die Darstellung den historischen Gegebenheiten, weil der Bayerische Erbfolgekrieg vor allem aufgrund der Vermittlung Maria Theresias ein schnelles Ende fand.&amp;nbsp;
Die Innovation des Werks liegt in der konsequenten Nutzung antiker Vorbilder. Zwar zeigen viele Friedensdarstellungen antike Motive (z.B. den Janustempel), doch sind die kompositorische Anordnung in Form eines Reliefs und die antikisierenden Gewänder und Haartrachten entscheidene Neuerungen, die dem Klassizismus geschuldet sind.
Trippel sandte weitere Abgüsse an die Höfe in Dresden, St. Petersburg und Berlin. Den preußischen König erreichte das Relief etwas später im August 1780, der es&amp;nbsp;Ewald Friedrich von Hertzberg&amp;nbsp;– seinem Gesandten während der Verhandlungen in Hubertusburg 1763&amp;nbsp;– schenkte. Von diesem Gipsabguss fertigte der Maler Johann Conrad Krüger&amp;nbsp;eine Zeichnung an, die dem Stich zugrunde liegt. Der von&amp;nbsp;Johann Ludwig Stahl&amp;nbsp;1785 geschaffene Kupferstich könnte anlässlich der Gründung des sogenannten Deutschen Fürstenbundes unter Führung Preußens entstanden sein. Dieser sollte ein Gegengewicht zur Vormachtsstellung der Habsburgmonarchie bilden, die nach dem Frieden von Teschen die Ansprüche auf Bayern zwar aufgegeben hatte, aber weiterhin bestrebt war, dieses Gebiet im Tausch gegen die südlichen Niederlade zu erwerben. Damit hätte Österreich einen entscheidenen territorialen Vorteil gegenüber Preußen erhalten, den es zu verhindern galt.
ALS
</t>
  </si>
  <si>
    <t xml:space="preserve">In memoriam Pacis Teschinensis FRIDERICVS REX DONO DEDIT Evaldo Friderico de Hertzberg - Alexander Trippel inventor in Roma. 1779.
MATW
</t>
  </si>
  <si>
    <t xml:space="preserve">http://friedensbilder.gnm.de/sites/default/files/HB6384_0.tif</t>
  </si>
  <si>
    <t xml:space="preserve">Der in Rom tätige Bildhauer&amp;nbsp;Alexander Trippel&amp;nbsp;schuf anlässlich des Friedens von Teschen ein Stuckrelief und versuchte sich damit am Wiener Hof zu etablieren. Obwohl es ihm mit diesem Werk nicht gelang, wurde das Relief schon bald durch den Nürnberger Künstler Johann Ludwig Stahl in Kupfer nachgestochen.Im Zentrum des Blattes reichen sich&amp;nbsp;Joseph II.&amp;nbsp;und&amp;nbsp;Friedrich II.&amp;nbsp;die Hände, während eine Personifikation des Ruhmes ihre Häupter mit Lorbeer krönt. Hinter beiden stehen die Figuren der Kurfürstentümer Bayerns und Sachsens sowie kleine Genien, welche die Förderung der Künste (Bildhauerei, Malerei und Poesie) versinnbildlichen. Links schließt Maria Theresia die Tore des Janustempels, zu deren Füßen eine Personifikation der Zwietracht zu Boden gesunken ist. Auch wenn die Komposition den Fokus auf die beiden Monarchen am Altar lenkt, spricht das Bild mit der Schließung des Janustempels der österreichischen Regentin die friedensstiftende Rolle zu. Damit entspricht die Darstellung den historischen Gegebenheiten, weil der Bayerische Erbfolgekrieg vor allem aufgrund der Vermittlung Maria Theresias ein schnelles Ende fand.&amp;nbsp;Die Innovation des Werks liegt in der konsequenten Nutzung antiker Vorbilder. Zwar zeigen viele Friedensdarstellungen antike Motive (z.B. den Janustempel), doch sind die kompositorische Anordnung in Form eines Reliefs und die antikisierenden Gewänder und Haartrachten entscheidene Neuerungen, die dem Klassizismus geschuldet sind.ALS/MATW</t>
  </si>
  <si>
    <t xml:space="preserve">Allegorie auf den Frieden von Teschen 1779, HB 6384, Kapsel 1220</t>
  </si>
  <si>
    <t xml:space="preserve">https://friedensbilder-neu.gnm.de/sites/default/files/2019-06/HB6384_0_0.png</t>
  </si>
  <si>
    <t xml:space="preserve">http://friedensbilder.gnm.de/content/frieden_foto_order1f9136</t>
  </si>
  <si>
    <t xml:space="preserve">Neu-Jahr-Gedicht</t>
  </si>
  <si>
    <t xml:space="preserve">MS 664, Kapsel 1428</t>
  </si>
  <si>
    <t xml:space="preserve">Wolf, Gottlieb Siegmund</t>
  </si>
  <si>
    <t xml:space="preserve">13,6 x 26,3 </t>
  </si>
  <si>
    <t xml:space="preserve">Erhabner Herrscher aller Welt! Wie herrlich ist dein Machtgezelt, wo sich in Anmuthsreichen Schatten Gerechtigkeit und Friede gatten.</t>
  </si>
  <si>
    <t xml:space="preserve">Dieß rühmet und preißet aus redlichen Sinn und leget ein Opfer der Dankbarkeit hin. </t>
  </si>
  <si>
    <t xml:space="preserve">Siegmund Wolf, Poet. Cult. auch Lobpr. </t>
  </si>
  <si>
    <t xml:space="preserve">Das Gedicht zählt&amp;nbsp;zu den poetischen Neujahrsgrüßen, für die die Nürnberger Lobsprecher verantwortlich waren (siehe&amp;nbsp;MS 661, Kapsel 1428). Den bereits seit einem Jahr wütenden Bayerischen Erbfolgekrieg nahm Gottlieb Siegmund Wolf zum Anlass, seine Friedenshoffnung in einem Neujahrsgruß auszudrücken. Die Radierung zeigt unter einem Zelt den Kuss von Gerechtigkeit und Friede.[fn]Nach Ps 85,11.[/fn] Links geht über dem Kriegsgott Mars bereits die Friedenssonne auf und gegenüber verkündet Noris&amp;nbsp;– Personifikation der Stadt Nürnberg&amp;nbsp;–: ”Ich bin befreit“.&amp;nbsp;Über ihr wird ein Schild aus den Wolken gereicht, der dank seiner Buchstaben ”IHS“ als göttlicher Schutz identifiziert werden kann und direkt über der Stadtsilhouette Nürnbergs seine Wirkung entfaltet. Zwischen Friedenssonne und Schild erstrahlt über dem Zelt in der oberen Bildmitte das göttliche Auge der Vorsehung mit den Worten “Dies ist der Herr”.Die sich anschließenden Verse gehen noch über die Darstellung hinaus. Sie kritisieren das sündhafte Leben in Friedenszeiten, das wiederum zu Krieg führt und nur durch göttlichen Beistand in einen wohlgefälligen Zustand zurückgeführt werden kann. Als Friedensstifter spricht Wolf Kaiser Joseph II. an, der die Bevölkerung ”von feindlichen Bestürmen“ befreien soll.ALS</t>
  </si>
  <si>
    <t xml:space="preserve">Wie - welch' ein wichtiges GeschäfteSetzt mich beym Abgang muntrer KräfteIn schüchterne Verlegenheit - -Welch' unverhoffte KriegsposauneStört die sonst stille Dichterlaune,In Absicht meiner Schuldigkeit?Der Jahreswechsel reizt die Pflichten,Sinn- und Gedankenreich zu dichten,Allein! wer bürgt für meinen Kiel?Wo nehm' ich Stof voll Kunst und Zierde?Wer zeigt mir zur NeubegierdeDer Wahrheit abgemeßnes Ziel? -Der Thor schreyt immer: Friede - Friede -Wird doch des Sündigend nicht müde,Häuft leider! täglich Schuld auf Schuld;Verscherzt durch rohe Ueppigkeiten,Von Jahr zu Jahr, von Zeit zu ZeitenDes Höchsten Langmuth und Gedult.Was Wunder? daß man ließt und hötWie Mars sich hie und da empöret,Die schreckensvolle Trommel rührt;Hier äussert sich ein Waff'nschwärmen,Dort wird mit fürchterlichen LärmenEin Kriegstheater aufgeführt.Herzjammernd sind die bittern KlagenUnd banger Länder ängstlichs Zagen,Wo das gezückte Schwert schon blinkt;Wo ohne Nachsicht, ohn' Erbarmen,Der Groß und Reiche nebst dem ArmenUns Elend und Verderben sinkt.Wer wird nun klug an Fremder Schaden?Wer läßt ihm vor dem Unglück rathen?Und wer erkennt die Gnadenzeit?Verstockt bey andrer ZornexempelSpricht man: Hier ist des Herren Tempel!Die Strafgerichte sind noch weit.-Verwegner Schluß - Nein! nur der WeiseHält seine Laufbahn in dem GleiseDer ungefärbten Frömmigkeit,Verwahrt des Herzens innre PfostenSteht als ein Christ auf seinen PostenIn stiller Gottgelassenheit.Sich schnöd und zu geringe achtend,Den strengen Lauf der Zeit betrachtendErwegt er die erhabne Macht,Die ihn in den verstoßnen Jahren,Bey fernanscheinenden GefahrenGleich einen starken Schild bewacht.Gebet und Glaube sind die Waffen,Sich fernern Beystand zu verschaffen,Kein Schicksal hemmt die Andachtsglut;Der Hoffnungsanker eingesenket,Ob Sturm und Wind den Mast umschränketStärkt und erhält des Geistes Muth.Geliegte Stadt, die wir bewohnen!Ists nicht Erbarmen und Verschonen,Daß deine Mauern sicher stehn?MATW</t>
  </si>
  <si>
    <t xml:space="preserve">http://friedensbilder.gnm.de/sites/default/files/MS664.tif</t>
  </si>
  <si>
    <t xml:space="preserve">Neu-Jahr-Gedicht., MS 664, Kapsel 1428
Neu-Jahr-Gedicht., MS 664, Kapsel 1428</t>
  </si>
  <si>
    <t xml:space="preserve">Neu-Jahr-Gedicht.
Neu-Jahr-Gedicht.</t>
  </si>
  <si>
    <t xml:space="preserve">http://friedensbilder.gnm.de/content/frieden_foto_order205002</t>
  </si>
  <si>
    <t xml:space="preserve">Gedenkblatt auf den Frieden von Basel</t>
  </si>
  <si>
    <t xml:space="preserve">HB 23236, Kapsel 1220</t>
  </si>
  <si>
    <t xml:space="preserve">Druckfarbe (braun)</t>
  </si>
  <si>
    <t xml:space="preserve">Liebe, Gottlob August</t>
  </si>
  <si>
    <t xml:space="preserve">Blatt
Platte </t>
  </si>
  <si>
    <t xml:space="preserve">29 x 19
25,1 x 15,9</t>
  </si>
  <si>
    <t xml:space="preserve">Liebe fec.</t>
  </si>
  <si>
    <t xml:space="preserve">Der 1795 in Basel geschlossene Friede beendete den Ersten Koalitionskrieg, bei dem Frankreich Preußen und seinen Verbündeten gegenüberstand.[fn]Zum Baseler Frieden siehe Kalt 1995.[/fn] Die Ergebnisse des Vertrages zeugen von den bedeutenden Veränderungen, die sich in Europa seit der Mitte des 18. Jahrhunderts ankündigten. So erkannten die Vertragspartner die jüngst gegründete französische Republik formal an und territoriale Verschiebungen wie die an Frankreich übergebenen linksrheinischen Gebiete prägten das Bild Europas im Jahre 1795.Das Blatt nimmt auf diese Gegebenheiten keinen Bezug und reiht sich somit in die Darstellungen von Friedensallegorien im späten 18. und frühen 19. Jahrhundert ein. Die an ein ionisches Kymation, Rosetten und Astragal angelehnten Ornamentleisten orientieren sich an klassizistischen Formen und erwecken zugleich den Eindruck eines Gemälderahmens. Im Zentrum eingefasst ist die Figur eines Kriegers oder Mars, der zum Zeichen des Sieges Lorbeerkränze in den Händen hält. Die Inschrift bezieht sich auf den Vertrag zwischen Frankreich und Preußen, der in die Regierungszeit Friedrich Wilhelms II. fällt.ALS</t>
  </si>
  <si>
    <t xml:space="preserve">Zum Andencken des Friedens, der in Basel den 5.ten Apr. 1795. unterzeichnet wurde.MATW</t>
  </si>
  <si>
    <t xml:space="preserve">http://friedensbilder.gnm.de/sites/default/files/HB23236_A4.tif</t>
  </si>
  <si>
    <t xml:space="preserve">Gedenkblatt auf den Frieden von Basel, HB 23236, Kapsel 1220</t>
  </si>
  <si>
    <t xml:space="preserve">http://friedensbilder.gnm.de/content/frieden_foto_order204f3a</t>
  </si>
  <si>
    <t xml:space="preserve">Das Friedensmahl im großen Rathaussaal zu Nürnberg am 25.9.1649</t>
  </si>
  <si>
    <t xml:space="preserve">Museen der Stadt Nürnberg, Stadtmuseum im Fembo-Haus</t>
  </si>
  <si>
    <t xml:space="preserve">Gm 9</t>
  </si>
  <si>
    <t xml:space="preserve">Sandrart, Joachim von</t>
  </si>
  <si>
    <t xml:space="preserve">Ausst. Kat. Nürnberg 1998</t>
  </si>
  <si>
    <t xml:space="preserve">S. 26–30, Kat.-Nr. 10 (Doris Gerstl)</t>
  </si>
  <si>
    <t xml:space="preserve">291,5 x 40 </t>
  </si>
  <si>
    <t xml:space="preserve">Freigabe </t>
  </si>
  <si>
    <t xml:space="preserve">http://friedensbilder.gnm.de/sites/default/files/SANDRART_Joachim_Gm0009_72DPI.jpg</t>
  </si>
  <si>
    <t xml:space="preserve">http://friedensbilder.gnm.de/content/frieden_foto_order1240bc</t>
  </si>
  <si>
    <t xml:space="preserve">Fl-3119</t>
  </si>
  <si>
    <t xml:space="preserve">Roques de Maumont, Jacques Emmanuel</t>
  </si>
  <si>
    <t xml:space="preserve">Hist.univ.B.834.y</t>
  </si>
  <si>
    <t xml:space="preserve">Schultz</t>
  </si>
  <si>
    <t xml:space="preserve">http://digital.slub-dresden.de/id364259205</t>
  </si>
  <si>
    <t xml:space="preserve">Prononcé le 6. Jan. [M]DCCLXIII. dans l'Eglise Réformée Françoise de Zelle</t>
  </si>
  <si>
    <t xml:space="preserve">http://friedensbilder.gnm.de/sites/default/files/00000003.tif(4).jpg</t>
  </si>
  <si>
    <t xml:space="preserve">Saarländische Universitäts- und Landesbibliothek</t>
  </si>
  <si>
    <t xml:space="preserve">Saarbrücken</t>
  </si>
  <si>
    <t xml:space="preserve">55-8529 </t>
  </si>
  <si>
    <t xml:space="preserve">Cube, Johann David</t>
  </si>
  <si>
    <t xml:space="preserve">Winter</t>
  </si>
  <si>
    <t xml:space="preserve">am Sonntage Oculi gehalten</t>
  </si>
  <si>
    <t xml:space="preserve">Friedens- und Dankpredigt </t>
  </si>
  <si>
    <t xml:space="preserve">19 A 16742-Stück 26</t>
  </si>
  <si>
    <t xml:space="preserve">Simonetti, Christian E.</t>
  </si>
  <si>
    <t xml:space="preserve">Klebische Buchhandlung</t>
  </si>
  <si>
    <t xml:space="preserve"> Flugschr. 1763/12 </t>
  </si>
  <si>
    <t xml:space="preserve">wegen des am 15ten Februar dieses 1763. Jahres zu Hubertsburg glüklich geschlossenen Friedens über den verordneten Text Joh. 14, 27</t>
  </si>
  <si>
    <t xml:space="preserve">Dankpredigt an dem Friedens feste wegen des ... auf der Hubertsburg geschlossenen gedoppelten Friedens</t>
  </si>
  <si>
    <t xml:space="preserve">Das Gleimhaus</t>
  </si>
  <si>
    <t xml:space="preserve">C 8119</t>
  </si>
  <si>
    <t xml:space="preserve">Silberschlag, Johann Esaias</t>
  </si>
  <si>
    <t xml:space="preserve">11 in: @Sv 31</t>
  </si>
  <si>
    <t xml:space="preserve">47 S.</t>
  </si>
  <si>
    <t xml:space="preserve">, geh. zu Magdeb. (an der H. Geist Kirche) </t>
  </si>
  <si>
    <t xml:space="preserve">Dankpredigt</t>
  </si>
  <si>
    <t xml:space="preserve">C 10058</t>
  </si>
  <si>
    <t xml:space="preserve">Landesbibliothek Mecklenburg-Vorpommern</t>
  </si>
  <si>
    <t xml:space="preserve"> Be VII 3,2457/2</t>
  </si>
  <si>
    <t xml:space="preserve">am feyerlich begangenen Friedensfeste des am 13 May 1779 zu Teschen geschlossenen Friedens  gehalten über Psalm 126. v. 3.</t>
  </si>
  <si>
    <t xml:space="preserve">Predigt über Jes. 52,7-10.</t>
  </si>
  <si>
    <t xml:space="preserve">C 9910</t>
  </si>
  <si>
    <t xml:space="preserve">Sucro, Johann Georg</t>
  </si>
  <si>
    <t xml:space="preserve">8 in: @Sv 31</t>
  </si>
  <si>
    <t xml:space="preserve">30 S., 1 Bl.</t>
  </si>
  <si>
    <t xml:space="preserve">bey Bekanntmachung des zu Hubertsburg geschlossenen gedoppelten Friedens im Dom zu Magdeburg (Nebst Proclamation desselben)</t>
  </si>
  <si>
    <t xml:space="preserve">Dankpredigt wegen des geschlossenen Friedens</t>
  </si>
  <si>
    <t xml:space="preserve">H00/THL-XVIIII 63</t>
  </si>
  <si>
    <t xml:space="preserve">Peltre, Johann</t>
  </si>
  <si>
    <t xml:space="preserve">http://nbn-resolving.de/urn:nbn:de:bvb:29-bv021617666-5</t>
  </si>
  <si>
    <t xml:space="preserve">zwischen Sr. Königl. Majestät unserm allergnädigsten Monarchen und zwischen der Kayserin-Königin von Ungarn und Böhmen, und des Königs von Pohlen Majestäten, als Churfürsten von Sachsen </t>
  </si>
  <si>
    <t xml:space="preserve">auf hohen Befehl, zu Schwedt in der Markgräflichen Schloßkirche bei Hoher Anwesenheit des Hofs und zahlreichen Versamlung den 24ten Febr. 1763 gehalten</t>
  </si>
  <si>
    <t xml:space="preserve">http://friedensbilder.gnm.de/sites/default/files/Titelblatt.jpg</t>
  </si>
  <si>
    <t xml:space="preserve">Der Herr hat Grosses an uns gethan</t>
  </si>
  <si>
    <t xml:space="preserve">C 8065</t>
  </si>
  <si>
    <t xml:space="preserve">Pauli, Ernst Ludwig</t>
  </si>
  <si>
    <t xml:space="preserve">9 in: 8"@Sv 31</t>
  </si>
  <si>
    <t xml:space="preserve">(Predigt) am Friedensfeste</t>
  </si>
  <si>
    <t xml:space="preserve">Das allein kräftige Friedens-Wort des Allmächtigen</t>
  </si>
  <si>
    <t xml:space="preserve">C 9646</t>
  </si>
  <si>
    <t xml:space="preserve">Michaelis, Johann Christian</t>
  </si>
  <si>
    <t xml:space="preserve">11 in:@Sv 9342</t>
  </si>
  <si>
    <t xml:space="preserve"> wurde an dem grossen Dank-Feste wegen des den 15 Febr. 1763 in Hubertsburg geschlossenen allgemeinen Friedens ... aus Jesaia 14, v. 7. ... den 13. März 1763 in der St. Martini-Kirche ... betrachtet</t>
  </si>
  <si>
    <t xml:space="preserve">Die Ruhe des Landes als ein Seegen vom Herrn, </t>
  </si>
  <si>
    <t xml:space="preserve">19 A 16742-Stück 27</t>
  </si>
  <si>
    <t xml:space="preserve">Holst, J. C.</t>
  </si>
  <si>
    <t xml:space="preserve">Serringhaus</t>
  </si>
  <si>
    <t xml:space="preserve">Flensburg</t>
  </si>
  <si>
    <t xml:space="preserve">10 in:@Sv 9342</t>
  </si>
  <si>
    <t xml:space="preserve">wurde an dem ... allgemeinen Dankfeste den 28 Junii 1763 aus dem vorgeschriebenen Texte I B. der Könige 8, 56. 57. </t>
  </si>
  <si>
    <t xml:space="preserve">der Gemeine des Herrn zu Apenrade vorgestellet  </t>
  </si>
  <si>
    <t xml:space="preserve">Die Seegen eines Volkes das der Herr in Aufsicht nimmt</t>
  </si>
  <si>
    <t xml:space="preserve">19 A 16742-Stück 28</t>
  </si>
  <si>
    <t xml:space="preserve">Feddersen, Jacob Friederich</t>
  </si>
  <si>
    <t xml:space="preserve">Serringhaus
Korte</t>
  </si>
  <si>
    <t xml:space="preserve">5 in:@Sv 9342</t>
  </si>
  <si>
    <t xml:space="preserve">in einer Predigt am Dankfeste für den allgemeinen Frieden vor der Durchlauchtigsten Herrschaften bewiesen </t>
  </si>
  <si>
    <t xml:space="preserve">366489836 </t>
  </si>
  <si>
    <t xml:space="preserve">Heilige Erweckungen für ein Volk, dem der Herr Ruhe gegeben hat</t>
  </si>
  <si>
    <t xml:space="preserve">Fl-1419.7</t>
  </si>
  <si>
    <t xml:space="preserve">Pratje, Johann Hinrich</t>
  </si>
  <si>
    <t xml:space="preserve">http://purl.uni-rostock.de/rosdok/ppn826919413</t>
  </si>
  <si>
    <t xml:space="preserve">28 S., 1 Bl.</t>
  </si>
  <si>
    <t xml:space="preserve">Eine Predigt über I Kön. VIII. 56. 57. 58. </t>
  </si>
  <si>
    <t xml:space="preserve">an dem Allgemeinen Dankfeste wegen des mit der Krone Frankreich geschlossenen Friedens Ao. 1763. den 6 Januar. als am Tage der Erscheinung Christi in dem Guarnison-Gottesdienste zu Stade gehalten  </t>
  </si>
  <si>
    <t xml:space="preserve">http://friedensbilder.gnm.de/sites/default/files/rosdok_ppn826919413 6.jpg</t>
  </si>
  <si>
    <t xml:space="preserve">Johann Hinrich Pratje (1736–1789) hielt diese Predigt im Gottesdienst der Garnison im hannoverschen Stade an der Elbe. Seine Zuhörer sind also zumeist Militärangehörige, zu denen er über das Ende des Siebenjährigen Krieges predigt. So erhalten seine Ausführungen einen leicht apologetischen Unterton: „Der Stand der Ruhe und des Friedens ist eine der grössesten Glückseligkeiten eines Volkes und Landes. … Wer sich die Mühe nimmt, Krieg und Frieden mit einander zu vergleichen, und über die Folgen derselben eine ernstliche Betrachtung anzustellen, der wird uns seinen Beyfall nicht versagen, wenn wir dem Frieden eine sehr erhabene Stelle unter den Glückseeligkeiten dieses Lebens anweisen.“&amp;nbsp;Pratje bemüht sich, die Friedensbotschaft in leuchtenden Farben auszumalen: „Kurz: Durch Krieg geräth ein Land und Volk in solche klägliche Umstände, aus welchen sich wieder zu erhohlen, ganze Jahrhunderte erfordert werden. … Das Gegenteil des Krieges ist der Friede. … Wo der Friede blühet, da giebt das Land sein Gewächs, und der Ackersmann samlet es mit Freuden in seine Scheuren. Der Handel breitet sich aus. Künste und Professionen erheben ihr Haupt; und die Wissenschaften steigen von einer Stuffe der Vollkommenheit zu der andern. Die Frucht des Viehes vervielfältigt sich, und beenget die Weiden. Reichthum und Ueberfluss nehmen zu.“Im Verlauf der Predigt, nachdem Pratje den Frieden als Werk Gottes hervorgehoben und zur Dankbarkeit aufgerufen hat, wird deutlich, dass die Situation seiner Hörer tatsächlich eine besondere war: Obwohl Garnison einer Kriegspartei, blieb der Stadt Stade eine Beteiligung am Krieg weitgehend erspart: „Allein, man näherte sich demselben (sc. hannoverschen Heer) mit einer der Zahl nach so überlegenen Armee, daß jenes Heer, wo es nicht umzingelt und abgeschnitten seyn wolte, sich genöthigt sahe, derselben zu weichen, und sich endlich unter dem Geschütz dieser Stadt zu setzen, Erinnert euch dieses Zeitpunckts ja wohl, Meine Freunde!, denn er ist der einzige fürchterliche Auftritt, den ihr in diesem ganzen Kriege erlebt habt.“ So appelliert der Prediger an seine Zuhörer: „Freylich habt ihr wenig, Glükseelige Einwohner dieser Herzogthümer! Und ihr am allerwenigsten, Glükseelige Einwohner dieser Stadt! von den Ungemächlichkeiten des Krieges empfunden. Vielleicht ist der Krieg vielen unter euch gar sehr vortheilhaftig gewesen. Aber das müsse euch ja nicht veranlassen, über die Noth eurer Brüder mit einer unempfindlichen Gleichgültigkeit hinzusehen! Das müsse euch ja nicht verblenden, die Wohlthat des geschenkten Friedens gering zu achten!“HPJ</t>
  </si>
  <si>
    <t xml:space="preserve">Heilige Erweckungen für ein Volk, dem der Herr Ruhe gegeben hat, Fl-1419.7</t>
  </si>
  <si>
    <t xml:space="preserve">https://friedensbilder-neu.gnm.de/sites/default/files/2019-06/Fl-1419.png</t>
  </si>
  <si>
    <t xml:space="preserve">http://friedensbilder.gnm.de/content/frieden_foto_order1c3d8d</t>
  </si>
  <si>
    <t xml:space="preserve">Dankpredigt </t>
  </si>
  <si>
    <t xml:space="preserve">Brosch. I 2015</t>
  </si>
  <si>
    <t xml:space="preserve">Giseke, Nikolaus Dietrich</t>
  </si>
  <si>
    <t xml:space="preserve">Marienbibliothek</t>
  </si>
  <si>
    <t xml:space="preserve">C IV.1996 okt</t>
  </si>
  <si>
    <t xml:space="preserve">an dem in den Fürstl. Schwarzburg. Sondershäus. und Arnstädtischen Landen gefeyerten Friedens- und Dankfeste, am Sonntage Quasimodogeniti 1763 in Gegenwart der Durchlauchtigsten Herrschaft in der Dreyfaltigkeitskirche zu Sondershausen gehalten </t>
  </si>
  <si>
    <t xml:space="preserve">Die am Sonntage Oculi wegen des den 15. Febr. 1763 zwischen des Königs in Preussen Majestät, und der Kayserin und Königin von Ungarn wie auch des Königs von Polen, Churfürsten zu Sachsen Majestät zu Hubertusburg glücklich geschlossenen Friedens, über 1. Buch der Könige VIII, 56 - 58 gehaltene Danck-Predigt  </t>
  </si>
  <si>
    <t xml:space="preserve">C 8077</t>
  </si>
  <si>
    <t xml:space="preserve">Sack, August Friedrich Wilhelm</t>
  </si>
  <si>
    <t xml:space="preserve">Il 6454 </t>
  </si>
  <si>
    <t xml:space="preserve">Friedenhemmer</t>
  </si>
  <si>
    <t xml:space="preserve">HBF 10041</t>
  </si>
  <si>
    <t xml:space="preserve">Meder Witwe</t>
  </si>
  <si>
    <t xml:space="preserve">Darinn berichtet wird Was die Vrsachen seyen daß der von so vielen Jahren hero erwünschte Friede nicht einmal kommen vnd herfür blicken wil? Vber die Wort deß Propheten Jeremiae cap. 14. V. 19. 20. Wir hoffeten es solte Friede werden so kompt nichts guts: Wir hoffeten wir solten heyl werden so ist mehr Schadens da etc. </t>
  </si>
  <si>
    <t xml:space="preserve">An stat einer Newen Jahrs Predigt erklärt am H. Newen Jahrs Tag zu Vlm im Münster dieses einstehenden 1637. Jahrs</t>
  </si>
  <si>
    <t xml:space="preserve">Hohenemser 5612. - Nicht im VD 17&amp;nbsp;Zitiert in Wagner, Consultatio</t>
  </si>
  <si>
    <t xml:space="preserve">Gott im Kriege, oder Predigten, zur Kriegszeit gehalten, </t>
  </si>
  <si>
    <t xml:space="preserve">Be VII 3,2258/10</t>
  </si>
  <si>
    <t xml:space="preserve">Ritter, Johann Christian
Sysang, Johanna Dorothea</t>
  </si>
  <si>
    <t xml:space="preserve">Prüfer</t>
  </si>
  <si>
    <t xml:space="preserve">1122777X</t>
  </si>
  <si>
    <t xml:space="preserve">http://nbn-resolving.de/urn:nbn:de:gbv:3:1-332408</t>
  </si>
  <si>
    <t xml:space="preserve">32-Nbg 0173</t>
  </si>
  <si>
    <t xml:space="preserve">stark beschädigt</t>
  </si>
  <si>
    <t xml:space="preserve">SMAG </t>
  </si>
  <si>
    <t xml:space="preserve">[23] Bl., 1090, 48 S., [12] Bl.</t>
  </si>
  <si>
    <t xml:space="preserve">über die Sonntags- und Festevangelia, nach Anleitung des, zur Kriegszeit, in den Churfürstl. Sächsischen Landen angeordneten Kriegs- und Friedensgebeths</t>
  </si>
  <si>
    <t xml:space="preserve">wie selbige, vom Anfange des 1762. Kirchenjahres biß zu dessen Ende, in der Bischöfl. hohen Stifftskirche zu Naumburg, öffentlich vorgetragen, nun aber zum Gebrauch der Haus-Andacht eingerichtet</t>
  </si>
  <si>
    <t xml:space="preserve">687695953 </t>
  </si>
  <si>
    <t xml:space="preserve">http://friedensbilder.gnm.de/sites/default/files/5114089.jpg</t>
  </si>
  <si>
    <t xml:space="preserve">Tübingensche Friedens-Predigt</t>
  </si>
  <si>
    <t xml:space="preserve">Theol.qt.7396  </t>
  </si>
  <si>
    <t xml:space="preserve">Magazin</t>
  </si>
  <si>
    <t xml:space="preserve">Der Altar des Friedens</t>
  </si>
  <si>
    <t xml:space="preserve"> Theol.qt.4704  </t>
  </si>
  <si>
    <t xml:space="preserve">Meuschen, Johann Gerhard</t>
  </si>
  <si>
    <t xml:space="preserve">Eine Friedens-Predigt über Jud. 6,24 gehalten</t>
  </si>
  <si>
    <t xml:space="preserve">Danck- und Friedens-Predigt aus Psalm XXI. Verß 2. 3. 4 </t>
  </si>
  <si>
    <t xml:space="preserve">an Im 3503 (12)</t>
  </si>
  <si>
    <t xml:space="preserve">Pauli, Hermann Reinhold
Bauer, Johann Andreas</t>
  </si>
  <si>
    <t xml:space="preserve">Bauer</t>
  </si>
  <si>
    <t xml:space="preserve">http://nbn-resolving.org/urn:nbn:de:gbv:3:1-207511</t>
  </si>
  <si>
    <t xml:space="preserve">Pon Vd 2262 d, QK</t>
  </si>
  <si>
    <t xml:space="preserve">über den zwischen Sr. Königl. Majest. in Preussen Unserm allergnädigsten König und Herrn, und der Königin in Ungarn und Böhmen Majestät glücklich getroffenen Frieden</t>
  </si>
  <si>
    <t xml:space="preserve">Am 15. Julii als dem VIII. Sontag Trinit. 1742. auf hohen Königlichen Befehl in der Königlichen Schloß- und Dohm- Kirche zu Halle bey Volckreicher Versammlung  gehalten und auf Begehren dem Druck übergeben</t>
  </si>
  <si>
    <t xml:space="preserve">Halle, Verlegts Johann Andreas Bauer.</t>
  </si>
  <si>
    <t xml:space="preserve">IZEA</t>
  </si>
  <si>
    <t xml:space="preserve">http://friedensbilder.gnm.de/sites/default/files/an Im 3503 (12).pdf</t>
  </si>
  <si>
    <t xml:space="preserve">Danck- und Friedens-Predigt aus Psalm XXI. Verß 2. 3. 4, an Im 3503 (12)</t>
  </si>
  <si>
    <t xml:space="preserve">Danck- und Friedens-Predigt aus Psalm XXI. Verß 2. 3. 4</t>
  </si>
  <si>
    <t xml:space="preserve">http://friedensbilder.gnm.de/content/frieden_foto_order1a7954</t>
  </si>
  <si>
    <t xml:space="preserve">D. Johann Christian Stemlers F. S. Consistorialraths und Generalsuperintendanten des Fürstenthums Altenburg erster Segen des Evangelii Jesu welcher in zwo Anzugspredigten und einer Friedenspredigt zu Altenburg seinen anvertrauten Gemeinen vorgeleget</t>
  </si>
  <si>
    <t xml:space="preserve">Theol.ev.asc.490</t>
  </si>
  <si>
    <t xml:space="preserve">Stemler, Johann Christian
Richter, Paul Emanuel</t>
  </si>
  <si>
    <t xml:space="preserve">11615761 </t>
  </si>
  <si>
    <t xml:space="preserve">http://digital.slub-dresden.de/id42031783X</t>
  </si>
  <si>
    <t xml:space="preserve">6 Bl. 100 S. </t>
  </si>
  <si>
    <t xml:space="preserve">Altenburg, bey Paul Emauel Richtern.</t>
  </si>
  <si>
    <t xml:space="preserve">http://friedensbilder.gnm.de/sites/default/files/Theol.ev_.asc_.490.pdf</t>
  </si>
  <si>
    <t xml:space="preserve">http://friedensbilder.gnm.de/content/frieden_object1581ef</t>
  </si>
  <si>
    <t xml:space="preserve">http://friedensbilder.gnm.de/content/frieden_foto_order1a1e06</t>
  </si>
  <si>
    <t xml:space="preserve">Das Dreyfache Lob Gottes in der Stille zu Zion, in einer Viehseuch- Friedens- und Erndte-Predigt</t>
  </si>
  <si>
    <t xml:space="preserve">Hist.Sax.H.509 </t>
  </si>
  <si>
    <t xml:space="preserve">Schenck, Heinrich Christian Friedrich</t>
  </si>
  <si>
    <t xml:space="preserve">Brückner</t>
  </si>
  <si>
    <t xml:space="preserve">Römhild</t>
  </si>
  <si>
    <t xml:space="preserve">http://digital.slub-dresden.de/id376356162</t>
  </si>
  <si>
    <t xml:space="preserve">96 S.</t>
  </si>
  <si>
    <t xml:space="preserve">Seiner ... Gemeinde vorgetragen und ... zum Druck überlassen</t>
  </si>
  <si>
    <t xml:space="preserve">Nebst einer kurtzen Historischen Nachricht von dem uhralten Flecken Miltz</t>
  </si>
  <si>
    <t xml:space="preserve">0012709534/</t>
  </si>
  <si>
    <t xml:space="preserve">http://friedensbilder.gnm.de/sites/default/files/00000005.tif(1).jpg</t>
  </si>
  <si>
    <t xml:space="preserve">Da Pacem Domine Das ist: Vier Christliche Predigten/ </t>
  </si>
  <si>
    <t xml:space="preserve">Cant.spir 8° 00667 (02)</t>
  </si>
  <si>
    <t xml:space="preserve">Mose</t>
  </si>
  <si>
    <t xml:space="preserve">39:149591E</t>
  </si>
  <si>
    <t xml:space="preserve">[10.] Bl, 178 S.</t>
  </si>
  <si>
    <t xml:space="preserve">von den zween schönen güldenen Kirchen verschlein I. Verleyhe uns Frieden gnediglich/ Herr Gott zu unsern zeiten/ [et]c. 2. Gib unserm Fürsten und aller Obrigkeit/ Fried un[d] gut Regiment/ [et]c</t>
  </si>
  <si>
    <t xml:space="preserve">Gehalten und außgeleget zu dieser betrübten und gefehrlichen zeit/ bey der Christlichen Kirchen/ unnd Gemeine Gottes/ zu Butzfliet/ im Land Keding/ des Ertzstifftes Bremen</t>
  </si>
  <si>
    <t xml:space="preserve">http://friedensbilder.gnm.de/sites/default/files/39_149591E_001,800,600.gif</t>
  </si>
  <si>
    <t xml:space="preserve">Theologisches Bedencken </t>
  </si>
  <si>
    <t xml:space="preserve">Res 4 Polem. 3351,4</t>
  </si>
  <si>
    <t xml:space="preserve">Krause</t>
  </si>
  <si>
    <t xml:space="preserve">Heilbronn</t>
  </si>
  <si>
    <t xml:space="preserve">12:113904E</t>
  </si>
  <si>
    <t xml:space="preserve">Na 8428</t>
  </si>
  <si>
    <t xml:space="preserve">[8] Bl., 167 S.</t>
  </si>
  <si>
    <t xml:space="preserve">Uber die angebene under dem Namen Johann Warners von Bockendorff in Meissen publicirte und in dreyen Tractätlein Anno 1638. zusammen gedruckte Visionen So ihme wegen deß Zustands der Evangelischen Kirchen und ihrer widerwärtigen innerhalb Neun Jahren von Gott sollen gezeigt worden seyn. Was nämblichen und ob etwas von denselben zuhalten?</t>
  </si>
  <si>
    <t xml:space="preserve">Neben angehengter Friedens-Predigt/ in Anno 1635. den achten Sonntag Trinitatis, uber den damahls publicirten Pragischen Frieden gehalten</t>
  </si>
  <si>
    <t xml:space="preserve">http://friedensbilder.gnm.de/sites/default/files/12_113904E_001,800,600.gif</t>
  </si>
  <si>
    <t xml:space="preserve">Sermonum De Tempore Dodecas. Das ist, Zwölff sonderbahre Predigten</t>
  </si>
  <si>
    <t xml:space="preserve">Junghans, Johann
Mitternacht, Johann Sebastian</t>
  </si>
  <si>
    <t xml:space="preserve">Müller
Birckner Erben</t>
  </si>
  <si>
    <t xml:space="preserve">Gera
Erfurt</t>
  </si>
  <si>
    <t xml:space="preserve">http://resolver.sub.uni-goettingen.de/purl?PPN863203930</t>
  </si>
  <si>
    <t xml:space="preserve">[1] Bl., [10] S., 577 S., [1] S., [1] Bl.</t>
  </si>
  <si>
    <t xml:space="preserve">I. von der Zeit, der fürnehmsten Theilen des Jahrs, II. der Kälte, III. dem Schnee, IV. den Rosen, V. der Ernde, VI. der Kirchmeß, VII. denen Sonn- und Mond-Finsternissen, VIII. den Kirchmeß-Kuchen, IX. der Martins-Ganß, X. der Pest, XI. dem Feuer, XII. dem Donner, Jetzund auffs neue übersehen und an vielen Orten vermehret : Zu Ende sind über die dispositiones derer Predigten mit angeheftet worden obgedachtes Autoris Geistliches Schlag-Fäßlein, </t>
  </si>
  <si>
    <t xml:space="preserve">Und denn Johann: Sebastian: Mitternachts, Fürstl. Sächs. Ober-Hof-Predigers, und Stiffts-Superintendenten zu Zeitz, auch des Hochlöbl. Consistorii daselbst Adsessoris I. Jahrmarckts-Predigt, II. Kirchmeß-Predigt, III. Kriegs- und Friedens-Predigt</t>
  </si>
  <si>
    <t xml:space="preserve">Forschungsbibliothek (HG-FB)</t>
  </si>
  <si>
    <t xml:space="preserve">http://friedensbilder.gnm.de/sites/default/files/15e862b518e-2.jpg</t>
  </si>
  <si>
    <t xml:space="preserve">http://friedensbilder.gnm.de/content/frieden_object1424cf</t>
  </si>
  <si>
    <t xml:space="preserve">http://friedensbilder.gnm.de/content/frieden_foto_order1a5ef9</t>
  </si>
  <si>
    <t xml:space="preserve">Kriegs- und Friedens-Predigt</t>
  </si>
  <si>
    <t xml:space="preserve">Mitternacht, Johann Sebastian</t>
  </si>
  <si>
    <t xml:space="preserve">http://nbn-resolving.de/urn/resolver.pl?urn=urn:nbn:de:urmel-e6ad35ef-b5f6-41b4-ad23-312684ed7077-00009762-5189</t>
  </si>
  <si>
    <t xml:space="preserve">S. 497-564</t>
  </si>
  <si>
    <t xml:space="preserve">67 S.</t>
  </si>
  <si>
    <t xml:space="preserve">http://friedensbilder.gnm.de/sites/default/files/15e8626844b-518.jpg</t>
  </si>
  <si>
    <t xml:space="preserve">Friedens-Predigt Gehalten am 13. Sonntag nach Trinitatis war der 14. Septembris Anno 1679</t>
  </si>
  <si>
    <t xml:space="preserve">http://reader.digitale-sammlungen.de/de/fs1/object/display/bsb11291403_00801.html</t>
  </si>
  <si>
    <t xml:space="preserve">743-788</t>
  </si>
  <si>
    <t xml:space="preserve">Aus selbigem Evangelio</t>
  </si>
  <si>
    <t xml:space="preserve">http://friedensbilder.gnm.de/sites/default/files/1505489956bsb11291403.jpg</t>
  </si>
  <si>
    <t xml:space="preserve">Danck-Predigt Vor den beschlossenen Nimwegischen frieden.</t>
  </si>
  <si>
    <t xml:space="preserve">Theol.ev.asc.472,misc.2, 1</t>
  </si>
  <si>
    <t xml:space="preserve">Spener, Philipp Jakob</t>
  </si>
  <si>
    <t xml:space="preserve">http://digital.slub-dresden.de/werkansicht/dlf/172949/359/0/</t>
  </si>
  <si>
    <t xml:space="preserve">S. 345–367</t>
  </si>
  <si>
    <t xml:space="preserve">gehalten auff das fest der H. Dreieinigkeit. 15. Jun. 1679.</t>
  </si>
  <si>
    <t xml:space="preserve">Pietismus und Pädagogik: Analysen anhand ausgewählter neuzeitlicher Quellen / Andreas SchellenbergDer Pietismus des Philipp Jacob Spener / Linda Gryger&amp;nbsp;Spener als praktischer Theologe und Kirchlicher Reformer |zur 200jährigen Wiederkehr des Todestages von Philipp Jakob Spener (gest. den 5. Februar 1705) / Gruenberg, Paul|Spener, Philipp Jakob ¬[gefeierte Person]¬ / 1905Hoffnung besserer Zeiten |Philipp Jakob Spener (1635 - 1705) und die Geschichte des Pietismus ; Jahresausstellung der Franckeschen Stiftungen in Zusammenarbeit mit dem Interdisziplinären Zentrum für Pietismusforschung der Martin-Luther-Universität …&amp;nbsp;Philipp Jakob Spener - Leben, Werk, Bedeutung |Bilanz der Forschung nach 300 Jahren / Wendebourg, Dorothea / 2007&amp;nbsp;Briefe aus der Frankfurter Zeit 1666-1686. 5, 1681 [Texte imprimé] / Spener, Philipp Jakob (1635-1705) / Mohr Siebeck / cop. 2010</t>
  </si>
  <si>
    <t xml:space="preserve">http://friedensbilder.gnm.de/sites/default/files/00000359.tif.jpg</t>
  </si>
  <si>
    <t xml:space="preserve">Danck-Predigt Vor den beschlossenen Nimwegischen frieden., Theol.ev.asc.472,misc.2, 1</t>
  </si>
  <si>
    <t xml:space="preserve">Das Nürnberger Rathaus mit den Volksbelustigungen am 25.9.1649</t>
  </si>
  <si>
    <t xml:space="preserve">Leinwand</t>
  </si>
  <si>
    <t xml:space="preserve">Kat. Nürnberg 1995
Ausst. Kat. Nürnberg 1998</t>
  </si>
  <si>
    <t xml:space="preserve">S. 282–284, Nr. 149
S. 33–34, Kat.-Nr. 13 (Frank-Matthias Kammel)</t>
  </si>
  <si>
    <t xml:space="preserve">134 x 157 </t>
  </si>
  <si>
    <t xml:space="preserve">http://friedensbilder.gnm.de/sites/default/files/WITTIG_Bartholomäus_Gm0189_72DPI.jpg</t>
  </si>
  <si>
    <t xml:space="preserve">http://friedensbilder.gnm.de/content/frieden_object2e6c0</t>
  </si>
  <si>
    <t xml:space="preserve">http://friedensbilder.gnm.de/content/frieden_foto_order14594a</t>
  </si>
  <si>
    <t xml:space="preserve">PANEGYRIQVE DE S. LOVIS.</t>
  </si>
  <si>
    <t xml:space="preserve">916373 4 Hom. 1616 (1)</t>
  </si>
  <si>
    <t xml:space="preserve">http://reader.digitale-sammlungen.de/de/fs1/object/display/bsb10365450_00031.html</t>
  </si>
  <si>
    <t xml:space="preserve">S. 1–32</t>
  </si>
  <si>
    <t xml:space="preserve">PRONONCE A MVNSTER le 25. d'Aoust 1646. </t>
  </si>
  <si>
    <t xml:space="preserve">dans l'Eglise des Cordeliers, en presence de Messeigneurs le Duc de Longeuille &amp; le Compte d'Auaux, Plenipotentiaiares de France pour la paix generale.</t>
  </si>
  <si>
    <t xml:space="preserve">http://friedensbilder.gnm.de/sites/default/files/1505490658bsb10365450.jpg</t>
  </si>
  <si>
    <t xml:space="preserve">PANEGYRIQVE DE S. LOVIS., 916373 4 Hom. 1616 (1)</t>
  </si>
  <si>
    <t xml:space="preserve">http://friedensbilder.gnm.de/content/frieden_foto_order193127</t>
  </si>
  <si>
    <t xml:space="preserve">Danklied ueber den rühmlichen Sieg </t>
  </si>
  <si>
    <t xml:space="preserve">AB 43 14/k, 3 (14) (2)</t>
  </si>
  <si>
    <t xml:space="preserve">http://digitale.bibliothek.uni-halle.de/vd18/content/pageview/4654868</t>
  </si>
  <si>
    <t xml:space="preserve">S. 17–20</t>
  </si>
  <si>
    <t xml:space="preserve">welchen der HERR unserm Allergnädigsten Könige und Herrn Friederich II. am Sabbath den 5. Novembr. 1757. bey Roßbach in Sachsen verliehen</t>
  </si>
  <si>
    <t xml:space="preserve">http://friedensbilder.gnm.de/sites/default/files/AB 43 14k 3 (14) (2).pdf</t>
  </si>
  <si>
    <t xml:space="preserve">Dankpredigt und Predigt eingetragen bei Gattung und Textform, bei anderen Beispielen oft nur Friedenspredigt o.ä.; GND-Verknüpfung Hirschel einfügen&amp;nbsp;Anmerkung Red: das Feld Textform wurde gestrichen.</t>
  </si>
  <si>
    <t xml:space="preserve">Danklied ueber den rühmlichen Sieg, AB 43 14/k, 3 (14) (2)</t>
  </si>
  <si>
    <t xml:space="preserve">Danklied ueber den rühmlichen Sieg</t>
  </si>
  <si>
    <t xml:space="preserve">Danklied ueber den herrlichen und glorreichen Sieg</t>
  </si>
  <si>
    <t xml:space="preserve">AB 43 14/k, 3 (14) (3)</t>
  </si>
  <si>
    <t xml:space="preserve">http://digitale.bibliothek.uni-halle.de/vd18/content/pageview/4654873</t>
  </si>
  <si>
    <t xml:space="preserve">S. 21–24</t>
  </si>
  <si>
    <t xml:space="preserve">welchen Se. Majestät unser allergnädigster König Den 5. December 1757. bey Leuthen in Schlesien erfochten</t>
  </si>
  <si>
    <t xml:space="preserve">http://friedensbilder.gnm.de/sites/default/files/AB 43 14k 3 (14) (3).pdf</t>
  </si>
  <si>
    <t xml:space="preserve">Danklied ueber den herrlichen und glorreichen Sieg, AB 43 14/k, 3 (14) (3)</t>
  </si>
  <si>
    <t xml:space="preserve">Narva, und die stillen Musen, die ihr Schooss ernährt und hegt, huldigen zum zweyten mal; weil die Freud sich doppelt regt.</t>
  </si>
  <si>
    <t xml:space="preserve">1_1762_fb</t>
  </si>
  <si>
    <t xml:space="preserve">Köhler</t>
  </si>
  <si>
    <t xml:space="preserve">Tallinn</t>
  </si>
  <si>
    <t xml:space="preserve">http://www.etera.ee/zoom/12880/view?page=1&amp;p=horizontal&amp;view=0,0,12616,5266</t>
  </si>
  <si>
    <t xml:space="preserve">Lange, ach! Sehr glücklich lange mag der Dritte Peter leben, Den uns Gottes Höchste Hand, und der Welt, zum Trost, gegeben. den 10 Februarius 1762. Reval, gedruckt mit Köhlerschen Schriften.</t>
  </si>
  <si>
    <t xml:space="preserve">Signatur nicht gefunden (Seite auf Estnisch), Signatur vergeben (Nummer_Jahr_Bearbeiter)</t>
  </si>
  <si>
    <t xml:space="preserve">Narva, und die stillen Musen, die ihr Schooss ernährt und hegt, huldigen zum zweyten mal; weil die Freud sich doppelt regt., 1_1762_fb</t>
  </si>
  <si>
    <t xml:space="preserve">WunschLied Auff des Hochfeierlichen Geburts-Tag Deß ... Herrn Augusti/ Hertzogen zu Braunschweig und Lüneburg/ [et]c. :</t>
  </si>
  <si>
    <t xml:space="preserve">G3:A29</t>
  </si>
  <si>
    <t xml:space="preserve">Schottel, Justus Georg
Gruber, Balthasar</t>
  </si>
  <si>
    <t xml:space="preserve">23:668288Y</t>
  </si>
  <si>
    <t xml:space="preserve">http://diglib.hab.de/drucke/g-3-a-30/start.htm</t>
  </si>
  <si>
    <t xml:space="preserve">Als eben selbiger Tag samt glücklicher hoch-verhoffter Endschafft der seithero gepflogenen weltbekanten Friedenshandlung abermal/ und also mit gleicher vorjähriger Friedensdeutender Wirckung erschienen/ Auch von Ihr. F. Gn. also zum vier- und fünff und sechtzigsten male frisch/ gesund/ und mit frölichem Gemüthe überstanden und erlebet worden / Solches hertzlich von Gott wünschend Setzet dieses unterthäniglich Justus-Georgius Schottelius</t>
  </si>
  <si>
    <t xml:space="preserve">https://www.gbv.de/vd17-cms/vd17_image_full_view?zuid=b5bcf688-ff5e-4d84-92b0-bf3e24d6f773</t>
  </si>
  <si>
    <t xml:space="preserve">WunschLied Auff des Hochfeierlichen Geburts-Tag Deß ... Herrn Augusti/ Hertzogen zu Braunschweig und Lüneburg/ [et]c. :, G3:A29</t>
  </si>
  <si>
    <t xml:space="preserve">Treuherzige Unterredung eines Ländler Bauern, mit seinem Herrn Pfarrer. Die dermahlig beträngte Zeiten, und den Preussischen Krieg betreffend </t>
  </si>
  <si>
    <t xml:space="preserve">224667-C</t>
  </si>
  <si>
    <t xml:space="preserve">Lindemayr, Maurus
Münzer, Franz Xaver</t>
  </si>
  <si>
    <t xml:space="preserve">Linz</t>
  </si>
  <si>
    <t xml:space="preserve">http://digital.onb.ac.at/OnbViewer/viewer.faces?doc=ABO_%2BZ175978802</t>
  </si>
  <si>
    <t xml:space="preserve">Mit Patriotischen Eyfer entworffen von P. M. L. P. L.</t>
  </si>
  <si>
    <t xml:space="preserve">http://friedensbilder.gnm.de/sites/default/files/00000003_0.jpg</t>
  </si>
  <si>
    <t xml:space="preserve">Treuherzige Unterredung eines Ländler Bauern, mit seinem Herrn Pfarrer. Die dermahlig beträngte Zeiten, und den Preussischen Krieg betreffend , 224667-C</t>
  </si>
  <si>
    <t xml:space="preserve">Der Triumph des Glaubens aus dem Triumphe des Königes</t>
  </si>
  <si>
    <t xml:space="preserve">M: Lo Sammelbd. 90 (2)</t>
  </si>
  <si>
    <t xml:space="preserve">Birnstiel, Friederich Wilhelm</t>
  </si>
  <si>
    <t xml:space="preserve">http://digital.staatsbibliothek-berlin.de/werkansicht?PPN=PPN735465142&amp;PHYSID=PHYS_0005&amp;DMDID=&amp;view=overview-toc</t>
  </si>
  <si>
    <t xml:space="preserve">Yf 6757-30</t>
  </si>
  <si>
    <t xml:space="preserve">Ein Gedicht auf den Sieg, den Gott am 5ten dieses Christmonats das Heer des Königes über das feindliche Heer der Oesterreicher bei Borne in Schlesien erfechten lassen</t>
  </si>
  <si>
    <t xml:space="preserve">http://friedensbilder.gnm.de/sites/default/files/canvas_0.png</t>
  </si>
  <si>
    <t xml:space="preserve">Der Triumph des Glaubens aus dem Triumphe des Königes, M: Lo Sammelbd. 90 (2)</t>
  </si>
  <si>
    <t xml:space="preserve">http://friedensbilder.gnm.de/content/frieden_foto_order1c435b</t>
  </si>
  <si>
    <t xml:space="preserve">Tormentum Apollineo-Epinicium, Serenissimo atque Potentissimo Electori Brandenburgico, Domino, Domino Friderico Wilhelmo, Patri patriae Augusto sacrum / humillime oblatum a Friderico Madewisio, Gymn. Berl. C-Rect.</t>
  </si>
  <si>
    <t xml:space="preserve">M: Gm 4° 191</t>
  </si>
  <si>
    <t xml:space="preserve">Madeweis, Friedrich
Schultze, Georg</t>
  </si>
  <si>
    <t xml:space="preserve">23:318948N</t>
  </si>
  <si>
    <t xml:space="preserve">http://diglib.hab.de/wdb.php?dir=drucke/gm-4f-191&amp;imgtyp=0&amp;size=</t>
  </si>
  <si>
    <t xml:space="preserve">http://diglib.hab.de/drucke/gm-4f-191/00007.jpg</t>
  </si>
  <si>
    <t xml:space="preserve">Tormentum Apollineo-Epinicium, M: Gm 4° 191</t>
  </si>
  <si>
    <t xml:space="preserve">Tormentum Apollineo-Epinicium</t>
  </si>
  <si>
    <t xml:space="preserve">Festos Dies Propter Pacem Inter Fridericum Magnum Nec Non Augustissimam Theresiam Et Potentissimum Augustum Felicissime Restitutam Aget Academia Fridericiana Quibus Ut D. XXVI. Et XXVII. Maii A. C. ... Interesse Velint Sollemnibus Serenissimus Princeps Anhalto-Bernburgicus ... :</t>
  </si>
  <si>
    <t xml:space="preserve">2 in: 2° Sv 9380</t>
  </si>
  <si>
    <t xml:space="preserve">Heisler, Jakob Philipp
Gebauer, Johann Justinus</t>
  </si>
  <si>
    <t xml:space="preserve">http://digital.staatsbibliothek-berlin.de/werkansicht?PPN=PPN679430369&amp;PHYSID=PHYS_0018&amp;DMDID=&amp;view=overview-info</t>
  </si>
  <si>
    <t xml:space="preserve">Ea Qua Decet ... Rogat D. Philippus Iacobus Heisler ICtus ...  </t>
  </si>
  <si>
    <t xml:space="preserve">Festos Dies Propter Pacem Inter Fridericum Magnum Nec Non Augustissimam Theresiam Et Potentissimum Augustum Felicissime Restitutam Aget Academia Fridericiana Quibus Ut D. XXVI. Et XXVII. Maii A. C. ... Interesse Velint Sollemnibus Serenissimus Princeps Anhalto-Bernburgicus ... :, 2 in: 2° Sv 9380</t>
  </si>
  <si>
    <t xml:space="preserve">Action De Graces Povr La Pvblication De La Paix Entre L'Angleterre Et Les Provinces Vnies. </t>
  </si>
  <si>
    <t xml:space="preserve">VOL MISC.1625 1-3, 1</t>
  </si>
  <si>
    <t xml:space="preserve">Gaches, Raymond</t>
  </si>
  <si>
    <t xml:space="preserve">S. 172–210</t>
  </si>
  <si>
    <t xml:space="preserve">38 S.</t>
  </si>
  <si>
    <t xml:space="preserve">Sur ces paroles du Pseaume 122 verset 6.</t>
  </si>
  <si>
    <t xml:space="preserve">Priez pour la Paix de Jerusalem</t>
  </si>
  <si>
    <t xml:space="preserve">Für den Inhalt siehe&amp;nbsp;Theol. 8° 7540 YB (n.3).Späterer Nachdruck von 1660.</t>
  </si>
  <si>
    <t xml:space="preserve">Exhortation a prier Dieu pour la Paix entre les deux couronnes </t>
  </si>
  <si>
    <t xml:space="preserve">Ed 4370</t>
  </si>
  <si>
    <t xml:space="preserve">Tournes
Antoines</t>
  </si>
  <si>
    <t xml:space="preserve">Geneve</t>
  </si>
  <si>
    <t xml:space="preserve">https://books.google.de/books?id=4dYlOFVPtXsC&amp;dq=Seize%20sermons%20sur%20divers%20textes%20De%20l'Ecriture%20Sainte&amp;hl=de&amp;pg=RA1-PP2#v=twopage&amp;q&amp;f=false</t>
  </si>
  <si>
    <t xml:space="preserve">S. 798-852</t>
  </si>
  <si>
    <t xml:space="preserve">[1] Bl. 52 S.</t>
  </si>
  <si>
    <t xml:space="preserve">Sur ces mots du Prophete Jeremie Chap. 29 v. 7.</t>
  </si>
  <si>
    <t xml:space="preserve">http://friedensbilder.gnm.de/sites/default/files/Seiten aus Seize_sermons_sur_diuers_textes_de_l_Ecr-2.jpg</t>
  </si>
  <si>
    <t xml:space="preserve">Deus Sermons sur la Paix entre lex deus couronnes.</t>
  </si>
  <si>
    <t xml:space="preserve">Drelincourt, Charles
Gaches, Raymond</t>
  </si>
  <si>
    <t xml:space="preserve">https://books.google.de/books?id=4dYlOFVPtXsC&amp;dq=Seize%20sermons%20sur%20divers%20textes%20De%20l'Ecriture%20Sainte&amp;hl=de&amp;pg=RA1-PT7#v=twopage&amp;q&amp;f=false</t>
  </si>
  <si>
    <t xml:space="preserve">S. [856-925]</t>
  </si>
  <si>
    <t xml:space="preserve">http://friedensbilder.gnm.de/sites/default/files/Seiten aus Seize_sermons_sur_diuers_textes_de_l_Ecr-3.jpg</t>
  </si>
  <si>
    <t xml:space="preserve">Oden und Gedichte auf das Freuden-Fest, wegen der Freundes-Verbindung Friedrichs des Allergrössesten jetzt regierenden Königes von Preussen mit Peter dem Dritten </t>
  </si>
  <si>
    <t xml:space="preserve">Hist.Boruss.259,39.s</t>
  </si>
  <si>
    <t xml:space="preserve">http://digital.slub-dresden.de/werkansicht/dlf/66874/23/</t>
  </si>
  <si>
    <t xml:space="preserve">Dd 957 (2)</t>
  </si>
  <si>
    <t xml:space="preserve">darin enthalten: Predigtaußerdem enthalten sind zwei Oden, wobei Ode I nur den Sieg beschreibt, während Ode II auf den Frieden von St.Petersburg eingeht und hier entsprechend eingetragen wurde</t>
  </si>
  <si>
    <t xml:space="preserve">http://friedensbilder.gnm.de/content/frieden_object1c9c21</t>
  </si>
  <si>
    <t xml:space="preserve">Dem Allerdurchlauchtigsten, Grosmächtigsten Fürsten und Herrn Friederich dem II. Könige in Preussen und obersten Herzoge in Schlesien, Marggrafen zu Brandenburg, des H. Römischen Reichs Ertz-Cämmerer und Churfürsten [et]c. [et]c. wolte an dem Dankfeste, welches wegen des, zwischen Sr. Königl. Majestät eines theils, und der Königin von Ungarn Majestät andern theils, geschlossenen Friedens zu Quedlinburg 1742. den 15ten Julius feyerlichst begangen wurde, in nachgesezter Ode ihre unterthänigste Ehrfurcht, Pflicht, Treue und Glückwunsch abstatten die sämtliche Kaufmanschaft in Quedlinburg </t>
  </si>
  <si>
    <t xml:space="preserve">2009 4 002242 angeb.203</t>
  </si>
  <si>
    <t xml:space="preserve">Schwan, Gottfried Heinrich</t>
  </si>
  <si>
    <t xml:space="preserve">http://digital.slub-dresden.de/werkansicht/dlf/63421/6/</t>
  </si>
  <si>
    <t xml:space="preserve">Dem Allerdurchlauchtigsten, Grosmächtigsten Fürsten und Herrn Friederich dem II. Könige in Preussen und obersten Herzoge in Schlesien, Marggrafen zu Brandenburg, des H. Römischen Reichs Ertz-Cämmerer und Churfürsten [et]c. [et]c. wolte an dem Dankfeste, welches wegen des, zwischen Sr. Königl. Majestät eines theils, und der Königin von Ungarn Majestät andern theils, geschlossenen Friedens zu Quedlinburg 1742. den 15ten Julius feyerlichst begangen wurde, in nachgesezter Ode ihre unterthänigste Ehrfurcht, Pflicht, Treue und Glückwunsch abstatten die sämtliche Kaufmanschaft in Quedlinburg , 2009 4 002242 angeb.203</t>
  </si>
  <si>
    <t xml:space="preserve">Denckmahl der patriotischen Freude</t>
  </si>
  <si>
    <t xml:space="preserve">Pon Vd 3134</t>
  </si>
  <si>
    <t xml:space="preserve">Köhler, Gotthelf Benjamin</t>
  </si>
  <si>
    <t xml:space="preserve">Schröder</t>
  </si>
  <si>
    <t xml:space="preserve">http://digitale.bibliothek.uni-halle.de/vd18/content/pageview/2416596</t>
  </si>
  <si>
    <t xml:space="preserve">138 S.</t>
  </si>
  <si>
    <t xml:space="preserve">der Haupt- und Creyß-Stadt Luckau in Marggrafthum Niederlausitz über den auf dem Schlosse Hubertsburg den 15 Febr. 1763. geschlossenen Frieden </t>
  </si>
  <si>
    <t xml:space="preserve">aufgestellet von M. Gotthelf Benjamin Köhler, Diacono bey der Haupt-Kirche und Predigern am Hospital zum heil. Geist und Creutz daselbst wie auch Pastore zu Cahnsdorf.</t>
  </si>
  <si>
    <t xml:space="preserve">Pförten, gedruckt mit Benekens Schriften.</t>
  </si>
  <si>
    <t xml:space="preserve">Der gesamte Druck trägt eine Widmung an Johann Friedrich Bahrt (Lehrer an der Akademie Leipzig), den Bürgermeister von Luckau (Bluhm) und die gesamte Gemeinde.
</t>
  </si>
  <si>
    <t xml:space="preserve">http://friedensbilder.gnm.de/sites/default/files/Pon Vd 3134.jpg
http://digitale.bibliothek.uni-halle.de/vd18/image/view/2416731?w=1000
http://digitale.bibliothek.uni-halle.de/vd18/image/view/2416653?w=1000
http://digitale.bibliothek.uni-halle.de/vd18/image/view/2416625?w=1000
http://digitale.bibliothek.uni-halle.de/vd18/image/view/2416609?w=1000
http://digitale.bibliothek.uni-halle.de/vd18/image/view/2416707?w=1000
http://friedensbilder.gnm.de/sites/default/files/Pon Vd 3134.pdf</t>
  </si>
  <si>
    <t xml:space="preserve">In diesem Band fasst der Herausgeber, Diakon Gotthelf Köhler (1732-1801) aus Luckau in der Niederlausitz, fünf Predigten und Reden zusammen, die aus Anlass des Friedensschlusses von Hubertusburg in Luckau von ihm und von Hauptpastor Daniel Jeremias Lichtemann gehalten wurden. Dabei erscheint die Veröffentlichung ein wenig als „Mogelpackung“, denn nur die zweite Predigt und die an dritter Stelle stehende, eher weltliche Schlussrede haben einen direkten und deutlichen Bezug zu den Friedensfeiern, hingegen sind die Predigten eins, vier und fünf Sonn- oder Feiertagspredigten mit nur geringen Bezügen zum Friedensschluss.
Am Beginn des Vorberichts, der detailliert über den Ablauf der Feierlichkeiten&amp;nbsp;in Luckau&amp;nbsp;unterrichtet, scheint etwas von dem Motiv für die Veröffentlichung auf: Köhler erklärt, ein Denkmal der Dankbarkeit für die göttliche Gabe des Friedens errichten zu wollen, und fährt fort: „Diese meine Absicht ist also schon erreichet, wenn auch dieselben [sc. Predigten] von niemand anders, als von denen, die mit mir in einem kleine Bezircke wohnen, gelesen zu werden gewürdiget werden sollten, wenn auch nur die unter uns, oder auch nur einigen von denenselben, die noch erwecket werden müssen, zu einer recht hertzlichen Liebe und danckbaren Treue gegen diesen unsern Friedefürsten [Christus] auch nur einigermassen dadurch entflammt werden, Unter diesem hertzlichen Wunsche, einen solchen Segen zu sehen, überliefere ich sie auch besonders denselben, da das übele Wetter und andere besondere Umstände sehr viele, ja ich muß sagen die meisten verhinderte, dem Vortrage dieser heiligen Redene beizuwohnen...“&amp;nbsp;Köhler war offenkundig, und das formuliert er in der fünften Predigt (auf S. 136) auch explizit, mit seiner Zuhörerzahl unzufrieden und wollte seine erbaulichen Predigten auf diese Weise unter dem Rubrum der patriotischen Friedensfeiern noch einem größeren Publikum zugänglich machen.
FB/HPJ
</t>
  </si>
  <si>
    <t xml:space="preserve">Schluß-Rede so nach völlig geendigten Gottesdienste bey der auf den 21 Martii 1763. hohen und allergnädigst angeordneten  Friedens-Feyer, auf dem Rath-hause allhier, in Gegenwart Eines Edlen und Hochweosen Raths, Ehrwürdigen Ministerii, der Herren Schul-Collegen und gesammten Bürgerschaft gehalten worden ist., Pon Vd 3134
Erste Predigt, Die gerechten Freuden-Thränen des erlößten Sachsenlandes bey der eröfneten blutigen Schau-Bühne des leidenden Jesu, über das ordentliche Evangelium am Sonntage Estomihi Luc. 18, 31-43. bey Gelegenheit derer den Donnerstag vorher allhier eingegangenen vorläuffigen Friedens-Nachrichten., Pon Vd 3134
Zweyte Predigt, Die gerechten Regungen der innigen Freude Sachsenlandes bey dem gesegneten Anblick des so sehnlich erwünschten Friedens-Tages über die von hoher Hand ausgeschriebenen Textes-Worte aus Psalm 28,6-9, bey Gelegenheit der Friedens-Feyer den 21. Martii a.c. als dem Montag nach Judika, Pon Vd 3134
Vierte Predigt, Die hohe Gewalt des grossen Friede-Fürsten Jesu über die Hertzen seines erlösten Volcks, über das ordentliche Evangelium am Sonntage Palmarum, Matth. 21, v. 1-9. als dem ersten Sonntage nach gehaltenem Friedens-Fest  , Pon Vd 3134
Fünfte Predigt, Der beste Danck, den Gott von denen verlanget, die von der Obrigkeit der Finsterniß errettet worden sind, gehalten den Dienstag p. Dom. Cantate, über Luc. I v. 74.75 , Pon Vd 3134
Vorbericht, Pon Vd 3134</t>
  </si>
  <si>
    <t xml:space="preserve">https://friedensbilder-neu.gnm.de/sites/default/files/2019-06/Pon-Vd-3134_0.png</t>
  </si>
  <si>
    <t xml:space="preserve">Schluß-Rede so nach völlig geendigten Gottesdienste bey der auf den 21 Martii 1763. hohen und allergnädigst angeordneten  Friedens-Feyer, auf dem Rath-hause allhier, in Gegenwart Eines Edlen und Hochweosen Raths, Ehrwürdigen Ministerii, der Herren Schul-Collegen und gesammten Bürgerschaft gehalten worden ist.
Erste Predigt, Die gerechten Freuden-Thränen des erlößten Sachsenlandes bey der eröfneten blutigen Schau-Bühne des leidenden Jesu, über das ordentliche Evangelium am Sonntage Estomihi Luc. 18, 31-43. bey Gelegenheit derer den Donnerstag vorher allhier eingegangenen vorläuffigen Friedens-Nachrichten.
Zweyte Predigt, Die gerechten Regungen der innigen Freude Sachsenlandes bey dem gesegneten Anblick des so sehnlich erwünschten Friedens-Tages über die von hoher Hand ausgeschriebenen Textes-Worte aus Psalm 28,6-9, bey Gelegenheit der Friedens-Feyer den 21. Martii a.c. als dem Montag nach Judika
Vierte Predigt, Die hohe Gewalt des grossen Friede-Fürsten Jesu über die Hertzen seines erlösten Volcks, über das ordentliche Evangelium am Sonntage Palmarum, Matth. 21, v. 1-9. als dem ersten Sonntage nach gehaltenem Friedens-Fest  
Fünfte Predigt, Der beste Danck, den Gott von denen verlanget, die von der Obrigkeit der Finsterniß errettet worden sind, gehalten den Dienstag p. Dom. Cantate, über Luc. I v. 74.75 
Vorbericht</t>
  </si>
  <si>
    <t xml:space="preserve">http://friedensbilder.gnm.de/content/frieden_foto_order175bbe</t>
  </si>
  <si>
    <t xml:space="preserve">Singgedichte bey dem am Tage der Offenbarung Christi im Jahr 1763 feyerlich begangenen Dank- und Friedensfeste zu Harburg in zwoen gottesdienstlichen Versammlungen nach poetischer Verfassung Herrn Johann Georg Ahlers, Conrector der hiesigen großen Stadtschule ... musikalisch aufgeführet von Johann Burchard Endert, Subconrector und Cantor</t>
  </si>
  <si>
    <t xml:space="preserve">Dd 957 (17)</t>
  </si>
  <si>
    <t xml:space="preserve">Ahlers, Johann Georg
Struck, Samuel Heinrich Christian</t>
  </si>
  <si>
    <t xml:space="preserve">Harburg</t>
  </si>
  <si>
    <t xml:space="preserve">http://digitale.bibliothek.uni-halle.de/vd18/content/pageview/7677551</t>
  </si>
  <si>
    <t xml:space="preserve">73849514X</t>
  </si>
  <si>
    <t xml:space="preserve">http://friedensbilder.gnm.de/sites/default/files/Ahlers.jpg</t>
  </si>
  <si>
    <t xml:space="preserve">Der Lehrer Johann Georg Ahlers verfasste anlässlich des Friedensfestes in Harburg zum Hubertusburger Frieden ein Singgedicht, welches der Kantor Johann Burchard Endert musikalisch vervollständigte. Ahlers schmückt den Text wiederholt mit Naturbildern aus, wobei er besonders auf Licht- und Wettermetaphern zurückgreift. Aber auch das Bild einer sich erholenden Welt und der wiederkehrenden Fruchtbarkeit der Natur wird gezeichnet. So kehrt durch den Frieden und seine Folgen für die Natur wieder Wohlstand ein, denn „die Hofnung eingepflügter Saaten zertritt kein Kriegesherr, und Felder rauchen nicht von Blut.“ Der Geräuschkulisse des Krieges setzt er „des Friedens sanfte Stille“ entgegen, um ein erfahrbares Bild von Frieden zu vermitteln.Die Festung Harburg gehörte zum Kurfürstentum Braunschweig-Lüneburg, das Georg III. (1738–1820) in Personalunion mit Großbritannien regierte. Die Festung wurde während des Krieges 1757 durch französische Truppen eingenommen. Doch bereits nach wenigen Wochen eroberten die Truppen Georgs die Festung zurück. Die Bewohner Harburgs hatten als, anders als im nahegelegenen Hamburg, die Folgen des Kriegs am eigenen Leib erfahren.&amp;nbsp;FB</t>
  </si>
  <si>
    <t xml:space="preserve">Singgedichte bey dem am Tage der Offenbarung Christi im Jahr 1763, Dd 957 (17)</t>
  </si>
  <si>
    <t xml:space="preserve">https://friedensbilder-neu.gnm.de/sites/default/files/2019-06/Dd-957-(17)_0.png</t>
  </si>
  <si>
    <t xml:space="preserve">Singgedichte bey dem am Tage der Offenbarung Christi im Jahr 1763</t>
  </si>
  <si>
    <t xml:space="preserve">http://friedensbilder.gnm.de/content/frieden_foto_order1c449d</t>
  </si>
  <si>
    <t xml:space="preserve">Die in dem dreißigiährigen Krieg sehr hart bedrängte Stadt Halle im Saalkräise :</t>
  </si>
  <si>
    <t xml:space="preserve">Pon Yb 2741, QK</t>
  </si>
  <si>
    <t xml:space="preserve">http://dfg-viewer.de/show/?tx_dlf%5Bpage%5D=22&amp;tx_dlf%5Bid%5D=http%3A%2F%2Fdigitale.bibliothek.uni-halle.de%2Foai%2F%3Fverb%3DGetRecord%26metadataPrefix%3Dmets%26identifier%3D7262421&amp;tx_dlf%5Bdouble%5D=0&amp;cHash=44977128d5c9ebe34ad48e1f209aa373</t>
  </si>
  <si>
    <t xml:space="preserve">womit zugleich alle Patronen Gönnern und Freunde zu Anhörung einiger Reden weges des zwischen ... glücklich geschlossenen Friedens welche mit günstiger Erlaubniß ... an dem hocherfreulichen Friedensfest den 7. Jenner 1763 ... /</t>
  </si>
  <si>
    <t xml:space="preserve">ehorsamt und ergebenst einladet Joann Gottfried Mittag, Musikdirektor in Uelzen</t>
  </si>
  <si>
    <t xml:space="preserve">Die in dem dreißigiährigen Krieg sehr hart bedrängte Stadt Halle im Saalkräise :, Pon Yb 2741, QK</t>
  </si>
  <si>
    <t xml:space="preserve">Das Zwischen Furcht und Hoffnung wegen des Krieges annoch schwebende Teutzschland :</t>
  </si>
  <si>
    <t xml:space="preserve">Yq 7496</t>
  </si>
  <si>
    <t xml:space="preserve">1:651826T</t>
  </si>
  <si>
    <t xml:space="preserve">http://digital.staatsbibliothek-berlin.de/werkansicht?PPN=PPN852259077&amp;PHYSID=PHYS_0133&amp;DMDID=&amp;view=overview-info</t>
  </si>
  <si>
    <t xml:space="preserve">In einem öffentlichen Schauspiele vorgestellet</t>
  </si>
  <si>
    <t xml:space="preserve">"von einem Schulmann" (Lehrer) geschrieben, Verfasser sonst nur durch Initialien genannt
öffentlich vorgestellt, gespielt von Kindern
im Vorbericht Anspielungen auf Johann Rists Friedjauchzendes Teutschland, Trauerspiel von Mitternacht sowie Christine von Ernst Müller (1664)
geistliche Lieder eingeschoben
Inhalt:
	Vorbericht
	Prolog
	5 Akte mit unterschiedlich vielen Handlungen, vor jedem Akt ein Argumentator (Inhaltsangabe)
	Epilog
Verweise auf TE im Vorbericht
&amp;nbsp;
&amp;nbsp;
</t>
  </si>
  <si>
    <t xml:space="preserve">http://friedensbilder.gnm.de/sites/default/files/Das zwischen Furcht und Hoffnung.jpg</t>
  </si>
  <si>
    <t xml:space="preserve">Das hier vorliegende, aus fünf Akten bestehende Schauspiel wurde öffentlich vorgestellt und von Kindern aufgeführt. Konkrete Hinweise auf den Autor fehlen im Text, im Vorbericht bezeichnet er sich lediglich als „Schulmann“ (Lehrer). Erschienen 1675, bezieht sich das Schauspiel nicht auf einen zeitgenössischen Friedensschluss, sondern reflektiert die Situation für die Einwohner des Reiches. Die Gefahr eines erneuten Krieges im Land schien aufgrund der politischen Situationen in den Nachbarländern Schweden und der Niederlande erhöht. Erst 1674 war der Schwedisch-Brandenburgische Krieg (1674–1679) ausgebrochen, zeitgleich tobte der Holländische Krieg (1672–1678). Das Schauspiel transportiert daher den Wunsch nach einem anhaltenden Frieden und artikuliert die Angst vor dem Krieg. Als Antikriegsdichtung verdeutlicht der Text die Fragilität des Friedens in der Frühen Neuzeit. Das Personenensemble umfasst über 20 Charaktere, darunter Vertreter der Stände sowie die Gottheiten Mars und Irene. Um die Instabilität des Friedens an der Realität festzumachen, verweist der Verfasser immer wieder auf zeitgenössische Ereignisse, wie den Dreißigjährigen Krieg (1618–1648), den Vertrag von Oliva (1660) oder den Devolutionskrieg (1667–1668) zwischen Frankreich und Spanien. Dagegen werden die Vorstellungen und Assoziationen einer langanhaltenden Friedenszeit vor allem durch Naturmotive beschrieben. So ist das Schauspiel geprägt durch immer wiederkehrende Wetter-, Licht- und Geräuschmetaphorik.&amp;nbsp;
FB
</t>
  </si>
  <si>
    <t xml:space="preserve">Das Zwischen Furcht und Hoffnung wegen des Krieges annoch schwebende Teutzschland :, Yq 7496</t>
  </si>
  <si>
    <t xml:space="preserve">https://friedensbilder-neu.gnm.de/sites/default/files/2019-06/Yq-7496_0.png</t>
  </si>
  <si>
    <t xml:space="preserve">http://friedensbilder.gnm.de/content/frieden_foto_order1c432e</t>
  </si>
  <si>
    <t xml:space="preserve">Friedens-Predigt </t>
  </si>
  <si>
    <t xml:space="preserve">Günther
Weidmann</t>
  </si>
  <si>
    <t xml:space="preserve">Theol.ev.asc.241.d</t>
  </si>
  <si>
    <t xml:space="preserve">Nachdruck Gleditzsch 1713</t>
  </si>
  <si>
    <t xml:space="preserve">http://digital.slub-dresden.de/werkansicht/dlf/124426/522/0/</t>
  </si>
  <si>
    <t xml:space="preserve">502-548</t>
  </si>
  <si>
    <t xml:space="preserve">an dem Von Churfürstl. Durchl. zu Sachsen, wegen des in Römischen Reich und benachbarten Königreichen getroffenen Allgemeinen Friedens am 20. Sonntage nach Trinit. den 2. Novembr. 1679. durch Dero Lande angestellten Danck- und Freunden-Fest</t>
  </si>
  <si>
    <t xml:space="preserve">In der Churfürstl. Schloßkirche zu Dreßden aus dem gewöhnlichen Evangelio gehalten</t>
  </si>
  <si>
    <t xml:space="preserve">http://friedensbilder.gnm.de/sites/default/files/00000522.tif.jpg</t>
  </si>
  <si>
    <t xml:space="preserve">Die dankbare Verkuendigung des goettlichen Lobes, wegen gnaediger Beschenkung mit einem ... Frieden </t>
  </si>
  <si>
    <t xml:space="preserve">Film R 2001.281,BUWrB-0468#ab Bildnr. 482</t>
  </si>
  <si>
    <t xml:space="preserve">Decovius, Johann Caspar</t>
  </si>
  <si>
    <t xml:space="preserve">Petzold</t>
  </si>
  <si>
    <t xml:space="preserve">BUWr 346289</t>
  </si>
  <si>
    <t xml:space="preserve">suchte nach Anleitung des... Textes Psalm 40,4-6 an dem... Friedens-Feste den 20. Merz 1763, der Ihm anvertrauten Gemeinde ans Herz zu legen</t>
  </si>
  <si>
    <t xml:space="preserve">Microfilm</t>
  </si>
  <si>
    <t xml:space="preserve">Frons festa oleae pacis </t>
  </si>
  <si>
    <t xml:space="preserve">Theol.qt.7557</t>
  </si>
  <si>
    <t xml:space="preserve">Westerfeld, Johann Marcellus</t>
  </si>
  <si>
    <t xml:space="preserve">Chorhammer</t>
  </si>
  <si>
    <t xml:space="preserve">Nördlingen</t>
  </si>
  <si>
    <t xml:space="preserve">das ist christlicher Frieden-Sermon ... </t>
  </si>
  <si>
    <t xml:space="preserve">bey Begehung deß an demselben angestellten Danck- und Frewden-Fests über den ... allgemeinen Reichs-Frieden in ... Nördlingen gehalten</t>
  </si>
  <si>
    <t xml:space="preserve">Zions Danck- und Freuden-Fest Nach erlangtem Schutz, Seegen und Frieden</t>
  </si>
  <si>
    <t xml:space="preserve">Fl-3496</t>
  </si>
  <si>
    <t xml:space="preserve">Oesemann, Christoph Achatz</t>
  </si>
  <si>
    <t xml:space="preserve">Grunow</t>
  </si>
  <si>
    <t xml:space="preserve">Königsberg in der Neumark</t>
  </si>
  <si>
    <t xml:space="preserve">http://purl.uni-rostock.de/rosdok/ppn863450814</t>
  </si>
  <si>
    <t xml:space="preserve">Ueber die Worte, Des 147. Psalms, v. 12. 13. 14.</t>
  </si>
  <si>
    <t xml:space="preserve">In einer besondern Predigt Am 2. Sonntage nach Epiph. Als am Danck-Feste, Wegen des glücklich geschlossenen Friedens vorgestellt</t>
  </si>
  <si>
    <t xml:space="preserve">28-MAG</t>
  </si>
  <si>
    <t xml:space="preserve">Heilige Pflichten eines Volks das die abermahlige Errettung von seinen Feinden als Gottes Werk erkennt und verehret</t>
  </si>
  <si>
    <t xml:space="preserve">Gn Kapsel 60 (6)</t>
  </si>
  <si>
    <t xml:space="preserve">Marquard, Gebhard Heinrich</t>
  </si>
  <si>
    <t xml:space="preserve">Pockwitz
Barmeier</t>
  </si>
  <si>
    <t xml:space="preserve">http://nbn-resolving.de/urn:nbn:de:gbv:23-drucke/gn-kapsel-60-6s4</t>
  </si>
  <si>
    <t xml:space="preserve">[4] Bl., 32 S.</t>
  </si>
  <si>
    <t xml:space="preserve">in einer Dank- und Siegespredigt aus Jes. VIII. 9. 10. am XII. Sonntag nach Trinitatis 1759 als dem wegen des am 1ten August 1759 von der alliirten Armee, über die feindliche Französische Macht bei Minden erfochtenen Sieges, und darauf erfolgten Befreiung der Churhannoverschen Lande aus feindlicher Gewalt verordneten öffentlichen Dankfeste</t>
  </si>
  <si>
    <t xml:space="preserve">in der Münsterkirche zu Einbeck gehalten und auf Verlangen zum Druck hergegeben</t>
  </si>
  <si>
    <t xml:space="preserve">http://friedensbilder.gnm.de/sites/default/files/Marquard.jpg</t>
  </si>
  <si>
    <t xml:space="preserve">Th Kapsel 4 (18)</t>
  </si>
  <si>
    <t xml:space="preserve">Groscurd, Christoph Wilhelm</t>
  </si>
  <si>
    <t xml:space="preserve">Schulzische Buchdruckerey</t>
  </si>
  <si>
    <t xml:space="preserve">1281251X</t>
  </si>
  <si>
    <t xml:space="preserve">http://nbn-resolving.de/urn:nbn:de:gbv:23-drucke/th-kapsel-4-18s4</t>
  </si>
  <si>
    <t xml:space="preserve">19 [i.e. 16] S.</t>
  </si>
  <si>
    <t xml:space="preserve">welche am Zwölften Sontage nach Trinitatis als an dem Hochverordneten Dank-Feste wegen des am ersten August ohnweit Minden über die feindliche Armee zur Befreiung des Vaterlandes erfochtenen glorreichen Sieges über den hochverordneten Text Esa. VIII, 8, 9. in der Gemeine zu Hullerßen Einbeckischer Jnspektion, gehalten worden</t>
  </si>
  <si>
    <t xml:space="preserve">http://friedensbilder.gnm.de/sites/default/files/Groscurd.jpg</t>
  </si>
  <si>
    <t xml:space="preserve">Christliche Danck- und Trost-Predigt/ Nach glücklicher Eroberung der Statt Augspurg/ Bey Volckreicher Versamblung/ von Hohen und Nidrigen STandes Personen/ Inn der PfarrKirchen daselbst/ zu Sanct Anna genandt/ Am 14. Tage Aprilis, Anno 1632.</t>
  </si>
  <si>
    <t xml:space="preserve">AB 154791 (5)</t>
  </si>
  <si>
    <t xml:space="preserve">Fabricius, Jacob
Schultes, Johann</t>
  </si>
  <si>
    <t xml:space="preserve">Sebastian Müller Erben</t>
  </si>
  <si>
    <t xml:space="preserve">3:600995R</t>
  </si>
  <si>
    <t xml:space="preserve">[1] Bl. 38 S.</t>
  </si>
  <si>
    <t xml:space="preserve">gehalten Durch Iacobum Fabricium, SS. Theol. D. Königl. Majest. zu Schweden p.t. HofPredigern/ und deß Consistorii Castrensis Praesidem.</t>
  </si>
  <si>
    <t xml:space="preserve">Getruckt/ zu Augspurg/ bey Johann Schultes/ In Verlegung Sebastian Müllers seel: Erben.</t>
  </si>
  <si>
    <t xml:space="preserve">Chronologische Liste der gewählten Stadtoberhäupter mit Angabe der Amtsperioden. Das Stpf.-Amt entstand wohl 1287 im Zusammenhang mit der Neuordnung der A.er Vogteiverhältnisse. Heinrich Schongauer, der Stpf. von 1294, erscheint jedoch schon 1267-1273 als Bgm. (wohl noch kein Wahlamt, da als ’officialis’ Konradins bezeichnet und nach Übernahme der Vogtei durch Rudolf von Habsburg wieder verschwunden). Von 1299 bis in die 2. Hälfte des 15. Jh.s ist die synonyme Verwendung der Amtsbezeichnungen Stpf. und Bgm. bezeugt; in der letzten Phase der Zunftverfassung dominierte ’Bgm.’. Nach 1548 wurde das Stadtoberhaupt wieder ausschließlich als Stpf. bezeichnet. Die Liste basiert bis 1548 auf der Auswertung von Originalquellen, danach auf einer hs. Zusammenstellung im Bestand des StA A. Ab 1368 ist die Identifikation der Amtsinhaber eindeutig. Auch davor besteht nur in problematischen Einzelfällen (gleichnamige Personen ohne besondere Kennzeichnung) die Möglichkeit einer Verwechslung. Zunftzugehörigkeit ist von 1368 -1402 nicht belegbar, konnte jedoch anhand von Indizien zuverlässig erschlossen werden. Die Amtsperioden liefen anfänglich von Jahresmitte zu Jahresmitte, ab 1341 begann sie im Jan. (mit Ratswahltermin). Zur Vereinfachung der Darstellung wurde auch vor 1341 die Amtsperiode nur durch eine Jahreszahl (Beginn der Amtsperiode) gekennzeichnet (z.B. 1310 = 1310/11).Vier Stadtpfleger im Jahr 1632 im Amt:Hieronymus ImhofHE † 1635 1614-1632Bernhard RehlingerHE † 1645 1624-1632, 1635-1645Jeremias Jakob StenglinHE † 1645 1632-1635Ludwig RehmHE † 1633 1632-1633Abkürzungen*: Zunftzugehörigkeit erschlossenCR: KramerzunftE: ErsatzHE: Herren (’von Herren’)&amp;nbsp; &amp;nbsp;KA: KaufleutezunftKÜ: Kürschnerzunft&amp;nbsp; &amp;nbsp;ME: MetzgerzunftR: Restitution (Zunftverfassung)SA: SalzfertigerzunftWE: Weberzunft&amp;nbsp;ZI: ZimmerleutezunftGroßer Rat und kleiner Rat- Mitte des 17. Jahrhunderts auch als innerer und äußerer Rat bezeichnet.&amp;nbsp;(damit Rath und Verwandte gemeint?)Bürgermeister&amp;nbsp;1548-1806: Nach Einführung der Karolinischen Regimentsordnung wurden die Stadtoberhäupter wieder ausschließlich als Stadtpfleger bezeichnet. Es gab zwar weiterhin Bürgermeister, Status und Funktion hatten sich jedoch grundsätzlich verändert: Sie erscheinen nun als nachgeordnetes Exekutivorgan und waren für Polizeiangelegenheiten (i. w. S.) zuständig. Das Amt wurde mit sechs Personen besetzt, die ursprünglich alle dem Patriziat angehörten. Seit 1555 stellten die Patrizier drei, Mehrer, Kaufleute und Gemeinde je einen Bürgermeister; jeweils zwei Bürgermeister führten für vier Monate die Amtsgeschäfte.Info aus:&amp;nbsp;http://www.stadtlexikon-augsburg.deDie vier evangelischen Gemeinden: St. Anna, St. Ulrich, Barfüsser, St. JakobALS</t>
  </si>
  <si>
    <t xml:space="preserve">http://friedensbilder.gnm.de/sites/default/files/a8d8c0f9-3a72-4d7a-a77c-37d1ef00005e.png</t>
  </si>
  <si>
    <t xml:space="preserve">Christliche Danck- und Trost-Predigt/ Nach glücklicher Eroberung der Statt Augspurg/ Bey Volckreicher Versamblung/ von Hohen und Nidrigen STandes Personen/ Inn der PfarrKirchen daselbst/ zu Sanct Anna genandt/ Am 14. Tage Aprilis, Anno 1632., AB 154791 (5)</t>
  </si>
  <si>
    <t xml:space="preserve">http://friedensbilder.gnm.de/content/frieden_foto_order1bf914</t>
  </si>
  <si>
    <t xml:space="preserve">Daß die Dauer des Religionsfriedens am ersten gehoffet werden könne, wo man sich, auch in Ansehung desselben, recht auf Gott verläßt</t>
  </si>
  <si>
    <t xml:space="preserve">Löber, Gotthilf Friedemann</t>
  </si>
  <si>
    <t xml:space="preserve">S. 49-144</t>
  </si>
  <si>
    <t xml:space="preserve">wurde an dem auf Hochfürstl. gnädigsten Befehl zum Gedächtnis des Religionsfriedens gefeyerten Jubelfeste am 25. Sept. 1755 in einer Predigt über Jes. XLV. v. 6.7. in der Kirche zu St. Bartholomäi zu Altenburg vorgestellt</t>
  </si>
  <si>
    <t xml:space="preserve">http://friedensbilder.gnm.de/sites/default/files/00000065.tif.jpg</t>
  </si>
  <si>
    <t xml:space="preserve">Jubilum Davidico-Christianum</t>
  </si>
  <si>
    <t xml:space="preserve">Seidel
Scheidhauer</t>
  </si>
  <si>
    <t xml:space="preserve">http://digitale.bibliothek.uni-halle.de/vd18/content/pageview/6350461</t>
  </si>
  <si>
    <t xml:space="preserve">S. 133-160</t>
  </si>
  <si>
    <t xml:space="preserve">oder ... Jubel-Predigt aus des hocherleuchteten Propheten und Königs Davids CXXII. Psalm,</t>
  </si>
  <si>
    <t xml:space="preserve">An dem von des postulierten Administratoris, des Primats und Erzstifts Magdeburg Herzogs Augusti zu Sachsen ... Den 25. Sept. dieses 1655. Jahres angestellten und hochfeyerlich gehaltenen Religion-Friedens-Jubelfest in der Hauptkirchen zur L. Frauen in Halle fürgezeiget und auf Begehren in Druck gegeben.</t>
  </si>
  <si>
    <t xml:space="preserve">http://friedensbilder.gnm.de/sites/default/files/6350461.jpg</t>
  </si>
  <si>
    <t xml:space="preserve">Allegorie auf den Frieden von Münster</t>
  </si>
  <si>
    <t xml:space="preserve">TMNK 00526</t>
  </si>
  <si>
    <t xml:space="preserve">Lutma, Janus</t>
  </si>
  <si>
    <t xml:space="preserve">Van Loon
Biemond 2012</t>
  </si>
  <si>
    <t xml:space="preserve">Bd. II, S. 310–311
S. 16–22</t>
  </si>
  <si>
    <t xml:space="preserve">7,29
71,23</t>
  </si>
  <si>
    <t xml:space="preserve">PAX VNA TRIVMPHIS INNVMERIS POTIOR.
OB CIVES SERVATOS.
EXTINCTO TERRA MARIQVE PVBL. BEL. INCENDIO PER LXXX ANNOS CONTINVA CVM DRIB. PHILIP. HISP. REG. TANDEMQ. ODIIS VTRIMQ. SVBLAT. ET ASSERT A PATRIAE LIBERTATE PACIS NOM. ET OMINE AETERN. LAETI LVBENTESQVE S.P.Q. AMSTELDAM. CIC IC CXLVIII. S.C. </t>
  </si>
  <si>
    <t xml:space="preserve">Die Medaille aus Haarlem anlässlich des Friedens von Münster zeigt im Avers Herkules mit Löwenfell und Keule sowie die behelmte Athene mit Gorgonenschild, Lanze und Pfeilbündel. Sie sind von sechs Putten umgeben, von denen vier das Umschriftenband präsentieren. Zwei weitere zeigen in der Mitte des Münzbildes ein weiteres Spruchband: OB CIVES SERVATOS.[fn]Für die Bürger bewahrt[/fn] Darunter verweist Herkules mit seiner Linken auf drei überlebensgroße Lorbeer- und Eichenkränze, die wie Kettenglieder ineinandergreifen. Ganz zuunterst findet sich ein Haufen überkommener Schutz- und Handfeuerwaffen, während ganz oben die Sonne mit dem hebräischen Namen Gottes die gesamte Szene bestrahlt.Der Revers zeigt außer der Inschrift kaum Beiwerk, lediglich vier Putti raffen das münzausfüllende Tuch derart, dass es den Inhalt in Form einer Kartusche präsentiert, die unten mit Früchten und Blumen sowie oben mit dem Amsterdamer Stadtwappen versehen ist.Auch wenn sich die Münze auf das Friedensereignis von 1648 bezieht, scheint es doch möglich, dass sie erst 1650 gegossen wurde.[fn]Vgl. Biemond 2012, S. 18-21[/fn] Dies legt auch die Datierung des Teylersmuseums in Haarlem nahe.MATW</t>
  </si>
  <si>
    <t xml:space="preserve">http://friedensbilder.gnm.de/sites/default/files/TMNK 00526_vs.jpg
http://friedensbilder.gnm.de/sites/default/files/TMNK 00526_rs.jpg</t>
  </si>
  <si>
    <t xml:space="preserve">Allegorie auf den Frieden von Münster, Vorderseite, TMNK 00526
Allegorie auf den Frieden von Münster, Rückseite, TMNK 00526</t>
  </si>
  <si>
    <t xml:space="preserve">Allegorie auf den Frieden von Münster, Vorderseite
Allegorie auf den Frieden von Münster, Rückseite</t>
  </si>
  <si>
    <t xml:space="preserve">http://friedensbilder.gnm.de/content/frieden_foto_order155c45</t>
  </si>
  <si>
    <t xml:space="preserve">1V 1552 Rec</t>
  </si>
  <si>
    <t xml:space="preserve">Heubach</t>
  </si>
  <si>
    <t xml:space="preserve">Hanau
Lausanne</t>
  </si>
  <si>
    <t xml:space="preserve">https://books.google.de/books?id=xycWAAAAQAAJ&amp;printsec=frontcover&amp;hl=de&amp;source=gbs_ge_summary_r&amp;cad=0#v=onepage&amp;q&amp;f=false</t>
  </si>
  <si>
    <t xml:space="preserve">en presence de messieurs les officier francoise du Régiment du Roi.</t>
  </si>
  <si>
    <t xml:space="preserve">http://friedensbilder.gnm.de/sites/default/files/Armand.jpg</t>
  </si>
  <si>
    <t xml:space="preserve">Friedenspredigt zur Erinnerung des 1648. zu Osnabrück geschlossenen Friedens,</t>
  </si>
  <si>
    <t xml:space="preserve">Theol.ev.asc.490 (1)</t>
  </si>
  <si>
    <t xml:space="preserve">http://digital.slub-dresden.de/werkansicht/dlf/109522/87/0/</t>
  </si>
  <si>
    <t xml:space="preserve">S. 69–100</t>
  </si>
  <si>
    <t xml:space="preserve">am XX. Sonntage nach Trinitatis 1748. in der Schloßkirche gehalten.</t>
  </si>
  <si>
    <t xml:space="preserve">Am Ende der Predigt wird eine Friedensmünze erwähnt, die&amp;nbsp;Ernst I. (Sachsen-Gotha-Altenburg) 1650 anlässlich des Friedensfestes prägen ließ.Eine Beschreibung auf S. 97, Nr. 379:Zu den Friedensfesten (in Gotha), den Gedächtnismünzen und der "Saxonia Numismatica", die weitere Informationen dazu enthält, siehe&amp;nbsp;Dethlefs 2005, S. 16, Anm. 29. Der erste Teil der Umschrift "Cedant arma togae, toto toga floreat orbe" stammt aus Cic. off. I,77.</t>
  </si>
  <si>
    <t xml:space="preserve">http://friedensbilder.gnm.de/sites/default/files/00000087.tif.jpg</t>
  </si>
  <si>
    <t xml:space="preserve">Friedenspredigt zur Erinnerung des 1648. zu Osnabrück geschlossenen Friedens,, Theol.ev.asc.490 (1)</t>
  </si>
  <si>
    <t xml:space="preserve">Memmingisches Friedens-Gedächtniß</t>
  </si>
  <si>
    <t xml:space="preserve"> Res/4 P.o.germ. 225,41</t>
  </si>
  <si>
    <t xml:space="preserve">http://reader.digitale-sammlungen.de/de/fs1/object/display/bsb10907051_00019.html</t>
  </si>
  <si>
    <t xml:space="preserve">&amp;nbsp;Identisch mit Rede von Bonacker in Festbeschreibung</t>
  </si>
  <si>
    <t xml:space="preserve">Dankopfer des Friedens eine Ode</t>
  </si>
  <si>
    <t xml:space="preserve">H: 506 Helmst. Dr. (1)</t>
  </si>
  <si>
    <t xml:space="preserve">Übersetzer
Drucker</t>
  </si>
  <si>
    <t xml:space="preserve">Anton, Karl
Drimborn, Johann</t>
  </si>
  <si>
    <t xml:space="preserve">http://diglib.hab.de/drucke/506-helmst-dr-1s/start.htm</t>
  </si>
  <si>
    <t xml:space="preserve">gefaltet
</t>
  </si>
  <si>
    <t xml:space="preserve">http://friedensbilder.gnm.de/sites/default/files/H 506 Helmst Dr 1_Dummy.jpg
http://friedensbilder.gnm.de/sites/default/files/00001.tif</t>
  </si>
  <si>
    <t xml:space="preserve">Karl Anton (1722–?) war Orientalist und Professor der Philosophie an der Universität Helmstedt. Bei der Ode handelt es sich nach seinen Angaben um eine Übersetzung aus dem Hebräischen. Über den Originaltext liegen keine Informationen vor. Der Druck enthält nur die deutsche Übersetzung, „weil sehr wenigen Lesern damit [dem hebräischen Originaltext] gedient ist“. Veröffentlicht 1756, bezieht sich der Text auf den Beginn des Siebenjährigen Krieges. Dabei wird besonders Friedrich II. herausgestellt. Panegyrisch wird er als Beschützer der „Friedenskrone“ bezeichnet, der die „Friedensfahne“ für viele Länder führt. Die Ode dient der huldigenden Darstellung Friedrichs und soll dadurch zur rühmlichen Erinnerung an den Preußenkönig beitragen. „Monarch der Preußen! den die Ewigkeit Held nennen wird, Dich preisen die Himmel.“ Die vermeintliche Verteidigung des Friedens durch Krieg kann Friedrich II. jedoch nicht ohne göttliche Hilfe leisten. Sein Schwert sei „von Gott geweiht“. Zahlreiche solcher Formulierungen beschreiben das Verhältnis zwischen irdischer Herrschaft und Gott in seiner Rolle als Lenker des Weltgeschehens.FB</t>
  </si>
  <si>
    <t xml:space="preserve">Dankopfer des Friedens eine Ode, H: 506 Helmst. Dr. (1)</t>
  </si>
  <si>
    <t xml:space="preserve">https://friedensbilder-neu.gnm.de/sites/default/files/2019-06/H_506_Helmst_Dr_1_0.png</t>
  </si>
  <si>
    <t xml:space="preserve">http://friedensbilder.gnm.de/content/frieden_foto_order1d7853</t>
  </si>
  <si>
    <t xml:space="preserve">Der vom Krieg gedrückte und mit Fried erquickte Teutsche gezeiget/ in einem kurzen Spiel-gedicht.</t>
  </si>
  <si>
    <t xml:space="preserve">Nor. 8. 1061</t>
  </si>
  <si>
    <t xml:space="preserve">Spieß, Christoph Paul
Knorz, Andreas</t>
  </si>
  <si>
    <t xml:space="preserve">75:707018V</t>
  </si>
  <si>
    <t xml:space="preserve">Und auf die Schaubühne gebracht/von M. C. P. Spies/G. S. in dem Heil- und Frieden-Jahr/1679 / Christoph Paul Spieß </t>
  </si>
  <si>
    <t xml:space="preserve">spielende Personen namentlich genannt</t>
  </si>
  <si>
    <t xml:space="preserve">Der vom Krieg gedrückte und mit Fried erquickte Teutsche gezeiget/ in einem kurzen Spiel-gedicht., Nor. 8. 1061</t>
  </si>
  <si>
    <t xml:space="preserve">Staatliche Kunstsammlungen Dresden, Münzkabinett</t>
  </si>
  <si>
    <t xml:space="preserve">BGB1220</t>
  </si>
  <si>
    <t xml:space="preserve">Ausst. Kat. Opava 2012
Pax in Nummis 1913
Kenis 1991</t>
  </si>
  <si>
    <t xml:space="preserve">S. 376, Kat.-Nr. B59.11 (Ilona Matejko)
S. 157, Nr. 629
S. 172, Nr. 7</t>
  </si>
  <si>
    <t xml:space="preserve">45,5
21,83 </t>
  </si>
  <si>
    <t xml:space="preserve">OE.</t>
  </si>
  <si>
    <t xml:space="preserve">SERO MEMORANDA NEPOTI.
PAX TESCHENENSIS D.XIII MAII MDCCLXXIX
GAVDENT VERE AGRI SED CRESCVNT GAVDIA PACE</t>
  </si>
  <si>
    <t xml:space="preserve">Unmittelbar unter der Umschrift SERO MEMORANDA NEPOTI fliegt die zierliche Figur der Fama, die den Frieden von Teschen mit zwei Posaunen verkündet. Sie schwebt direkt über der Stadt, die von der Olsa durchströmt wird. Die schlesische Vedute nimmt, ähnlich wie sie bereits bei Merian gezeigt wird, das Stadtzentrum sowie die Burg in den Blick und lenkt den Fokus auf das symbolische Motiv des Brückenschlags zur anderen Uferseite.
Auf dem Revers der Dresdner Medaille bietet sich uns das Zusammenspiel von Pax und Flora. Die Blütengöttin zupft mit ihrer linken Hand an einem großen vegetabilen Kranz, den sie sich in der Art einer Schärpe umgelegt hat. Mit ihrer Rechten streut sie Blüten auf den Boden während sie durch eine aufblühende Flusslandschaft mit Feldern und Bäumen lustwandelt. Ihr Blick fährt empor zur geflügelten Personifikation des Friedens, die ihr mit Füllhorn und Ölzweig entgegenschwebt.
MATW
</t>
  </si>
  <si>
    <t xml:space="preserve">http://friedensbilder.gnm.de/sites/default/files/BGB1220_1.jpg
http://friedensbilder.gnm.de/sites/default/files/BGB1220_2.jpg</t>
  </si>
  <si>
    <t xml:space="preserve">Unmittelbar unter der Umschrift SERO MEMORANDA NEPOTI fliegt die zierliche Figur der&amp;nbsp;Fama, die den&amp;nbsp;Frieden von Teschen&amp;nbsp;mit zwei Posaunen verkündet. Sie schwebt direkt über der Stadt, die von der Olsa durchströmt wird. Die schlesische Vedute nimmt, ähnlich wie sie bereits bei&amp;nbsp;Merian&amp;nbsp;gezeigt wird, das Stadtzentrum sowie die Burg in den Blick und lenkt den Fokus auf das symbolische Motiv des Brückenschlags zur anderen Uferseite.Auf dem Revers der Dresdner Medaille bietet sich uns das Zusammenspiel von&amp;nbsp;Pax&amp;nbsp;und&amp;nbsp;Flora. Die Blütengöttin zupft mit ihrer linken Hand an einem großen vegetabilen Kranz, den sie sich in der Art einer Schärpe umgelegt hat. Mit ihrer Rechten streut sie Blüten auf den Boden während sie durch eine aufblühende Flusslandschaft mit Feldern und Bäumen lustwandelt. Ihr Blick fährt empor zur geflügelten Personifikation des Friedens, die ihr mit Füllhorn und Ölzweig entgegenschwebt.MATW</t>
  </si>
  <si>
    <t xml:space="preserve">Medaille auf den Frieden von Teschen 1779, Vorderseite, BGB1220
Medaille auf den Frieden von Teschen 1779, Rückseite, BGB1220</t>
  </si>
  <si>
    <t xml:space="preserve">https://friedensbilder-neu.gnm.de/sites/default/files/2019-06/BGB1220-01.png
https://friedensbilder-neu.gnm.de/sites/default/files/2019-06/BGB1220-02.png
https://friedensbilder-neu.gnm.de/sites/default/files/2019-06/BGB1220-02-Doppel.png</t>
  </si>
  <si>
    <t xml:space="preserve">http://friedensbilder.gnm.de/content/frieden_foto_order1599ef</t>
  </si>
  <si>
    <t xml:space="preserve">Erinnerungsblatt auf die Friedenspräliminarien zu Leoben am 18. April 1797</t>
  </si>
  <si>
    <t xml:space="preserve">HB 23923, Kapsel 1220</t>
  </si>
  <si>
    <t xml:space="preserve">um 1797</t>
  </si>
  <si>
    <t xml:space="preserve">Fietta, Domenicus</t>
  </si>
  <si>
    <t xml:space="preserve">Fietta und Company</t>
  </si>
  <si>
    <t xml:space="preserve">Danelzik-Brüggemann 1996</t>
  </si>
  <si>
    <t xml:space="preserve">S. 191-192</t>
  </si>
  <si>
    <t xml:space="preserve">20,7 x 27
18,4 x 26,3</t>
  </si>
  <si>
    <t xml:space="preserve">Chez Fietta et Comp. á Kriegshaber pres 'd'Augsbourg.</t>
  </si>
  <si>
    <t xml:space="preserve">Der Stich zählt zu einer Gattung diplomatischer Repräsentationsdarstellungen, bei der Vertragsverhandlungen noch im Feldlager unter einem prunkvollen Zelt abgeschlossen werden. Im vorliegenden Beispiel betrifft dies den Friedensschluss zu Leoben vom 18. April 1797 zwischen Napoleon Bonaparte und Karl Ludwig Erzherzog von Österreich. Auf der streng symmetrischen Komposition reichen sich die beiden Vertragspartner unter einer summarisch gezeichneten Landkarte die Hände, während das Feldlager, das sich hinter dem Diplomatenzelt erstreckt, je einer Partei zugehörig erscheint. Dies bezeugen die Banner im Hintergrund, die über den Zelten ihrer Truppenverbände wehen: links französisch, rechts österreichisch. Doch unter den ehemals verfeindeten Soldaten herrscht bereits Friede, paarweise schreiten diese Hand in Hand oder Seite an Seite über den Platz. Zwei Engel erscheinen&amp;nbsp;am Zeltdach mit den Sonnenstrahlen, blasen Fanfaren und bringen je einen Lorbeerkranz dar.Das Blatt geht zurück auf eine Radierung&amp;nbsp;von Philip Joseph Fill,&amp;nbsp;auf der das Geschehen komplexer verhandelt und der Bildraum erweitert wird. Auffällig sind hier die beiden Uniformierten, die am rechten und linken Bildrand postiert sind. Erst bei genauerem Hinsehen fällt auf, dass Napoleon hier auf der rechten Seite steht und Karl Ludwig auf der linken. Die Landkarte unmittelbar über dem Handschlag und den Instrumenten der Vertragsunterzeichnung ist nun deutlich zu verorten: Sie zeigt im Zentrum die Stadt Mailand, die Österreich an Bonaparte hatte abtreten müssen.Auch der Hintergrund ist im ursprünglichen Blatt belebter. Während die Soldaten unter einem strahlenden Sonnengesicht zusammen tanzen, braten, feiern und trinken, verdeutlichen die Ruhmesgenien ihre Botschaft mit Posaunenbannern: "Es lebe Carl Ludwig" und "Vive Bonapart"MATW</t>
  </si>
  <si>
    <t xml:space="preserve">Prinz Carl und General Bonaparte als Fridensstifter, wie sie die Fridens Präliminarien unterzeichnet, Freundschaft zwischen beiden Kriegern, die Göttin des Fridens, wie sie den Friden ausposaunt, und in einer Hand den Friedenskranz hält, hinter dem Zelt geht die Sonne des Friedens auf.</t>
  </si>
  <si>
    <t xml:space="preserve">http://friedensbilder.gnm.de/sites/default/files/HB23923.tif</t>
  </si>
  <si>
    <t xml:space="preserve">Erinnerungsblatt auf die Friedenspräliminarien zu Leoben am 18. April 1797, HB 23923, Kapsel 1220</t>
  </si>
  <si>
    <t xml:space="preserve">http://friedensbilder.gnm.de/content/frieden_foto_order204ef9</t>
  </si>
  <si>
    <t xml:space="preserve">Allegorie auf den Baseler Frieden zwischen Preußen und Frankreich</t>
  </si>
  <si>
    <t xml:space="preserve">HB 19123, Kapsel 1314a</t>
  </si>
  <si>
    <t xml:space="preserve">Platte
Darstellung</t>
  </si>
  <si>
    <t xml:space="preserve">47,2 x 33
37,5 x 29,6</t>
  </si>
  <si>
    <t xml:space="preserve">Der Friedensschluss zwischen Frankreich und Preußen zu Basel wird hier auf allegorische Weise dargestellt. Keine Staatsmänner, keine Repräsentanten, sondern zwei Friedensfiguren besiegeln symbolisch per Handschlag den Separatfrieden.[fn]Zur Geschichte des Basler Friedens von 1795 siehe Plassmann 2001.[/fn]&amp;nbsp;Die Geste erfolgt unmittelbar vor einem brennenden Friedensaltar und einem massiven Obeliskenpostament, auf dessen Stele das Portrait&amp;nbsp;Papst Pius' VI.&amp;nbsp;prangt. Während sich im Hintergrund die Rheinpromenade Basels mit Blick auf das Münster ausbreitet, hantieren im rechten Bildvordergrund zwei kleine Putten mit wissenschaftlichem Gerät; am Bildrand ganz links befindet sich ein Flussgott mit Quellamphore und Ruder.
Das Blatt ist offensichtlich nicht zu Ende ausgeführt worden. Der untere Teil des Blattes weist eine freigebliebene Fläche auf, innerhalb welcher lediglich die Andeutungen eines Wappens oder einer Kartusche zu erkennen sind. Hier sollte Sicherlich die Beischrift Platz finden, die unterhalb des Druckplattenbereiches handschriftlich von einem anonymen Kenner ersetzt wurde (Siehe Transkription). Wen oder was genau die weiblichen Figuren darstellen sollen ist nicht eindeutig zu sagen, da der Schild zu Füßen der behelmten Dame ohne Inschrift geblieben ist. Es liegt nahe, diesen mit einem Adler zu ergänzen; die so verstandene Personifikation Preußens reicht dann Frankreich, gekennzeichnet durch Lanze mit Freiheitshut, die Hand.[fn]Ungewöhnlicher wäre die Interpretation als Athene und Pax.[/fn]
Die Genien im Vordergrund verweisen mit ihrem Gerät auf das Friedensthema&amp;nbsp;Pax fovet artes, unerheblich davon, welchen Titel das Buch bekommen hätte. Der Flussgott kann in zweifacher Hinsicht auf den Rhein verweisen, der einmal im Hintergrund verläuft und zum anderen die neue Grenze des geschlossenen Friedensvertrages bildete. Das päpstliche Porträt kann indes nicht konkret gedeutet werden, hatte&amp;nbsp;Pius VI.&amp;nbsp;doch kaum etwas mit dem Geschehen zu tun. In unmittelbarer Nähe zum Freiheitshut steht das Kirchenoberhaupt als Garant für den christlich angestrebten Frieden.
&amp;nbsp;MATW
</t>
  </si>
  <si>
    <t xml:space="preserve">Basler Frieden. Allegorie auf denselben. Frankreich u. Preußen reichen sich die Hand vor einem Altar.
Hintergrund Basel. Links der Flußgott Rhein. Probeblatt vor aller Schrift. h 47 br 33 cm
[...] 1795. [...] in breitem Rand.
MATW
</t>
  </si>
  <si>
    <t xml:space="preserve">http://friedensbilder.gnm.de/sites/default/files/HB19123.tif</t>
  </si>
  <si>
    <t xml:space="preserve">Der Friedensschluss zwischen Frankreich und Preußen zu Basel wird hier auf allegorische Weise dargestellt. Keine Staatsmänner, keine Repräsentanten, sondern zwei Friedensfiguren besiegeln symbolisch per Handschlag den Separatfrieden.&amp;nbsp;Die Geste erfolgt unmittelbar vor einem brennenden Friedensaltar und einem massiven Obeliskenpostament, auf dessen Stele das Portrait&amp;nbsp;Papst Pius' VI.&amp;nbsp;prangt. Während sich im Hintergrund die Rheinpromenade Basels mit Blick auf das Münster ausbreitet, hantieren im rechten Bildvordergrund zwei kleine Putten mit wissenschaftlichem Gerät; am Bildrand ganz links befindet sich ein Flussgott mit Quellamphore und Ruder.Das Blatt ist offensichtlich nicht zu Ende ausgeführt worden. Der untere Teil weist eine freigebliebene Fläche auf, innerhalb welcher lediglich die Andeutungen eines Wappens oder einer Kartusche zu erkennen sind. Hier sollte Sicherlich die Beischrift Platz finden, die unterhalb des Druckplattenbereiches handschriftlich von einem anonymen Kenner ersetzt wurde. Wen oder was genau die weiblichen Figuren darstellen sollen ist nicht eindeutig zu sagen, da der Schild zu Füßen der behelmten Dame ohne Inschrift geblieben ist. Es liegt nahe, diesen mit einem Adler zu ergänzen; die so verstandene Personifikation Preußens reicht dann Frankreich, gekennzeichnet durch Lanze mit Freiheitshut, die Hand.Die Genien im Vordergrund verweisen mit ihrem Gerät auf das Friedensthema&amp;nbsp;Pax fovet artes, unerheblich davon, welchen Titel das Buch bekommen hätte. Der Flussgott kann in zweifacher Hinsicht auf den Rhein verweisen, der einmal im Hintergrund verläuft und zum anderen die neue Grenze des geschlossenen Friedensvertrages bildete. Das päpstliche Porträt kann indes nicht konkret gedeutet werden, hatte&amp;nbsp;Pius VI.&amp;nbsp;doch kaum etwas mit dem Geschehen zu tun. In unmittelbarer Nähe zum Freiheitshut steht das Kirchenoberhaupt als Garant für den christlich angestrebten Frieden.MATW</t>
  </si>
  <si>
    <t xml:space="preserve">Allegorie auf den Baseler Frieden zwischen Preußen und Frankreich, HB 19123, Kapsel 1314a</t>
  </si>
  <si>
    <t xml:space="preserve">https://friedensbilder-neu.gnm.de/sites/default/files/2019-06/HB19123_0.png</t>
  </si>
  <si>
    <t xml:space="preserve">http://friedensbilder.gnm.de/content/frieden_foto_order1f912c</t>
  </si>
  <si>
    <t xml:space="preserve">Medaille mit Friedenswunsch, 1627</t>
  </si>
  <si>
    <t xml:space="preserve">Med 14475</t>
  </si>
  <si>
    <t xml:space="preserve">Maué 2008
Aukt. Kat. Münzen und Medaillen A.G. Nr. 81
Aukt. Kat. Fritz Rudolf Künker Münzhandlung Nr. 51</t>
  </si>
  <si>
    <t xml:space="preserve">S. 58, Kat-Nr. 12
S. 165, Kat.-Nr. 1518
S. 235, Kat.-Nr. 1852</t>
  </si>
  <si>
    <t xml:space="preserve">43
25,18 </t>
  </si>
  <si>
    <t xml:space="preserve">AVREA PAX VIGEAT:DET DEVS, ARMA CADANT.
1627
PACE VIGENT OMNIA</t>
  </si>
  <si>
    <t xml:space="preserve">Die vergöttlichte Siegespersonifikation&amp;nbsp;Victoria&amp;nbsp;bestimmt mit ihrer Präsenz das Münzbild der Vorderseite und nimmt mit ihren Attributen beinahe den gesamten Bildraum ein. In ihren Händen hält sie zum einen ein Schwert mit zerbrochener Klinge und zum anderen einen Stab, der von Öl- und Palmzweig umschlungen wird. Mit lorbeerbekränztem Haupt und dennoch wehendem Haar, flatternd gerafftem Gewand und sanftem Blick schaut sie auf den Haufen zerborstener Waffen- und Rüstungsteile herab, über den sie barfüßig hinwegschreitet. Die Umschrift AVERA PAX VIDEAT: DEVS, ARMA CADANT[fn]Der goldene Friede möge Bestand haben: Gott gebe, dass die Waffen verschwinden. Übersetzt nach Maué 2008, S. 58, Nr. 12.[/fn] findet sich ebenso auf&amp;nbsp;Med 2446&amp;nbsp;und&amp;nbsp;Med 7524.
Das Relief besitzt eine große Tiefenwirkung, die hervorstehenden Partien sind im Nürnberger Exemplar allerdings schon abgenutzt.
Der Revers wird von einer Palme dominiert, welche genau die Mittelachse bildet. In ihrer Krone beschnäbeln sich zwei Turteltauben, friedfertiges Zeichen der Versöhnung und Einheit. Hinter dem zentralen Motiv ist ein luftig gekleideter Bauer dabei den Acker am Ufer eines Flusses zu pflügen. Auf der anderen Flussseite erstreckt sich eine dörfliche Ortschaft mit Weinberg zur rechten und burgbekröntem Felsen auf der linken Seite. Den positiven Gesamteindruck verstärkt das Gesicht der ungestört strahlenden Sonne, die am rechten oberen Bildrand erscheint.
Das Motiv der Palme stammt in diesem Zusammenhang aus der Emblematik, möglicherweise aus dem Umkreis des&amp;nbsp;Jean Jacques Boissard, wenngleich bisher keine explizite Vorlage für die Turteltauben auf dem Palmbaum vorgeschlagen wurde. Entwurf und Gestaltung von Vorder- und Rückseite differieren sehr stark, weshalb Hermann Maué vermutet, dass die beiden Stempel nicht zusammen gehören.[fn]Vgl. Maué 2008, ebd.[/fn]
MATW
</t>
  </si>
  <si>
    <t xml:space="preserve">http://friedensbilder.gnm.de/sites/default/files/Med14475 Recto_0.tif
http://friedensbilder.gnm.de/sites/default/files/Med14475 Verso_0.tif</t>
  </si>
  <si>
    <t xml:space="preserve">Die vergöttlichte Siegespersonifikation&amp;nbsp;Victoria&amp;nbsp;bestimmt mit ihrer Präsenz das Münzbild der Vorderseite und nimmt mit ihren Attributen beinahe den gesamten Bildraum ein. In ihren Händen hält sie zum einen ein Schwert mit zerbrochener Klinge und zum anderen einen Stab, der von Öl- und Palmzweig umschlungen wird. Mit lorbeerbekränztem Haupt aber wehendem Haar, flatternd gerafftem Gewand und sanftem Blick schaut sie auf den Haufen zerborstener Waffen- und Rüstungsteile herab, über den sie barfüßig hinwegschreitet. Die Umschrift AVERA PAX VIDEAT: DEVS, ARMA CADANT findet sich auch auf anderen Medaillen dieser Zeit. Das Relief besitzt eine große Tiefenwirkung, die hervorstehenden Partien sind im Nürnberger Exemplar allerdings schon abgenutzt.Der Revers wird von einer Palme dominiert, welche genau die Mittelachse bildet. In ihrer Krone beschnäbeln sich zwei Turteltauben, friedfertiges Zeichen der Versöhnung und Einheit. Hinter dem zentralen Motiv ist ein luftig gekleideter Bauer dabei den Acker am Ufer eines Flusses zu pflügen. Am anderen Ufer erstreckt sich eine dörfliche Ortschaft mit Weinberg zur rechten und burgbekröntem Felsen auf der linken Seite. Den positiven Gesamteindruck verstärkt das Gesicht der ungestört strahlenden Sonne, die am rechten oberen Bildrand erscheint.Das Motiv der Palme stammt in diesem Zusammenhang aus der Emblematik, möglicherweise aus dem Umkreis des&amp;nbsp;Jean Jacques Boissard, wenngleich bisher keine explizite Vorlage für die Turteltauben auf dem Palmbaum vorgeschlagen wurde. Entwurf und Gestaltung von Vorder- und Rückseite differieren sehr stark, weshalb Hermann Maué vermutet, dass die beiden Stempel nicht zusammen gehören.MATW</t>
  </si>
  <si>
    <t xml:space="preserve">Medaille mit Friedenswunsch, 1627, Vorderseite, Med 14475
Medaille mit Friedenswunsch, 1627, Rückseite, Med 14475</t>
  </si>
  <si>
    <t xml:space="preserve">https://friedensbilder-neu.gnm.de/sites/default/files/2019-06/Med14475_01_0.png
https://friedensbilder-neu.gnm.de/sites/default/files/2019-06/Med14475_02_0.png
https://friedensbilder-neu.gnm.de/sites/default/files/2019-06/Med14475_01_doppel_0.png</t>
  </si>
  <si>
    <t xml:space="preserve">Medaille mit Friedenswunsch, 1627, Vorderseite
Medaille mit Friedenswunsch, 1627, Rückseite</t>
  </si>
  <si>
    <t xml:space="preserve">http://friedensbilder.gnm.de/content/frieden_foto_order1f92e1</t>
  </si>
  <si>
    <t xml:space="preserve">Hamburgische Medaille auf die Hundertjahrfeier des Westfälischen Friedens</t>
  </si>
  <si>
    <t xml:space="preserve">Med Merkel 5.5.22</t>
  </si>
  <si>
    <t xml:space="preserve">Ausst. Kat. Münster 1988a
Gaedechens 1843-1876</t>
  </si>
  <si>
    <t xml:space="preserve">S. 240, Kat-Nr. 245
Bd. III, S. 129, Nr. 1857</t>
  </si>
  <si>
    <t xml:space="preserve">44
17,33</t>
  </si>
  <si>
    <t xml:space="preserve">P.H.G.</t>
  </si>
  <si>
    <t xml:space="preserve">NVMERVS IVBILANS.
ARTIC V. P.O.
PLVS VLTRA
MDCXLVIII.
IN MEMORIAM FESTI SECVLARIS OB PACEM WESTPHALICAM HAMBVRGI.MDCCXLVIII D.XXVII.OCTOB. CELEBR:</t>
  </si>
  <si>
    <t xml:space="preserve">Die weibliche Personifikation der Fides, ausgestattet mit der Bibel und dem Kreuz, sitzt am Fuße einer Ölzweig umwundenen Säule, die vom strahlenden Auge Gottes bekrönt wird. Neben ihr ist ein Schild an das Stützelemt gelehnt, auf dem in drei Zeilen ARTIC(ulus) V. P(acis). O(snaburgensis). geschrieben steht. Von rechts kommt der geflügelte Chronos mit seiner Sense herangeschwebt und zeichnet mit einem Zirkel in seiner rechten Hand den Lateinischen Zahlbuchstaben C in die Säule. Das ist die Jubelzahl (NVMERVS IVBILANS), die in der Umschrift anlässlich der Hundertjahrfeier des Westfälischen Friedens genannt wird. Dass dieser Friede noch möglichst lange weiter existieren möge, betont der Zusatz im Abschnitt: PLVS VLTRA, noch weiter.
Über der hamburger Elb- und Stadtansicht von Süden schwebt der gekrönte und nimbierte Doppeladler mit Reichsapfel auf der Brust sowie Öl- und Palmzweig in den Fängen. Im Abschnitt unter den Elbschiffen und -booten verweisen sechs Zeilen auf das Jubiläum: Zum Gedenken an die Hundertjahfeier der Stadt Hamburg zum Westfälischen Frieden, gefeiert am 27. Oktober 1748.[fn]Übersetzung nach Ausst. Kat. Münster 1988a, S. 240, Nr. 245.[/fn]
MATW
</t>
  </si>
  <si>
    <t xml:space="preserve">http://friedensbilder.gnm.de/sites/default/files/MedMerkel5.5.22 Vs.tif
http://friedensbilder.gnm.de/sites/default/files/MedMerkel5.5.22 Rs.tif</t>
  </si>
  <si>
    <t xml:space="preserve">Die weibliche Personifikation der&amp;nbsp;Fides, ausgestattet mit der Bibel und dem Kreuz, sitzt am Fuße einer Ölzweig umwundenen Säule, die vom strahlenden Auge Gottes bekrönt wird. Neben ihr ist ein Schild an das Stützelemt gelehnt, auf dem in drei Zeilen ARTIC(ulus) V. P(acis). O(snaburgensis). geschrieben steht. Von rechts kommt der geflügelte Chronos mit seiner Sense herangeschwebt und zeichnet mit einem Zirkel in seiner rechten Hand den Lateinischen Zahlbuchstaben C in die Säule. Das ist die Jubelzahl (NVMERVS IVBILANS), die in der Umschrift anlässlich der Hundertjahrfeier des&amp;nbsp;Westfälischen Friedens&amp;nbsp;genannt wird. Dass dieser Friede noch möglichst lange weiter existieren möge, betont der Zusatz im Abschnitt: PLVS VLTRA, noch weiter.Über der hamburger Elb- und Stadtansicht von Süden schwebt der gekrönte und nimbierte Doppeladler mit Reichsapfel auf der Brust sowie Öl- und Palmzweig in den Fängen. Im Abschnitt unter den Elbschiffen und -booten verweisen sechs Zeilen auf das Jubiläum: Zum Gedenken an die Hundertjahfeier der Stadt Hamburg zum Westfälischen Frieden, gefeiert am 27. Oktober 1748.MATW</t>
  </si>
  <si>
    <t xml:space="preserve">Hamburgische Medaille auf die Hundertjahrfeier des Westfälischen Friedens, Rückseite, Med Merkel 5.5.22
Hamburgische Medaille auf die Hundertjahrfeier des Westfälischen Friedens, Vorderseite, Med Merkel 5.5.22</t>
  </si>
  <si>
    <t xml:space="preserve">https://friedensbilder-neu.gnm.de/sites/default/files/2019-06/MedMerkel5-5-01.png
https://friedensbilder-neu.gnm.de/sites/default/files/2019-06/MedMerkel5-5-2.png
https://friedensbilder-neu.gnm.de/sites/default/files/2019-06/MedMerkel5-5-doppel.png</t>
  </si>
  <si>
    <t xml:space="preserve">Hamburgische Medaille auf die Hundertjahrfeier des Westfälischen Friedens, Rückseite
Hamburgische Medaille auf die Hundertjahrfeier des Westfälischen Friedens, Vorderseite</t>
  </si>
  <si>
    <t xml:space="preserve">http://friedensbilder.gnm.de/content/frieden_foto_order1f9248</t>
  </si>
  <si>
    <t xml:space="preserve">Medaillenbeschreibung</t>
  </si>
  <si>
    <t xml:space="preserve">Beschreibung der Jubel-Gedächtnus-Medaille auf das zweyhunder-iährige Angedenken des den 25. Sept. Anno 1555. zu Augsburg geschlossenen Religions Friedens.</t>
  </si>
  <si>
    <t xml:space="preserve">Stadtarchiv Nürnberg</t>
  </si>
  <si>
    <t xml:space="preserve">http://friedensbilder.gnm.de/sites/default/files/B8_149_3_0.TIF</t>
  </si>
  <si>
    <t xml:space="preserve">http://friedensbilder.gnm.de/content/frieden_object18bfc</t>
  </si>
  <si>
    <t xml:space="preserve">http://friedensbilder.gnm.de/content/frieden_foto_order11f954</t>
  </si>
  <si>
    <t xml:space="preserve">Kurze Beschreibung gegenwärtiger Friedens-Medaille</t>
  </si>
  <si>
    <t xml:space="preserve">http://friedensbilder.gnm.de/sites/default/files/B8_149_5_0.TIF</t>
  </si>
  <si>
    <t xml:space="preserve">http://friedensbilder.gnm.de/content/frieden_object221db</t>
  </si>
  <si>
    <t xml:space="preserve">http://friedensbilder.gnm.de/content/frieden_foto_order11f94c</t>
  </si>
  <si>
    <t xml:space="preserve">Gräbenitz, Carl Ludwig
Kunst, Johann Ludwig</t>
  </si>
  <si>
    <t xml:space="preserve">Der verlohrne und wiedergefundene Irenius, zu Bezeugung über wieder erlangten Edlen Frieden Beschöpfften Freude : </t>
  </si>
  <si>
    <t xml:space="preserve">39C/81009</t>
  </si>
  <si>
    <t xml:space="preserve">Laidig, Hans Reinhard</t>
  </si>
  <si>
    <t xml:space="preserve">in einem Schau-Spiel ... 1698 ... von ... studierenden Jugend </t>
  </si>
  <si>
    <t xml:space="preserve">Der verlohrne und wiedergefundene Irenius, 39C/81009</t>
  </si>
  <si>
    <t xml:space="preserve">Der verlohrne und wiedergefundene Irenius</t>
  </si>
  <si>
    <t xml:space="preserve">Frewden- und Friedens-Gedancken/ Auff das Gott gebe mit Glück/ angehende 1642. Jahr/ Nach der Geburth des Sohnes Gottes unsers Heylandes und Sehligmachers Jesu Christi</t>
  </si>
  <si>
    <t xml:space="preserve">Pon Vc 4446, QK</t>
  </si>
  <si>
    <t xml:space="preserve">Druckerin</t>
  </si>
  <si>
    <t xml:space="preserve">Bergen, Anna</t>
  </si>
  <si>
    <t xml:space="preserve">3:626786P</t>
  </si>
  <si>
    <t xml:space="preserve">http://digitale.bibliothek.uni-halle.de/vd17/content/titleinfo/171671</t>
  </si>
  <si>
    <t xml:space="preserve">http://digitale.bibliothek.uni-halle.de/vd17/image/view/402789?w=1000</t>
  </si>
  <si>
    <t xml:space="preserve">Frewden- und Friedens-Gedancken/, Pon Vc 4446, QK</t>
  </si>
  <si>
    <t xml:space="preserve">Frewden- und Friedens-Gedancken/</t>
  </si>
  <si>
    <t xml:space="preserve">Das nach schweren Kriegen durch einen allgemeinen Frieden erfreute Deutschland, wurde zum Andenken des vor 100 Jahren 1648 geschlossenen Westphälischen Friedens in einem Sing-Spiel</t>
  </si>
  <si>
    <t xml:space="preserve">Pon Yb 630, FK</t>
  </si>
  <si>
    <t xml:space="preserve">Biedermann, Johann Gottlieb
Matthaei, Christoph</t>
  </si>
  <si>
    <t xml:space="preserve">http://digitale.bibliothek.uni-halle.de/vd18/content/titleinfo/13896949</t>
  </si>
  <si>
    <t xml:space="preserve">Pon Yb 630 a, QK</t>
  </si>
  <si>
    <t xml:space="preserve">Einleitung fehlt</t>
  </si>
  <si>
    <t xml:space="preserve">http://digitale.bibliothek.uni-halle.de/vd18/content/pageview/13909345</t>
  </si>
  <si>
    <t xml:space="preserve">Franziska Bauer, Sabine Ehrmann-Herfort / Kathrin Fischeidl</t>
  </si>
  <si>
    <t xml:space="preserve">vorgestellet u. dazu eingeladen von Bidermann / Johann Gottlieb Bidermann</t>
  </si>
  <si>
    <t xml:space="preserve">http://digitale.bibliothek.uni-halle.de/vd18/image/view/13907616?w=1000
http://friedensbilder.gnm.de/sites/default/files/Liste_Charaktere.jpg</t>
  </si>
  <si>
    <t xml:space="preserve">Anlässlich des hundertjährigen Jubiläums des Westfälischen Friedens führten die Schüler des Gymnasiums Freiberg am 14. November 1748 öffentlich ein Singspiel auf, welches von ihrem Rektor Johann Gottlieb Biedermann (1705–1772) geschrieben worden war. Die Musik komponierte der örtliche Kantor Johann Friedrich Doles (1715–1797). Text und Musik des Singspieles sind nicht erhalten, nur eine Perioche, also eine kurze Inhaltsangabe, informiert über das Thema und die Darsteller. In vier Akten fasst das Stück den Ausbruch, Fortgang und das Ende des Dreißigjährigen Krieges zusammen, wobei in der Perioche nur die Arien detailliert aufgeführt werden. Begonnen wird dabei mit Monologen von Vertretern unterschiedlicher Stände und Berufsgruppen, die über ihre jeweiligen Situationen im Krieg klagen. Der zweite Akt schildert den Verlauf der Friedensverhandlungen bis hin zur Unterzeichnung der Verträge von Münster und Osnabrück in Akt drei. Abschließend wird die zukünftige Friedenszeit im vierten Akt beschrieben. Die Inhaltsangabe des Singspiels enthält neben einer Liste aller Darsteller auch ein Vorwort des Verfassers, in dem er auf die Motive seiner Dichtung eingeht und das Thema auf das zeitgenössische Geschehen bezieht, wenn er die parallel dazu in Aachen stattfindenden Verhandlungen erwähnt.&amp;nbsp;FBDer Bach-Schüler Johann Friedrich Doles (1715–1797) kommt 1744 ins sächsische Freiberg als Kantor des dortigen Gymnasiums und als Musikdirektor der Stadt. Im Oktober 1748 wird sein „Singe-Spiel“ auf einen Text des Schulrektors Johann Gottlieb Biedermann (1705–1772) aus doppeltem Anlass – zum Gedenken an den Westfälischen Frieden und zur Feier des Friedens von Aachen – auf der Schaubühne im Freiberger Kaufhaus mehrfach aufgeführt. Diese Schuloper befördert offenbar zwischen dem Rektor Biedermann, dem Komponisten Doles und anderen Beteiligten einen lang anhaltenden Streit, in dem es um die Kompetenzen von Rektoren und Kantoren an deutschen Lateinschulen und um die Bedeutung der Musik im Schulprogramm geht. Die Auseinandersetzung zieht weite Kreise, sogar der Leipziger Thomaskantor Johann Sebastian Bach (1685–1750) mischt sich in den Konflikt ein.Das Singspiel selbst hat großen Erfolg beim Publikum und eine landesweite Resonanz. Zwar ist die Musik verloren, doch sind die Arientexte in zwei verschiedenen Druckfassungen überliefert. In Freiberg ist die ganze Schule mit rund 200 Mitwirkenden an den insgesamt vier Aufführungen des Werks beteiligt, die wohl jeweils zwischen fünf und sechs Stunden dauern. Bei diesem Singspiel handelt es sich nicht um ein als Ganzes konzipiertes Werk mit einer durchgehenden Handlung, sondern vielmehr um die Zusammenstellung von Szenen aus der Zeit während des Dreißigjährigen Krieges und danach.Das Bühnenwerk bedient sich geläufiger Topoi zur Darstellung von Friedenssehnsucht und Friedensfreude. Dabei werden mit den Verweisen auf „rollende Paucken“, „schwirrende Sayten“ oder „vollgestimmte Chöre“ Bilder genutzt, die möglicherweise auf die entsprechende Musik des Bühnenwerks verweisen.Gotthold Ephraim Lessing hat 1750 über dieses Freiberger Schulschauspiel berichtet, freilich in einer sehr süffisanten Art, indem er zwar die Musik lobt, den Text aber „kläglich komisch“ und zum Lachen nennt. Lessing spottet in seiner Darlegung auch über die konventionelle Friedensrepräsentation mit ihren allegorischen Protagonisten. An seiner kritischen Stellungnahme zeigt sich, wie das tradierte rhetorische Arsenal der Friedensdarstellungen in der Zeit der Aufklärung an Bedeutung zu verlieren scheint.SEH</t>
  </si>
  <si>
    <t xml:space="preserve">Das nach schweren Kriegen durch einen allgemeinen Frieden erfreute Deutschland, Pon Yb 630, FK</t>
  </si>
  <si>
    <t xml:space="preserve">https://friedensbilder-neu.gnm.de/sites/default/files/2019-06/Pon-Yb-630-FK.png</t>
  </si>
  <si>
    <t xml:space="preserve">Das nach schweren Kriegen durch einen allgemeinen Frieden erfreute Deutschland</t>
  </si>
  <si>
    <t xml:space="preserve">http://friedensbilder.gnm.de/content/frieden_foto_order1c433b</t>
  </si>
  <si>
    <t xml:space="preserve">Eucharisticarum Trias Prima.</t>
  </si>
  <si>
    <t xml:space="preserve">241.9 Theol. (1.1)</t>
  </si>
  <si>
    <t xml:space="preserve">23:330888E</t>
  </si>
  <si>
    <t xml:space="preserve">http://diglib.hab.de/drucke/241-9-theol-1s-1/start.htm</t>
  </si>
  <si>
    <t xml:space="preserve">[7] Bl., 78 S.</t>
  </si>
  <si>
    <t xml:space="preserve">Das ist: Die ersten drey Dancksagungs-Predigten/ aus unterschiedlichen Texten dreyer heiliger Geistreicher Propheten/ Esaiae, Jeremiae, und Ezechielis: darinn dem Herrn Zebaoth/ dem Herrn der Heerscharen/ dem Gott des Friedens/ für die uberschwengliche Wolthat/ daß er von dem verderblichen Kriegßwesen/ uns so väterlich erlöset/ und den edlen hocherwündschten Frieden unserm lieben Vaterlande in Gnaden wieder bescheret hat/ von Hertzen gedancket wird. Darinn jedermenniglich zu schuldiger Dancksagung/ für gemelte Wolthat/ und zum Lobe und Preise Gottes/ auch zu einem Gottseligen bestendigen bußfertigen Leben vermahnet wird.</t>
  </si>
  <si>
    <t xml:space="preserve">http://friedensbilder.gnm.de/sites/default/files/Alard1.jpg</t>
  </si>
  <si>
    <t xml:space="preserve">Eucharisticarum Trias Tertia. </t>
  </si>
  <si>
    <t xml:space="preserve">241.9 Theol. (1.3)</t>
  </si>
  <si>
    <t xml:space="preserve">23:330892R</t>
  </si>
  <si>
    <t xml:space="preserve">http://diglib.hab.de/drucke/241-9-theol-1s-3/start.htm</t>
  </si>
  <si>
    <t xml:space="preserve">Das ist: Noch andere drey Dancksagungs-Predigten aus unterschiedlichen Texten dreyer heiliger Geistreicher Propheten Danielis, Hoseae und Joelis: darinn dem Herrn Zebaoth ... für die uberschwengliche Wolthat daß er von dem verderblichen Kriegßwesen uns so väterlich erlöset und den edlen hocherwündschten Frieden ... wieder bescheret hat von Hertzen gedancket wird. Darinn jedermenniglich zu schuldiger Dancksagung ... auch zu einem Gottseligen bestendigen bußfertigen Leben vermahnet wird. </t>
  </si>
  <si>
    <t xml:space="preserve">In Christlicher Gemeine zur Crempen gehalten. Mit angehengten hertzlichen Dancksagungen deren ein Theil auff bekante Melodeyen gerichtet gesungen werden können</t>
  </si>
  <si>
    <t xml:space="preserve">http://friedensbilder.gnm.de/sites/default/files/Alard3.jpg</t>
  </si>
  <si>
    <t xml:space="preserve">Eucharisticarum Trias Qvarta. </t>
  </si>
  <si>
    <t xml:space="preserve">241.9 Theol. (1.4)</t>
  </si>
  <si>
    <t xml:space="preserve">Grosse Erben</t>
  </si>
  <si>
    <t xml:space="preserve">23:330894F</t>
  </si>
  <si>
    <t xml:space="preserve">http://diglib.hab.de/drucke/241-9-theol-1s-4/start.htm</t>
  </si>
  <si>
    <t xml:space="preserve">[1] Bl., 86 S.</t>
  </si>
  <si>
    <t xml:space="preserve">Das ist: Noch drey Dancksagungs- und Vermahnungs Predigten aus unterschiedlichen Texten dreyer heiliger Geistreicher Propheten Danielis, Hoseae und Joelis: darinn dem Herrn Zebaoth ... für die uberschwengliche Wolthat daß er von dem verderblichen Kriegßwesen uns so väterlich erlöset und den edlen hocherwündschten Frieden ... wieder bescheret hat von Hertzen gedancket wird. Darinn jedermenniglich zu schuldiger Dancksagung ... auch zu einem Gottseligen bestendigen bußfertigen Leben vermahnet wird.</t>
  </si>
  <si>
    <t xml:space="preserve">http://friedensbilder.gnm.de/sites/default/files/Alard4.jpg</t>
  </si>
  <si>
    <t xml:space="preserve">Eucharisticarum Trias Quinta.</t>
  </si>
  <si>
    <t xml:space="preserve">241.9 Theol. (1.5)</t>
  </si>
  <si>
    <t xml:space="preserve">23:330896W</t>
  </si>
  <si>
    <t xml:space="preserve">http://diglib.hab.de/drucke/241-9-theol-1s-5/start.htm</t>
  </si>
  <si>
    <t xml:space="preserve">[1] Bl., 78 S.</t>
  </si>
  <si>
    <t xml:space="preserve">http://friedensbilder.gnm.de/sites/default/files/Alard5.jpg</t>
  </si>
  <si>
    <t xml:space="preserve">Eucharisticarum Trias Sexta. </t>
  </si>
  <si>
    <t xml:space="preserve">241.9 Theol. (1.6)</t>
  </si>
  <si>
    <t xml:space="preserve">23:330898M</t>
  </si>
  <si>
    <t xml:space="preserve">http://diglib.hab.de/drucke/241-9-theol-1s-6/start.htm</t>
  </si>
  <si>
    <t xml:space="preserve">[1] Bl., 68 S.</t>
  </si>
  <si>
    <t xml:space="preserve">http://friedensbilder.gnm.de/sites/default/files/Alard6.jpg</t>
  </si>
  <si>
    <t xml:space="preserve">Medaille (Bankportugalöser) auf die Friedensschlüsse von Paris und Hubertusburg und das Hamburger Friedensfest</t>
  </si>
  <si>
    <t xml:space="preserve">Deutsches Historisches Museum</t>
  </si>
  <si>
    <t xml:space="preserve">N 77/416</t>
  </si>
  <si>
    <t xml:space="preserve">Aukt. Kat. Künker Nr. 294
Pax in Nummis 1913</t>
  </si>
  <si>
    <t xml:space="preserve">S. 115, Nr. 3649
S. 150, Nr. 606</t>
  </si>
  <si>
    <t xml:space="preserve">36,25
49</t>
  </si>
  <si>
    <t xml:space="preserve">Künker 294 Nr.3649</t>
  </si>
  <si>
    <t xml:space="preserve">Künstlersignatur
Monogramm</t>
  </si>
  <si>
    <t xml:space="preserve">OEXLEIN.
N.G.L.</t>
  </si>
  <si>
    <t xml:space="preserve">auf der Abschnittlinie
im Abschnitt</t>
  </si>
  <si>
    <t xml:space="preserve">INTER SVPPLICATIONES GERMANIAE.
PIETAS HAMB. D.XV.MAI.
DEO PACIS.
SAECVLVM AVGVSTI REDIENS.
IAN. CLV.
MDCCLXIII.D.X.ETXVFEBR.</t>
  </si>
  <si>
    <t xml:space="preserve">Die Vorderseite des Portugalösers zeigt Hammonia, die Stadtpersonifikation der Hansestadt, wie sie einen Friedensaltar bekniet. Der Darstellungstradition entsprechend trägt sie eine Stadtkrone, während das Wappen Hamburgs an den massiven Steinaltar gelehnt ist. Die rauchende Opferschale darauf brennt für den Gott des Friedens, der das Dankfest Germaniens ermöglicht hat. Gemeint ist damit der Tag des 15. Mai (1763) an dem die Stadt Hamburg ein frommes Bußfest in Anlehnung an den Frieden von Paris und Hubertusburg beging.&amp;nbsp;Der Revers kündigt die Rückkehr des Augusteischen Zeitalters an. Kaiser Augustus rühmte sich damit, die Tore des Janustempels dreimal innerhalb seiner Regierungszeit geschlossen zu haben, eine symbolkräftige Geste, die nur ergriffen wurde, wenn die Grenzen des gesamten Reiches befriedet waren. In Analogie zu der dies proklamierenden Umschrift zeigt das Münzbild einen geschlossenen Janustempel korinthischer Säulenordnung mit schlichtem Architrav und gesprengtem Giebel, in dessen zentraler Aussparung sich eine Büste des zweigesichtigen Gottes erhebt.Der Abschnitt gibt das Jahr 1763 und die beiden Daten des 10. und 15. Februars an, womit der Bezug zu den Friedensverträgen von Paris[fn]Anders als in der Literatur üblich, wird hier die Bezeichnung Friede von Paris (statt Friede von Versailles) verwendet. Unter beiden Bezeichnungen fanden im Laufe der Geschichte gleich mehrere Ereignisse statt, das im Jahre 1763 fand aber unter der Bezeichnung "Friede von Paris" Einzug in die Geschichtsbücher.[/fn] und Hubertusburg hergestellt wird. Die Abkürzung NGL in der Kartusche steht für Nicolaus Gottlieb Lütkens, Senator und ältester Bankbürger der Stadt.[fn]Vgl. Aukt. Kat. Künker Nr. 294, S. 115.[/fn]MATW</t>
  </si>
  <si>
    <t xml:space="preserve">Die Variante in Gold wurde bei Künker versteigert. Standort, Besitzer und Inventarnummer sind daher nicht nachzuverfolgen. Die Medaille trägt die Lot-Nr. 3649 in&amp;nbsp;Aukt. Kat. Künker Nr. 294,&amp;nbsp;S. 115.Die Eckdaten: 49,14 mm, 34,76g&amp;nbsp;</t>
  </si>
  <si>
    <t xml:space="preserve">http://friedensbilder.gnm.de/sites/default/files/014b.jpg
http://friedensbilder.gnm.de/sites/default/files/014a.jpg
http://friedensbilder.gnm.de/sites/default/files/Bankportugalöser zu 10 Dukaten von 1763 - Nürnberg - Oexlein - Versaille und Hubertusburg r Künker.jpg
http://friedensbilder.gnm.de/sites/default/files/Bankportugalöser zu 10 Dukaten von 1763 - Nürnberg - Oexlein - Versaille und Hubertusburg v Künker.jpg</t>
  </si>
  <si>
    <t xml:space="preserve">Für Künker folgendes angeben:„Fritz Rudolf Künker GmbH &amp;amp; Co. KG, Osnabrück“&amp;nbsp;„Lübke + Wiedemann KG, Leonberg“&amp;nbsp;www.kuenker.de</t>
  </si>
  <si>
    <t xml:space="preserve">Medaille (Bankportugalöser) auf die Friedensschlüsse von Paris und Hubertusburg und das Hamburger Friedensfest, Vorderseite, N 77/416
Medaille (Bankportugalöser) auf die Friedensschlüsse von Paris und Hubertusburg und das Hamburger Friedensfest, Rückseite, N 77/416</t>
  </si>
  <si>
    <t xml:space="preserve">Medaille (Bankportugalöser) auf die Friedensschlüsse von Paris und Hubertusburg und das Hamburger Friedensfest, Vorderseite
Medaille (Bankportugalöser) auf die Friedensschlüsse von Paris und Hubertusburg und das Hamburger Friedensfest, Rückseite</t>
  </si>
  <si>
    <t xml:space="preserve">http://friedensbilder.gnm.de/content/frieden_foto_order191f95
http://friedensbilder.gnm.de/content/frieden_foto_order1dd0e4</t>
  </si>
  <si>
    <t xml:space="preserve">F/R 40 63.47 (3)</t>
  </si>
  <si>
    <t xml:space="preserve">Gerhardt, Paul</t>
  </si>
  <si>
    <t xml:space="preserve">http://friedensbilder.gnm.de/sites/default/files/Gerhardt_Friedenslied.pdf</t>
  </si>
  <si>
    <t xml:space="preserve">Friedenslied, F/R 40 63.47 (3)</t>
  </si>
  <si>
    <t xml:space="preserve">Friedensschluss zwischen Oesterreich und Frankreich zu Campo Formido bey Udine den 17 Oct: 1797</t>
  </si>
  <si>
    <t xml:space="preserve">HB13855, Kapsel 1220</t>
  </si>
  <si>
    <t xml:space="preserve">Um 1797</t>
  </si>
  <si>
    <t xml:space="preserve">Reiß 2003
Ausst. Kat. Stuttgart 1989</t>
  </si>
  <si>
    <t xml:space="preserve">S. 417-418, Kat.-Nr. 78
S. 80, Kat.-Nr. 2</t>
  </si>
  <si>
    <t xml:space="preserve">Blatt
Platte
Darstellung</t>
  </si>
  <si>
    <t xml:space="preserve">26 x 34,7
23,5 x 31,5
18 x 29,2</t>
  </si>
  <si>
    <t xml:space="preserve">zu haben bey Fietta et Comp in Krigshaber</t>
  </si>
  <si>
    <t xml:space="preserve">Der Name des Friedensvertrages ist irreleitend, denn Campoformio beschreibt ein Feld nahe des Ortes Campoformido, wo die österreichischen Truppen ihr Lager aufgeschlagen hatten. Die Vertragsunterzeichnungen fanden aber in der Villa Manin&amp;nbsp;di Passariano&amp;nbsp;in Codroipo statt. In stark vereinfachter Form präsentiert uns das Blatt die Villa, in der die Verträge von Napoleon I. und Kaiser Franz II. unterzeichnet wurden. Während die Vertragsübergabe im zentralen Fenster des ersten Stockwerkes zu verfolgen ist, erreichen österreichische und französische Truppen von links und rechts den kleinen Ort, der sich ringsum in Form einer kleinen Kirche, Häusern, Feldern und der neugierigen Bevölkerung manifestiert.Die beiden Engel zur rechten und linken Seite des Satteldaches verkünden via Posaune den Ruhm Gottes (Laus Deo), führen Lorbeerkränze mit sich und betonen die spiegelbildliche Symmetrie, die dem Bild innewohnt. Diese geht von den Protagonisten aus, die von der mittleren Fensterachse getrennt werden und je ihrem heranziehenden Heer zugeordnet sind.Anekdotischen Charakter bietet das weitere Geschehen im Haus Passariano; das Anwesen oder sogar Schloss[fn]Vgl. Reiß 2003, S. 418.[/fn] wird durch den aus der Türe tretenden Bediensteten mit Schürze und Flasche sowie der Anschlagstafel vielmehr als Wirtshaus charakterisiert. Die weiteren Fenster des Obergeschosses sind verschlossen, doch lassen sich durch die verdunkelten Scheiben simultan weitere Interaktionen der Verhandlungspartner erkennen, beispielsweise Napoleons markante Geste der Hand in der Weste hinter dem rechten Fenster.&amp;nbsp;Die symmetrischen Bild- und personellen Porträtparallelen zu HB 23923 kommen nicht von ungefähr, handelt es sich bei der Ausführung doch um denselben Künstler, der die Chronologi der geschichtlichen Ereignisse in diesem&amp;nbsp;Blatt fortschreibt. Diese sollten für Österreich jedoch nicht von Erfolg gekrönt sein; vielmehr gelten der Vorfrieden von Leoben und der Friede von Campo Formi(d)o als Wendepunkt hin zum Napoleonischen Aufstieg.MATW</t>
  </si>
  <si>
    <t xml:space="preserve">Dio che tutto quaggiú Cura, e procedeper adolier di questa Vitta i maliMiró nella Germania Italia, e VedeMarte Barbarizzare i Suoi Mortali,Combina li Ministri Saggi in fedee fan Cesar il Suon degli Metálli:Campo Formido Grida ador Sen taceL’incredulo pensier. Abbiam la Pace.Neuer Schimer, neuer Glanz,Leuchtet aus der Croneunsers Kaysers FranzGlück und Segen ungestöhrte RuhFliest jetzt Hütten und Palästen zu,Merk es Teutschland juble und sey frohDer Friede ward geschlossenzu Campo Formido.&amp;nbsp;MATW</t>
  </si>
  <si>
    <t xml:space="preserve">http://friedensbilder.gnm.de/sites/default/files/HB13855.tif</t>
  </si>
  <si>
    <t xml:space="preserve">Friedensschluss zwischen Oesterreich und Frankreich zu Campo Formido bey Udine den 17 Oct: 1797, HB13855, Kapsel 1220</t>
  </si>
  <si>
    <t xml:space="preserve">http://friedensbilder.gnm.de/content/frieden_foto_order204f26</t>
  </si>
  <si>
    <t xml:space="preserve">Preiß und Dank für die wunderbare Erlösung von allen Leiden eines zehnjährigen Land-und Seekrieges durch den längst erflehten Frieden im abgewichenen Jahr der göttlichen Führung darbringend</t>
  </si>
  <si>
    <t xml:space="preserve">MS 673, Kapsel 1428</t>
  </si>
  <si>
    <t xml:space="preserve">Um 1802</t>
  </si>
  <si>
    <t xml:space="preserve">13,6 x 26,3
40,7 x 36,2</t>
  </si>
  <si>
    <t xml:space="preserve">HB 6107</t>
  </si>
  <si>
    <t xml:space="preserve">Widmet, allen hohen und niederen Ständen des geliebten Nürnbergischen Vaterlandes, beym frohen Antritt eines neuen Jahres, diesen ehrerbietigen und herzlichen Seegens-Wunsch </t>
  </si>
  <si>
    <t xml:space="preserve">Stephan Wolf, Lob- Rum- und Ehrensprecher. Anno 1802</t>
  </si>
  <si>
    <t xml:space="preserve">Über die von Südosten betrachtete Stadtvedute Nürnbergs spannt sich ein Regenbogen, vor dessen Scheitel ein Friedensengel mit Posaune und Lorbeerkranz die frohe Botschaft verkündet. Rechts im Vordergrund ragt ein kahler Baum mit einer Eule ins Geschehen, darunter kniet die Personifikation Nürnbergs (Noris) vor einem Friedensaltar, der das Wappen der Stadt trägt. Das Pendent in der linken Bildhälfte bildet ein belaubter Baum mit frischen Trieben, unter dem ein pyramidales Monument errichtet wurde, welches die Führungspersönlichkeiten der Konfliktparteien wiedergibt (FRANCISCO II., Carolo&amp;nbsp; und&amp;nbsp; Buonoparte).Im Bildzentrum unmittelbar vor der Stadtansicht sitzt eine auffallend junge geflügelte Gestalt mit Sense – Chronos. Dieser lehnt mit sienem linken Arm auf einem Globus, der die Umrisse Europas und Italias aufweist, während er mit der Rechten ein offenes Buch präsentiert, auf dessen Seiten Kreis und Dreieck zu sehen sind.[fn]Diese repräsentieren in erster Linie die Ewigkeit und Vollendung, können aber auch als Erdkreis und die göttliche Dreifaltigkeit verstanden werden[/fn] Die Szene wird von vier kleinen Putti begleitet, von denen einer das Thema des Homo bulla veranschaulicht und ein weiterer mit verbundenen Augen versucht das Buch zu ergreifen."Gerechtigkeit und Fried küß sich an seinem&amp;nbsp;(Kaiser Franzens) Thron" Das begleitende Gedicht Stephan Wolfs rühmt nicht etwa Napoleon oder die Briten, welche die friedensschließenden Parteien im Vertrag von Amiens waren, sondern lobpreist Kaiser Franz II. von Österreich. In diese Konstellation passt dann auch Karl von Österreich-Teschen, der neben Konsul Bonaparte und Kaiser Franz II. auf dem steinernen Monument erscheint, da er maßgeblich an den vergangenen Konflikten mit Napoleon beteiligt war. Das Blatt thematisiert also vielmehr den Lunévilleer Frieden von 1801, als den Vertrag zwischen Frankreich und Großbritannien von 1802, der in Amiens besiegelt wurde. Der Untertitel "beym frohen Antritt eines neuen Jahres" lässt außerdem vermuten, dass es sich um ein Neujahrsblatt handelt, was somit vor dem Frieden von Amiens zustande kam.Das gezeigte Programm drückt zum einen die Freude über den erlangten Frieden aus, gibt aber gleichzeitig zu bedenken, dass der Friede ein schwer zu erlangendes und fragiles Gut ist. Eine weise Erkenntnis, denn bereits 1805 sah sich Österreich im dritten Koalitionskrieg erneut mit Frankreich konfrontiert.MATW</t>
  </si>
  <si>
    <t xml:space="preserve">Bisher keine Literatur zum Blatt gefunden.Künstler nachtragen</t>
  </si>
  <si>
    <t xml:space="preserve">http://friedensbilder.gnm.de/sites/default/files/MS673.tif</t>
  </si>
  <si>
    <t xml:space="preserve">Preiß und Dank für die wunderbare Erlösung von allen Leiden eines zehnjährigen Land-und Seekrieges durch den längst erflehten Frieden im abgewichenen Jahr der göttlichen Führung darbringend, MS 673, Kapsel 1428</t>
  </si>
  <si>
    <t xml:space="preserve">http://friedensbilder.gnm.de/content/frieden_foto_order205025</t>
  </si>
  <si>
    <t xml:space="preserve">Souhait Général de l'Europe Contrée de Mayence</t>
  </si>
  <si>
    <t xml:space="preserve">HB 18452, Kapsel 1220</t>
  </si>
  <si>
    <t xml:space="preserve">1795 oder später</t>
  </si>
  <si>
    <t xml:space="preserve">Döring, Philipp Jacob</t>
  </si>
  <si>
    <t xml:space="preserve">Doering</t>
  </si>
  <si>
    <t xml:space="preserve">10,5 x 15,8</t>
  </si>
  <si>
    <t xml:space="preserve">Dem Betrachter eröffnet sich der Blick über das hügelige Mainzer Umland, das von Belagerungswaffen und mehreren Zeltringen umzingelt ist. Die linksrheinische Stadt war ein schwer umkämpftes Gebiet zwischen Frankreich und Preußen, waren die Franzosen zwei Jahre zuvor noch selbst die Mainzer Stadtherren, nahmen sie nun die Mauern in Beschuss.Vier französische Uniformierte präsentieren sich dem Betrachter planimetrisch auf einer Linie. Ihre künstliche und teils ungelenke Positionierung in der Landschaft lässt sie in der Form von Buchstaben erscheinen, die das französische Wort "Paix" ergeben, eine Form des Vexierbildes, wie sie bereits bei&amp;nbsp;HB 18453&amp;nbsp;Anwendung fand. Das zentrale Himmelsobjekt über dem dritten Soldaten von links soll wohl einen i-Punkt darstellen, obwohl es diesen in der Majuskel gar nicht bräuchte. Doch ist er aus anderem Blickwinkel her maßgeblich für das Dargestellte, handelt es sich doch allem Anschein nach um einen Heißluftballon.1783 war es den Brüder Joseph Michel und Étienne Jacques Montgolfier gelungen mittels eines solchen Heißluftballons in die Luft aufzusteigen. Bereits im Juni 1794 fand der erstmalige militärische Gebrauch durch die französischen Truppen in Maubeuge statt.&amp;nbsp;Die Verwendung im vorliegenden Stich erhält dadurch aktuellen Charakter, dass auch bei der Blockade von Mainz 1795 ein Ballon zur Luftaufklärung eingesetzt wurde, wie eine Farblithografie vom Ende des 19. Jahrhunderts zeigt. Das vorliegende Blatt muss daher auf 1795 oder später datiert werden.MATW</t>
  </si>
  <si>
    <t xml:space="preserve">http://friedensbilder.gnm.de/sites/default/files/HB18452.tif</t>
  </si>
  <si>
    <t xml:space="preserve">Souhait Général de l'Europe Contrée de Mayence, HB 18452, Kapsel 1220</t>
  </si>
  <si>
    <t xml:space="preserve">http://friedensbilder.gnm.de/content/frieden_foto_order205052</t>
  </si>
  <si>
    <t xml:space="preserve">Europäns allgemeiner Wunsch</t>
  </si>
  <si>
    <t xml:space="preserve">HB 18453, Kapsel 1220</t>
  </si>
  <si>
    <t xml:space="preserve">Um 1794</t>
  </si>
  <si>
    <t xml:space="preserve">Neubauer, Friedrich Ludwig</t>
  </si>
  <si>
    <t xml:space="preserve">Neubauer</t>
  </si>
  <si>
    <t xml:space="preserve">10,8 x 16,6</t>
  </si>
  <si>
    <t xml:space="preserve">National-Eigenliebe.</t>
  </si>
  <si>
    <t xml:space="preserve">zu finden bei Neubauer in Frank: a/m.</t>
  </si>
  <si>
    <t xml:space="preserve">Das Blatt zeigt eine weite Landschaft mit Hügeln, Bäumen und Büschen und einem Anwesen sowie einer Kirche im Hintergrund. In den Blick fallen aber zunächst ein dünner knorriger Baum und sechs Personen im Vordergrund, die durch ihre dunklere Zeichnung und aufgrund ihrer planimetrischen Anordnung die Aufmerksamkeit des Betrachters erregen. Ihre strenge Profilansicht lässt sie in der Form von Buchstaben erscheinen, die das Wort "Friede" ergeben, eine Form des Vexierbildes, das später auch bei&amp;nbsp;HB 18452 Anwendung finden sollte.Der Baum am linken Bildrand stellt mit seinen Auswüchsen und Blätterkronen die verschnörkelte Initiale dar (F). Ihm folgt ein preußischer Bediensteter, der seinen Kaskett[fn]Ein Zweispitz aus Filz, der quer getragen wurde und dessen beiden Klappen man unabhängig voneinander herunterziehen konnte.[/fn] mit Hutpuschel präsentiert (r). Hernach folgt ein Osmane mit Turban, der die gefalteten Hände zum Mond über sich erhebt, der nicht nur als innerbildlicher Himmelskörper, sondern auch als i-Punkt fungiert (i). In der Mitte befindet sich ein Gelehrter, der einen kleinen Globus betrachtet (e). Den nächsten Buchstaben (d) bilden gleich zwei Figuren: ein Geistlicher mit langem Bart steht in seinem Bettelgewand leicht vornüber gebeugt, während ihm eine überlebensgroße nackte Personifikation der Wahrheit (?) die Hand aufs Haupt legt. Mit einem hämischen Grinsen deutet er auf ihren Schambereich, der sich auf Höhe seiner Augen befindet, doch die imposante weibliche Erscheinung holt bereits mit einem Reisigzweig zur Rüge aus, der gleichzeitig den schwungvollen Bogen des "d" darstellt.Die letzte Person (e) ist ein der Schrift mächtiger Gelehrter mit sehr langem Schnurrbart, der&amp;nbsp;besonders interessiert ein Schriftstück studiert, das zur weiteren Deutung und Einordnung des Kupferstiches beiträgt. Denn das Schriftstück weist den Namen Kosciusko auf, womit der polnische Nationalheld Tadeusz Koœciuszko gemeint ist. Dessen Freiheitsbewegungen richteten sich gegen die Annexion Polens durch Russland und Preußen, weshalb der nach ihm benannte&amp;nbsp;Koœciuszko-Aufstand 1794 den möglichen Entstehungszeitraum angibt. Auftraggeber und Sympathisanten für das Blatt sind sowohl im polnischen als auch im französischen Umfeld zu suchen, die vermutlich auch das Pendant&amp;nbsp;HB 18452&amp;nbsp;in Auftrag gaben.MATW</t>
  </si>
  <si>
    <t xml:space="preserve">http://friedensbilder.gnm.de/sites/default/files/HB18453.tif</t>
  </si>
  <si>
    <t xml:space="preserve">Europäns allgemeiner Wunsch, HB 18453, Kapsel 1220</t>
  </si>
  <si>
    <t xml:space="preserve">http://friedensbilder.gnm.de/content/frieden_foto_order204f03</t>
  </si>
  <si>
    <t xml:space="preserve">La Situation de La Pologne en MDCCLXXIII</t>
  </si>
  <si>
    <t xml:space="preserve">HB 23077, Kapsel 1314a</t>
  </si>
  <si>
    <t xml:space="preserve">Helke 2005
Schuster 1936
Portalis 1970</t>
  </si>
  <si>
    <t xml:space="preserve">S. 174
S. 106, Nr. 264
Bd. III, S. 174, Nr. 57</t>
  </si>
  <si>
    <t xml:space="preserve">Darstellung
Platte</t>
  </si>
  <si>
    <t xml:space="preserve">19,9 x 18,7
29 x 19,3</t>
  </si>
  <si>
    <t xml:space="preserve">Die Lage des Königreichs Pohlen im Jahr 1773</t>
  </si>
  <si>
    <t xml:space="preserve">I. E. Nilson, fec: et excud: A. V.</t>
  </si>
  <si>
    <t xml:space="preserve">Der euphemistische Titel ”Der Kuchen der Könige“ geht auf die Beischrift des französischen Erstentwurfes zurück. Das Blatt zeigt die Vertreter der europäischen Großmächte, wie sie anhand einer riesigen Landkarte um territoriale Zugewinne auf Kosten des polnischen Grund und Bodens verhandeln. Links sitzt Zarin Katharina II. von Russland auf einem herrschaftlich zoomorphen Thron in Adlergestalt, zu ihrer Linken folgt stehend der polnische König&amp;nbsp;Stanis³aus II. August Poniatowski. Auf der rechten Bildhälfte diskutieren Kaiser Joseph II. von Österreich und Friedrich II. von Preußen. Über der Szene fliegt Fama, getragen von aufsteigenden Wolken bläst sie zwei Posaunen und präsentiert drei Urkunden, welche die Rechtmäßigkeit der polnischen Reichsaufteilung garantieren sollen.
Die gleichseitige Kopie geht auf einen französischen Stich&amp;nbsp;zurück, den&amp;nbsp;Noël Lemire&amp;nbsp;nach einem Entwurf Jean-Michel Moreaus veröffentlichte, und weicht in kleinen aber wirkmächtigen Details von diesem ab: Erschrocken, beinahe panisch wendet sich der polnische König der Zarin zu und greift dabei an seine Krone, die im Begriff ist von seinem Kopf zu rutschen. Dokumente schwebten noch nicht vom Himmel und auch die Unterhaltung zwischen Joseph II. und Friedrich II. besaß latenten Spannungscharakter, da der Preuße noch mit gezücktem Säbel auf die Karte deutete. Diese Anspannung ist bei Nilson einer versöhnlichen Stimmung gewichen.&amp;nbsp;Stanis³aus&amp;nbsp;deutet hier besonnen in die Höhe auf die von Fama herabsinkenden Urkunden und blickt den Betrachter bestimmt aber ruhig an. Die vier Protagonisten zeigen nun mit den bloßen Händen auf die Karte und schauen einander verständnisvoll an.
Der Stich fand in der Folgezeit und insbesondere vor dem Hintergrund weiterer Teilungen Polens vermehrt Aufmerksamkeit. Das belegen zahlreiche Kopien wie eine Studie&amp;nbsp;(1801) und eine&amp;nbsp;Lithographie&amp;nbsp;(1831) des Deutschen historischen Museums in Berlin.
MATW
</t>
  </si>
  <si>
    <t xml:space="preserve">Iura Reg. Hung. et Boh. in Polon.
Iura Imp. Russ. in Polon.
Iura Reg. Boruss. in Polon.
MATW
</t>
  </si>
  <si>
    <t xml:space="preserve">http://friedensbilder.gnm.de/sites/default/files/HB23077.tif</t>
  </si>
  <si>
    <t xml:space="preserve">Der euphemistische Titel ”Der Kuchen der Könige“ geht auf die Beischrift des französischen Erstentwurfes zurück. Das Blatt zeigt die Vertreter der europäischen Großmächte, wie sie anhand einer riesigen Landkarte um territoriale Zugewinne feilschen, deren Ergebnis die Aufteilung des gesamten polnischen Grund und Bodens bedeutet. Links sitzt&amp;nbsp;Zarin Katharina II.&amp;nbsp;von Russland auf einem herrschaftlichen, zoomorphen Thron in Adlergestalt, zu ihrer Linken steht der polnische König&amp;nbsp;Stanis³aus II. August Poniatowski. Auf der rechten Bildhälfte diskutieren&amp;nbsp;Kaiser Joseph II.&amp;nbsp;von Österreich und&amp;nbsp;Friedrich II.&amp;nbsp;von Preußen. Über der Szene fliegt Fama, getragen von aufsteigenden Wolken bläst sie zwei Posaunen und präsentiert drei Urkunden, welche die Rechtmäßigkeit der polnischen Reichsaufteilung garantieren sollen.Die gleichseitige Kopie geht auf einen französischen&amp;nbsp;Stich&amp;nbsp;zurück, den&amp;nbsp;Noël Lemire&amp;nbsp;nach einem Entwurf&amp;nbsp;Jean-Michel Moreaus veröffentlichte, und weicht in kleinen aber wirkmächtigen Details von diesem ab: Erschrocken, beinahe panisch wendet sich der polnische König in der Urfassung der Zarin zu und greift dabei an seine Krone, die im Begriff ist von seinem Kopf zu rutschen. Dokumente schwebten noch nicht vom Himmel und auch die Unterhaltung zwischen Joseph II. und Friedrich II. besaß einen militanten Impetus, da der Preuße mit gezücktem Säbel auf die Karte deutete. Diese Anspannung ist bei Nilson einer versöhnlichen Stimmung gewichen.&amp;nbsp;Stanis³aus&amp;nbsp;deutet hier besonnen in die Höhe auf die von Fama herabsinkenden Urkunden und blickt den Betrachter bestimmt aber ruhig an. Die vier Protagonisten zeigen nun mit den bloßen Händen auf die Karte und schauen einander verständnisvoll an.Der Stich fand in der Folgezeit und insbesondere vor dem Hintergrund weiterer Teilungen Polens vermehrt Aufmerksamkeit. Das belegen zahlreiche Kopien am&amp;nbsp;Deutschen historischen Museums in Berlin.MATW</t>
  </si>
  <si>
    <t xml:space="preserve">Herrscherrepräsentation
Ordnungsvorstellungen</t>
  </si>
  <si>
    <t xml:space="preserve">La Situation de La Pologne en MDCCLXXIII, HB 23077, Kapsel 1314a</t>
  </si>
  <si>
    <t xml:space="preserve">https://friedensbilder-neu.gnm.de/sites/default/files/2019-06/HB23077_0.png</t>
  </si>
  <si>
    <t xml:space="preserve">http://friedensbilder.gnm.de/content/frieden_foto_order1f9257</t>
  </si>
  <si>
    <t xml:space="preserve">Text</t>
  </si>
  <si>
    <t xml:space="preserve">Gott, man lobet dich in der Stille zu Zion</t>
  </si>
  <si>
    <t xml:space="preserve">PB Mus. T99, Nr. 40</t>
  </si>
  <si>
    <t xml:space="preserve">Telemann, Georg Philipp</t>
  </si>
  <si>
    <t xml:space="preserve">Poetzsch 1999/2000</t>
  </si>
  <si>
    <t xml:space="preserve">S. 28–30</t>
  </si>
  <si>
    <t xml:space="preserve">http://digital.staatsbibliothek-berlin.de/werkansicht?PPN=PPN641150172&amp;PHYSID=PHYS_0001&amp;DMDID=</t>
  </si>
  <si>
    <t xml:space="preserve">Singgedicht</t>
  </si>
  <si>
    <t xml:space="preserve">Sabine Ehrmann-Herfort / Kathrin Fischeidl</t>
  </si>
  <si>
    <t xml:space="preserve">Sing–Gedicht zur Begleitung der feyerlichen Rede im Hörsaale des Gymnasii bey dem Hamburgischen Friedens–Feste</t>
  </si>
  <si>
    <t xml:space="preserve">TVWV 14:12</t>
  </si>
  <si>
    <t xml:space="preserve">http://friedensbilder.gnm.de/sites/default/files/PPN641150172_00000001.tif
http://friedensbilder.gnm.de/sites/default/files/PPN641150172_00000007.tif
http://friedensbilder.gnm.de/sites/default/files/PPN641150172_00000008.tif
http://friedensbilder.gnm.de/sites/default/files/PPN641150172_00000009.tif
http://friedensbilder.gnm.de/sites/default/files/PPN641150172_00000014.tif
http://friedensbilder.gnm.de/sites/default/files/PPN641150172_00000015.tif</t>
  </si>
  <si>
    <t xml:space="preserve">Mus.ms. 21758</t>
  </si>
  <si>
    <t xml:space="preserve">Notenmanuskript</t>
  </si>
  <si>
    <t xml:space="preserve">Wird es dann noch die folgenden Stücke geben:
&amp;nbsp;
Track 1, Chor „Gott, man lobet dich in der Stille“
Track 6, Arie (Sopran), „Städten nachgeblieb’ne Steine“
Track 9, Rezitativ (Alt-Bass 1), „Dir sang in ungestörten Festen“
Track 10, Chor „Preis und Ehre, Dank und Wonne“
Track 18, Chor „Ehre sei Gott in der Höhe“
&amp;nbsp;
aus: Georg Philipp Telemann, „Gott, man lobet dich in der Stille“, TWV 14:12
Kantate zum Friedensschluss 1763
&amp;nbsp;
Collegium vocale des Bach-Chores Siegen
Barock-Orchester „Hannoversche Hofkapelle“
Trompeten-Consort „Friedemann Immer“,
Ulrich Stötzel
Aufnahme 22.08.1999 im Rahmen des Rheingau Musik Festivals im Kloster Eberbach, Basilika
Eine Aufnahme des Hessischen Rundfunks, Frankfurt am Main,
Hänssler Verlag, 1999
CD 98.333
</t>
  </si>
  <si>
    <t xml:space="preserve">Mit „Gott man lobet dich in der Stille“ (TVWV 14:12) komponiert Georg Philipp Telemann eine Kantate zum Friedensschluss von Hubertusburg. Sie wird in einer schulischen Aufführung zur Umrahmung einer lateinischen Rede dargeboten. Wieder einmal bleibt Hamburg von den Schrecken des Krieges verschont, diesmal ist es der Siebenjährige Krieg. Nach dem Friedensschluss zwischen Österreich, Sachsen und Preußen feiert man am 15. Mai 1763 ein offizielles Dankfest, in dessen Rahmen am 17. Mai 1763 der akademische Festakt mit Telemanns zweiteiligem Sing-Gedicht stattfindet.Telemanns Komposition, die mit einem „Ehre sei Gott in der Höhe“ endet, preist die göttliche Macht, erinnert an die Schrecken des Krieges und artikuliert Hoffnung auf eine friedvolle Zukunft. Der Fokus liegt auf der Stadt Hamburg, die als verschont gebliebene Stadt besonderen Grund hat, den Frieden zu besingen und ein Danklied anzustimmen.Außergewöhnlich ist, wie das hier entfaltete Friedensszenarium mit einem geschäftigen Stadtleben verbunden wird. So kontrastiert die drastische Klage um verwüstete Städte und gefallene junge Krieger (6. Arie, Flauto traverso I und II) mit einem Rezitativ, welches als Zeichen des Friedens das alltägliche Leben in der sicheren Stadt rühmt, wo Kinder fröhlich spielen und vom Meer her Schiffshupen ertönen.Der weitere Verlauf des Stücks richtet den Blick vom europäischen Friedensschluss, der auch bewirkt, dass der Tempel des Krieges geschlossen wird (Topos), in transzendierender Weise auf den durch Christi Tod gestifteten Frieden. Der Schluss des Stücks transformiert demzufolge das weltliche Friedensereignis in den göttlichen Frieden der Doxologie und schließt mit einem „Ehre sei Gott in der Höhe!“.SEH&amp;nbsp;</t>
  </si>
  <si>
    <t xml:space="preserve">Gott, man lobet dich in der Stille zu Zion, PB Mus. T99, Nr. 40</t>
  </si>
  <si>
    <t xml:space="preserve">https://friedensbilder-neu.gnm.de/sites/default/files/2019-06/PB Mus T99 Nr 40 freigestellt.png</t>
  </si>
  <si>
    <t xml:space="preserve">http://friedensbilder.gnm.de/content/frieden_object20c02f</t>
  </si>
  <si>
    <t xml:space="preserve">http://friedensbilder.gnm.de/content/frieden_foto_order1e7c57</t>
  </si>
  <si>
    <t xml:space="preserve">Notendruck</t>
  </si>
  <si>
    <t xml:space="preserve">So kömmt die kühne Tapferkeit</t>
  </si>
  <si>
    <t xml:space="preserve">Zentrum für Telemann-Pflege und -Forschung Magdeburg, Bibliothek</t>
  </si>
  <si>
    <t xml:space="preserve">Magdeburg Mus. 2211</t>
  </si>
  <si>
    <t xml:space="preserve">Komponist
Herausgeber</t>
  </si>
  <si>
    <t xml:space="preserve">Telemann, Georg Philipp
Schneider, Michael</t>
  </si>
  <si>
    <t xml:space="preserve">Hamburg
Glashütten</t>
  </si>
  <si>
    <t xml:space="preserve">https://opac.rism.info/metaopac/search.do?methodToCall=submitButtonCall&amp;CSId=93279N187Sc67af3f81b1e3c9543c36e19835ee7d020dda057&amp;methodToCallParameter=submitSearch&amp;refine=false&amp;View=rism&amp;searchCategories%5B0%5D=-1&amp;speedy=on&amp;searchString%5B0%5D=Telemann%2C+So+k%C3%B6mmt+die+k%C3%BChne&amp;submitButtonCall_submitSearch=Suchen</t>
  </si>
  <si>
    <t xml:space="preserve">Als / Das Wol–Löbliche / Collegium / Der / Hrn. Bürger–Capitaines / Der Stadt Hamburg / Bey beglückter Gegenwart / Dessen respective Hohen und Geehrtesten / Eingeladen / D. 30. Aug. Ao. 1736 / Sein Jährliches / Ehren– und Freuden–Mal / Feierlich begieng.</t>
  </si>
  <si>
    <t xml:space="preserve">TVWV 15:9b</t>
  </si>
  <si>
    <t xml:space="preserve">In seiner Serenata „So kömmt die kühne Tapferkeit“ für 2 Soprane, Alt, Tenor, 2 Bässe, vierstimmigen Chor, Flauto piccolo, Violino solo, 2 Violoncelli soli, Streicher und Basso continuo aus der Kapitänsmusik von 1736 (TVWV 15:9b) experimentiert Georg Philipp Telemann mit musikalischen Illustrationen des Friedens. In der Arie Nr. 3, „Entledigt, ihr Helden, die streitbaren Hände“, deutet er den Frieden vorrangig als Ruhezustand, zu dessen Veranschaulichung er Triolenläufe, Triller, gehaltene Ruhenoten und Generalpausen nutzt. Bereits im dazugehörigen Librettotext, der ein weiteres Mal vom&amp;nbsp;Hamburger Theologen und Dichter Joachim Johann Daniel Zimmermann (1710–1766)&amp;nbsp;stammt, finden sich mit den Bildern „Lorbeer“, „Palmen“ oder „Schwerter zu Pflugscharen“ zentrale Topoi der Friedensdarstellung. Musikalisch zeichnet Telemann den scharfen Stahl der Schwerter figürlich durch melismatische Sechzehntel- und Zweiundreißigstel-Bewegungen nach und verweist mit dieser musikalischen Vorstellung von Kriegsgerät zugleich auf dessen neue Funktion als Friedensinstrument („und lasset die Säbel zu Sicheln verschmieden“).Den Abschluss des ersten freudigen Teils der Serenata bildet der Chor der Schäfer, dessen mit „Pastorel“ überschriebener Satz in Es-Dur den Bezug zur arkadischen Ideallandschaft herstellt, die in der Musik durch Hirten, Nymphen, Flöten, Tänze und Echoeffekte vorgestellt wird. Der dazugehörige Vokalsatz ist homophon, deklamierend, mit einer melismatischen Melodielinie im Sopran über langgehaltenen Liegetönen, welche die Friedensruhe illustrieren.SEH</t>
  </si>
  <si>
    <t xml:space="preserve">http://friedensbilder.gnm.de/sites/default/files/Magdeburg_Mus_2211.png</t>
  </si>
  <si>
    <t xml:space="preserve">P.o.germ. 1558 a-5/6 (2)</t>
  </si>
  <si>
    <t xml:space="preserve">So kömmt die kühne Tapferkeit, Magdeburg Mus. 2211</t>
  </si>
  <si>
    <t xml:space="preserve">Danke Predigt an dem erfreulichen Friedens-Fest,</t>
  </si>
  <si>
    <t xml:space="preserve">Res/Bavar. 5199 a (1)</t>
  </si>
  <si>
    <t xml:space="preserve">Schelhorn, Johann Georg</t>
  </si>
  <si>
    <t xml:space="preserve">5-16</t>
  </si>
  <si>
    <t xml:space="preserve">welches in Memmingen Anno 1763. den 27. April feyerlich begangen worden, in der Haupt-Kirche zu St. Martin gehalten von D. Johann Georg Schelhorn, Superintendenten.</t>
  </si>
  <si>
    <t xml:space="preserve">Danke Predigt an dem erfreulichen Friedens-Fest,, Res/Bavar. 5199 a (1)</t>
  </si>
  <si>
    <t xml:space="preserve">Librettist
Herausgeber
Verleger</t>
  </si>
  <si>
    <t xml:space="preserve">Zimmermann, Joachim Johann Daniel
Kohl, Johann Peter
Herold, Christian, I.</t>
  </si>
  <si>
    <t xml:space="preserve">10732454-002</t>
  </si>
  <si>
    <t xml:space="preserve">http://www.mdz-nbn-resolving.de/urn/resolver.pl?urn=urn:nbn:de:bvb:12-bsb10122845-2</t>
  </si>
  <si>
    <t xml:space="preserve">S. 68-78</t>
  </si>
  <si>
    <t xml:space="preserve">Poesie der Nieder-Sachsen</t>
  </si>
  <si>
    <t xml:space="preserve">http://friedensbilder.gnm.de/sites/default/files/bsb10122845_00075.jpg
http://friedensbilder.gnm.de/sites/default/files/bsb10122845_00076.jpg
http://friedensbilder.gnm.de/sites/default/files/bsb10122845_00087.jpg
http://friedensbilder.gnm.de/sites/default/files/bsb10122845_00088.jpg
http://friedensbilder.gnm.de/sites/default/files/bsb10122845_00089.jpg
http://friedensbilder.gnm.de/sites/default/files/bsb10122845_00090.jpg</t>
  </si>
  <si>
    <t xml:space="preserve">P.o.germ. 1558 a-5/6</t>
  </si>
  <si>
    <t xml:space="preserve">Georg Philipp Telemann (1681–1767) hat für das alljährliche Festmahl der Hamburger Bürgerkapitäne zahlreiche „Kapitänsmusiken“ geschrieben. Typisch für diese musikalische Darbietung ist ihre Polarisierung in „gutes“ und „böses“ Personal. Im vorliegenden Stück, der auf das Oratorium folgenden Serenata, deren Libretto vom Hamburger Theologen Joachim Johann Daniel Zimmermann (1710–1766) stammt, stehen die allegorischen Figuren Der Friede (Sopran), Die Freude (Tenor) und Das Glück (Bass) dem Eigennutz (Sopran), der Untreue (Alt) und der Herrschsucht (Bass) gegenüber. Die negativ konnotierten, feindlichen Figuren fordern die positiven durch Gewalt, Krieg und Verwüstung heraus. Letztendlich siegen das Gute und der Friede.Bereits der Eingangschor der Serenata (aus der zweiteiligen Bürgerkapitänsmusik) rühmt den nach Kampf und Sieg eingetretenen Frieden. Im nachfolgenden Rezitativ „Erquicke dich, geliebtes Land“, das der personifizierte Friede selbst singt, werden Gott und Karl VI. als Friedensbringer gerühmt. Das Stück stellt folglich eine enge Verbindung zur zeitgenössischen Politik her, in der Hamburg – obwohl es den Status einer reichsunmittelbaren Stadt hat – vielfach von kriegerischen Auseinandersetzungen und den Auswirkungen der Kriege bedroht wird. Der Schlusschor betont abschließend die unbändige Freude über den Frieden und die besondere Situation Hamburgs, das „nur von Ferne das Kriegesgetümmel“ zu spüren bekommt. Das solchermaßen befriedete Deutschland wird zum Garanten für Hamburgs Wohlergehen und Glück.Die Musik dieser Serenata ist&amp;nbsp;für 2 Soprane, Alt, Tenor, 2 Bässe, vierstimmigen Chor, Flauto piccolo, Violino solo, 2 Violoncelli soli, Streicher und Generalbass komponiert.&amp;nbsp;Telemann experimentiert hier mit musikalischen Illustrationen des Friedens. In der Arie Nr. 3, „Entledigt, ihr Helden, die streitbaren Hände“, deutet er den Frieden vorrangig als Ruhezustand, zu dessen Veranschaulichung er Triolenläufe, Triller, gehaltene Ruhenoten und Generalpausen nutzt. Bereits im dazugehörigen Librettotext finden sich mit den Bildern „Lorbeer“, „Palmen“ oder „Schwerter zu Pflugscharen“ zentrale Topoi der Friedensdarstellung. Musikalisch zeichnet Telemann den scharfen Stahl der Schwerter figürlich durch melismatische Sechzehntel- und Zweiundreißigstel-Bewegungen nach und verweist mit dieser musikalischen Vorstellung von Kriegsgerät zugleich auf dessen neue Funktion als Friedensinstrument („und lasset die Säbel zu Sicheln verschmieden“).Den Abschluss des ersten freudigen Teils der Serenata bildet der Chor der Schäfer, dessen mit „Pastorel“ überschriebener Satz in Es-Dur den Bezug zur arkadischen Ideallandschaft herstellt, die in der Musik durch Hirten, Nymphen, Flöten, Tänze und Echoeffekte vorgestellt wird. Der dazugehörige Vokalsatz ist homophon, deklamierend, mit einer melismatischen Melodielinie im Sopran über langgehaltenen Liegetönen, welche die Friedensruhe illustrieren.SEH</t>
  </si>
  <si>
    <t xml:space="preserve">https://friedensbilder-neu.gnm.de/sites/default/files/2019-06/P.o.germ_.-1558-a-5_6-(2)_0.png</t>
  </si>
  <si>
    <t xml:space="preserve">http://friedensbilder.gnm.de/content/frieden_object16cd73</t>
  </si>
  <si>
    <t xml:space="preserve">http://friedensbilder.gnm.de/content/frieden_foto_order1e7d94</t>
  </si>
  <si>
    <t xml:space="preserve">Vermischet euch, ihr Jubel–Tone</t>
  </si>
  <si>
    <t xml:space="preserve">P.o.germ. 1558 a-5/6 (1)</t>
  </si>
  <si>
    <t xml:space="preserve">Komponist
Librettist
Herausgeber
Verleger</t>
  </si>
  <si>
    <t xml:space="preserve">Telemann, Georg Philipp
Zimmermann, Joachim Johann Daniel
Kohl, Johann Peter
Herold, Christian, I.</t>
  </si>
  <si>
    <t xml:space="preserve">Menke 1995
Neubacher 2009</t>
  </si>
  <si>
    <t xml:space="preserve">S. 54
S. 479</t>
  </si>
  <si>
    <t xml:space="preserve">S. 5–11</t>
  </si>
  <si>
    <t xml:space="preserve">Als Des / Allerdurchlauchtigsten, Großmächtigsten / Kaysers, Groß–Zaaren, und Herrn, / Herr / Petri Alexowiz, / Des Grossen, Klein– und Weiß–Rußlandes / Selbst–Halters etc. / Hochbetrauter Minister, Hoff–Raht und Resident / im Nider–Sächsischen Crayse / Herr / Johann Friederich / von Bötticher, / Den mit Allerhöchstgedachter Sr. Groß-/ Zaaris. Maj. und der Cron Schweden / Getroffenen Frieden / Mit einem angestelleten Freuden–Fest / den 22. Ooct./2. Nov. 1721. in Hamburg feierte.</t>
  </si>
  <si>
    <t xml:space="preserve">http://friedensbilder.gnm.de/sites/default/files/bsb10122845_00023.jpg
http://friedensbilder.gnm.de/sites/default/files/bsb10122845_00024.jpg
http://friedensbilder.gnm.de/sites/default/files/bsb10122845_00025.jpg
http://friedensbilder.gnm.de/sites/default/files/bsb10122845_00029.jpg</t>
  </si>
  <si>
    <t xml:space="preserve">Zu Feiern von Friedensschlüssen hat Georg Philipp Telemann (1681–1767)&amp;nbsp;mehrfach Werke beigesteuert. Gleich in seinem ersten Hamburger Jahr komponiert er die weltliche Kantate „Vermischet euch, ihr Jubel-Tone“ (TVWV 13:4) zum Friedensschluss zwischen Russland und Schweden. Der Text stammt von Telemann selbst. Die vom Auftraggeber finanzierte Aufführung der Serenata findet am 2. November 1721 im Rahmen eines Freudenfestes im Hause des russischen Residenten Johann Friederich von Bötticher in Hamburg statt. Während Telemanns Musik als verloren zu gelten hat, ist die Dichtung in Christian Friedrich Weichmanns „Poesie der Nieder-Sachsen“, Bd. 5, Hamburg 1738, S. 5–11, überliefert.Im Text der Serenata lassen die beiden Protagonisten Russland und Schweden nochmals die Kriegszeit Revue passieren, ehe sie den Frieden anrufen und preisen. Dazu nutzen sie weit verbreitete Friedens-Topoi wie den Ölzweig, die Vorstellung vom Aufblühen der Wissenschaften in Friedenszeiten und das Bild eines himmlischen Friedensbandes.SEH</t>
  </si>
  <si>
    <t xml:space="preserve">Vermischet euch, ihr Jubel–Tone, P.o.germ. 1558 a-5/6 (1)
Vermischet euch, ihr Jubel–Tone, P.o.germ. 1558 a-5/6 (1)</t>
  </si>
  <si>
    <t xml:space="preserve">https://friedensbilder-neu.gnm.de/sites/default/files/2019-06/P-o-germ_1558-a-5_6-(1)_1.png</t>
  </si>
  <si>
    <t xml:space="preserve">Vermischet euch, ihr Jubel–Tone
Vermischet euch, ihr Jubel–Tone</t>
  </si>
  <si>
    <t xml:space="preserve">http://friedensbilder.gnm.de/content/frieden_foto_order1e7d1c</t>
  </si>
  <si>
    <t xml:space="preserve">La Pace di Mercurio. Cantata in Bolzano</t>
  </si>
  <si>
    <t xml:space="preserve">Corniani Algarotti Racc. Dramm. 5974</t>
  </si>
  <si>
    <t xml:space="preserve">Moroni</t>
  </si>
  <si>
    <t xml:space="preserve">Nella stamperia Moroni</t>
  </si>
  <si>
    <t xml:space="preserve">Verona</t>
  </si>
  <si>
    <t xml:space="preserve">http://www.urfm.braidense.it/rd/05974.pdf</t>
  </si>
  <si>
    <t xml:space="preserve">http://friedensbilder.gnm.de/sites/default/files/Antiporta RACC. DRAMM. 5974.jpg
http://friedensbilder.gnm.de/sites/default/files/Frontespizio RACC. DRAMM. 5974.jpg</t>
  </si>
  <si>
    <t xml:space="preserve">Die Kantate, die erst kürzlich das erste Mal aufgeführt wurde, steht mit der Hochzeit von Fürst Leopold&amp;nbsp;II. von Habsburg-Lothringen, dem dritten Sohn des Kaisers und künftigen Großherzog der Toskana, mit der spanischen Infantin Maria Ludovica von Bourbon (Tochter von Karl III. und Maria Amalia von Sachsen) in Zusammenhang. Zwischen den europäischen Höfen herrscht Frieden (der 1763 unterschrieben und gefeiert wurde), und der kaiserliche Hof bereitet sich auf eine Reise durch Italien vor, bei der, nach der Überquerung der Alpen, eine Station in Bozen vorgesehen ist. Der Merkantilmagistrat von Bozen beginnt, nachdem er im März 1765 von der Reise erfahren hat, mit der Vorbereitung großer Festlichkeiten während des Bartholomäusmarktes, denn die Stadt möchte den Wiener Hof angemessen empfangen. Der bekannte Bologneser Librettist Zaccaria Betti (1732–1788) wird beauftragt, den Text zu verfassen, und die Musik wird dem berühmten neapolitanischen Komponisten Tommaso Traetta (1727–1779) übertragen. Leider macht der plötzliche Tod des Kaisers und der damit einhergehende Verzicht auf die offizielle Reise die Bemühungen Bozens zunichte, aber die Kantate bietet uns heute ein wunderbares Beispiel für die Freuden der Friedenszeit: der Frieden von Merkur, der Bote des Friedens und – als Gottheit des Handels und der industriellen Arbeit – zugleich ein Symbol des Friedens ist.
Die Figuren des Werks sind Marte (Mars), der Kriegsgott, den der aus Bologna stammende Sänger Giuseppe Tibaldi darstellt, Minerva, die Göttin der Wissenschaften, die von der venezianischen Sopranistin Camilla Mattei gesungen wird, sowie Mercurio (Merkur), der Gott des Handels, verkörpert vom neapolitanischen Sänger Andrea Grassi. Merkur beklagt die Vergeblichkeit: Seine Friedensbotschaft ist nichtig in einer Welt, die den Künsten des Mars und der Minerva ergeben und in den Banden Amors gefangen ist. Aber Minerva und Marte zeigen Mercurio, welche Früchte des Friedens Italien und Europa genießen und auch in der Zukunft noch erwarten dürfen, gerade dank der Liebe, die das frischvermählte Paar verbindet, das zudem ausersehen ist, zwei Kronen in Frieden und Gerechtigkeit zu einen und an den Ufern des Arno zu regieren. Und so kann Merkurs Friedensbotschaft wieder erklingen, verstärkt von der Trompete der Fama. Der Stich, der dem Titelblatt vorausgeht, illustriert die Botschaft des Werks: Der geflügelte Merkur schwebt über der Szene und erhebt seinen Caduceus, das Friedenssymbol, über den Wappen der beiden Herrscherfamilien Bourbon und Habsburg, denen Mars und Minerva zur Seite stehen. Die Vignette zeigt die Stadt Bozen.
CP
</t>
  </si>
  <si>
    <t xml:space="preserve">La pace di Mercurio, Corniani Algarotti Racc. Dramm. 5974</t>
  </si>
  <si>
    <t xml:space="preserve">https://friedensbilder-neu.gnm.de/sites/default/files/2019-06/RACC-DRAMM_0.png
https://friedensbilder-neu.gnm.de/sites/default/files/2019-06/RACC-DRAMM-1_0.png</t>
  </si>
  <si>
    <t xml:space="preserve">La pace di Mercurio</t>
  </si>
  <si>
    <t xml:space="preserve">http://friedensbilder.gnm.de/content/frieden_foto_order1df626</t>
  </si>
  <si>
    <t xml:space="preserve">La Pace e la Discordia. cantata a due voci </t>
  </si>
  <si>
    <t xml:space="preserve">VOL MISC.1245 10</t>
  </si>
  <si>
    <t xml:space="preserve">Komarek, Paolo</t>
  </si>
  <si>
    <t xml:space="preserve">Nella stamperia di Paolo Komarek al Corso</t>
  </si>
  <si>
    <t xml:space="preserve">https://books.google.it/books?id=exytpacnkgUC&amp;printsec=frontcover&amp;dq=in+occasione+della+felice+nascita+di+cesare&amp;hl=it&amp;sa=X&amp;ved=0ahUKEwiV2NGim7vXAhUGWRoKHY0sDWcQ6AEIJzAA#v=onepage&amp;q=in%20occasione%20della%20felice%20nascita%20di%20cesare&amp;f=false</t>
  </si>
  <si>
    <t xml:space="preserve">ROLANDI      VALENTINI A-Z</t>
  </si>
  <si>
    <t xml:space="preserve">In occasione della felice nascita di Cesare Augustissimo Imperatore Gioseppe I.</t>
  </si>
  <si>
    <t xml:space="preserve">La pace e la discordia. Cantata a due voci., VOL MISC.1245 10</t>
  </si>
  <si>
    <t xml:space="preserve">La pace e la discordia. Cantata a due voci.</t>
  </si>
  <si>
    <t xml:space="preserve">Konventionstaler auf die Bewahrung des Friedens</t>
  </si>
  <si>
    <t xml:space="preserve">Med Merkel 1.7.35</t>
  </si>
  <si>
    <t xml:space="preserve">Prägung</t>
  </si>
  <si>
    <t xml:space="preserve">Münzwardein
Münzmeister
Medailleur</t>
  </si>
  <si>
    <t xml:space="preserve">Scholz, Sigmund
Riedner, Georg Nikolaus
Loos, Karl-Friedrich</t>
  </si>
  <si>
    <t xml:space="preserve">Imhoff 1780–1782
Davenport 1965
Aukt. Kat. Slg. Erlanger 1989
Kellner 1957</t>
  </si>
  <si>
    <t xml:space="preserve">Bd. II, S. 243, Nr. 160
S. 224, Nr. 2490
Bd. I, S. 68, Bd. II, S. 28, Nr. 715
S. 127-131, Nr. 281</t>
  </si>
  <si>
    <t xml:space="preserve">41
27,91</t>
  </si>
  <si>
    <t xml:space="preserve">Monogramm
Künstlersignatur</t>
  </si>
  <si>
    <t xml:space="preserve">S.S.G.N.R.
Loos</t>
  </si>
  <si>
    <t xml:space="preserve">im Abschnitt
auf der Abschnittlinie</t>
  </si>
  <si>
    <t xml:space="preserve">FRANCISCVS.D.G.ROM.IMP.SEMP.AVG.
DOMINE CONSERVA NOS IN PACE
X.St.E.F.MARK 1765</t>
  </si>
  <si>
    <t xml:space="preserve">Der Avers präsentiert dem Betrachter eine weibliche Figuration in antikischer Gewandung, die mit der linken Hand einen Ölzweig umschließt, mit der Rechten eine Hand voll Korn in ein Opferfeuer gibt und von einer Stadtmauer bekrönt ist. Am girlandenversehenen Altar mit kleinem Rauchfass, lehnt das dritte Wappen[fn]So im Wortlaut bei Imhoff 1780-1782, Bd. I, S. 243.[/fn] der Stadt Nürnberg, welches die Figur als Personifikation eben dieser Stadt kennzeichnet. Sie opfert etwas von dem in Friedenszeiten erwirtschafteten Korn, damit dieser fortbestehe. Diese vom Christentum adaptierte Antikenikonografie spiegelt sich auch in der Umschrift wieder: Erhalte uns den Frieden, o Herr.Eine konkretere Anspielung, welcher Frieden gemeint ist, findet sich bei der Verwendung des Münzstempels zwei Jahre zuvor, der mit ursprünglich anderer Umschrift zum Friedensschluss von Hubertusburg verausgabt wurde.[fn]Vgl. dazu Kellner 1957, S. 131.[/fn]&amp;nbsp;Auch der Revers wurde bereits 1763 für die Hubertusburger Münze verwendet. Er zeigt den zweiköpfigen Reichsadler mit Nimben, darüber die Kaiserkrone schwebend, in den Fängen Schwert und Zepter sowie das bekrönte Wappen auf der Brust. Dieses weist sowohl das lothringische als auch das toskanisch-mediceische Muster auf, da Kaiser Franz Stephan I. von Lothringen seit 1737 auch Großherzog der Toskana war. Darüber hinaus ist das Wappen mit dem Orden des goldenen Vlies', sowie mit dem St. Stephans-Orden behangen, einem Orden, den einst Großherzog Cosimo de' Medici ins Leben gerufen hatte.Ganz außen schließt die Münze mit einem gekörnten Kreis ab, ein gelungener Übergang zur Laubwerkrändelung.MATW</t>
  </si>
  <si>
    <t xml:space="preserve">X. St.(ück) E.(ine) F.(eine) MARK1765S.(igmund) S.(cholz) G.(eorg) N.(ikolaus) R.(iedner)&amp;nbsp;FRANCISVS D.(ei) G.(ratia) ROM.(anorum) IMP.(erator) SEMP.(er) AVG.(ustus)Franz von Gottes Gnaden römischer Kaiser, der allzeit erhabene</t>
  </si>
  <si>
    <t xml:space="preserve">http://friedensbilder.gnm.de/sites/default/files/MedMerkel1.7.35vs.tif
http://friedensbilder.gnm.de/sites/default/files/MedMerkel1.7.35rs.tif
http://friedensbilder.gnm.de/sites/default/files/MedMerkel1.7.35s.tif</t>
  </si>
  <si>
    <t xml:space="preserve">Konventionstaler auf die Bewahrung des Friedens Vorderseite, Med Merkel 1.7.35
Konventionstaler auf die Bewahrung des Friedens Rückseite, Med Merkel 1.7.35</t>
  </si>
  <si>
    <t xml:space="preserve">Konventionstaler auf die Bewahrung des Friedens Vorderseite
Konventionstaler auf die Bewahrung des Friedens Rückseite</t>
  </si>
  <si>
    <t xml:space="preserve">http://friedensbilder.gnm.de/content/frieden_foto_order204f5d</t>
  </si>
  <si>
    <t xml:space="preserve">Nordlinger Friedens-Denckmal</t>
  </si>
  <si>
    <t xml:space="preserve">Med Merkel 5.2.61</t>
  </si>
  <si>
    <t xml:space="preserve">Dethlefs 1996
Ausst. Kat. Münster 1988a
Pax in Nummis 1913
Appel 1820-1829
Ausst. Kat. Stockholm 1948</t>
  </si>
  <si>
    <t xml:space="preserve">S. 102
S. 159, Nr. 137
Teil 2, S. 8, Nr. 1154
Bd. IV, Abtheilung II, S. 637, Nr. 2276
Nr. 331</t>
  </si>
  <si>
    <t xml:space="preserve">30
3,47</t>
  </si>
  <si>
    <t xml:space="preserve">Umschrift
Inschrift </t>
  </si>
  <si>
    <t xml:space="preserve">16 50. NORD- LINGER. FRIED- ENS.
DENCK.MAL
DER.SÜND BE-REÜUNG PRI-NGT FRIDS. ERFREIUNG.</t>
  </si>
  <si>
    <t xml:space="preserve">Auf dem Avers der goldenen Klippe prangt der Doppeladler mit Nördlinger Wappen. Die Köpfe des Greifvogels sind nimbiert und über diesen schwebt die Kaiserkrone. Die Um- und Inschriften umgeben das Wappentier und lassen den Anlass der Klippe erkennen, sie huldigt dem Nördlinger Friedensdenkmal von 1650.Die Rückseite zeigt das zu jener Zeit häufig geprägte Motiv der Arche Noah. Zentral im oberen Zwickel der Klippe befindet sich die von rechts kommende Taube, welche den Ölzweig bringt. Anders als in den meisten Medaillen mit dem Arche-Motiv, handelt es sich hier um ein schmuckloses hölzernes Schiff&amp;nbsp; mit dachförmigem Bug- oder Heckausbau, keine Giebel, keine Wappen und auch keine Ornamente zieren die Arche.Die sogenannte Nördlinger Friedensklippe ist im Kontext des Westfälischen Friedens zu sehen. Sie wurden 1650, vermutlich in Folge des erfolgreich verabschiedeten Nürnberger Exekutionstages in Auftrag gegeben. Nördlingen hatte am Ende des 30-jährigen Krieges eine wichtige Rolle gespielt, da die schwedischen Truppen hier erstmals von den Kaiserlichen geschlagen werden konnten. Das selbstgesetzte Friedensdenkmal in Form der Klippe wurde bei dem reichsstädtischen Friedensdankfest an die Bevölkerung verteilt.[fn]In Nördlingen und auch in anderen Städten “wurden die Gedächtnismünzen sogar an die Schuljugend verteilt, um die Friedensfreude in die nächste Generation weiterzuvermitteln.”&amp;nbsp;Dethlefs 1996, S. 102[/fn]MATW</t>
  </si>
  <si>
    <t xml:space="preserve">http://friedensbilder.gnm.de/sites/default/files/MedMerkel5.2.61vs.tif
http://friedensbilder.gnm.de/sites/default/files/MedMerkel5.2.61rs.tif</t>
  </si>
  <si>
    <t xml:space="preserve">Nordlinger Friedens-Denckmal, Vorderseite, Med Merkel 5.2.61
Nordlinger Friedens-Denckmal, Rückseite, Med Merkel 5.2.61</t>
  </si>
  <si>
    <t xml:space="preserve">Nordlinger Friedens-Denckmal, Vorderseite
Nordlinger Friedens-Denckmal, Rückseite</t>
  </si>
  <si>
    <t xml:space="preserve">http://friedensbilder.gnm.de/content/frieden_foto_order205007</t>
  </si>
  <si>
    <t xml:space="preserve">Ewiges Andenken, des am 15ten Febr. 1763. zwischen Sr. May: dem König in Preußen, Friedrich den Grossen, Sr. May: der Römisch. Kayseren Königin, und des Königs von Pohlen May. Als Churfürsten von Sachsen, in Hubertusburg geschlossenen Friedens</t>
  </si>
  <si>
    <t xml:space="preserve">Einbl. YB 8940 m</t>
  </si>
  <si>
    <t xml:space="preserve">Glassbach, Christian Benjamin</t>
  </si>
  <si>
    <t xml:space="preserve">http://digital.staatsbibliothek-berlin.de/werkansicht?PPN=PPN898588405&amp;PHYSID=PHYS_0001&amp;DMDID=DMDLOG_0001</t>
  </si>
  <si>
    <t xml:space="preserve">44 x 29,2</t>
  </si>
  <si>
    <t xml:space="preserve">Ewiges Andenken, des am 15ten Febr. 1763. zwischen Sr May: dem Königin Preussen, Friedrich den Großen, Sr May: der Römisch:Kayserin Königin,und des Königs in Pohlen May: als Churfürsten zu Sachsen, in Hubertusburggeschlossenen Friedens.So mußte Hubertusburg, der Welt dies Glück bereiten:Heut hat der Mächtigste, die Mächtigen versöhnt.-Der unbesiegte Held, der Größte aller Zeiten,Ist zur Unsterblichkeit, vom Ewigen gekrönt:Es hat Ihn, nie der Feind; Er hat sich selbst besieget.-Er lebe Friedrich! Zum spätsten Spiel vergnüget.MATW</t>
  </si>
  <si>
    <t xml:space="preserve">http://friedensbilder.gnm.de/sites/default/files/Einblatt YB 8940 m.tif</t>
  </si>
  <si>
    <t xml:space="preserve">Ewiges Andenken, des am 15ten Febr. 1763. zwischen Sr. May: dem König in Preußen, Friedrich den Grossen, Sr. May: der Römisch. Kayseren Königin, und des Königs von Pohlen May. Als Churfürsten von Sachsen, in Hubertusburg geschlossenen Friedens, Einbl. YB 8940 m</t>
  </si>
  <si>
    <t xml:space="preserve">Fridericus Rex Borussia Elector Brandeburg</t>
  </si>
  <si>
    <t xml:space="preserve">Einbl. YB 8948 m</t>
  </si>
  <si>
    <t xml:space="preserve">um 1763</t>
  </si>
  <si>
    <t xml:space="preserve">http://digital.staatsbibliothek-berlin.de/werkansicht?PPN=PPN83498976X&amp;PHYSID=PHYS_0001&amp;DMDID=DMDLOG_0001</t>
  </si>
  <si>
    <t xml:space="preserve">30,5 x 42,5</t>
  </si>
  <si>
    <t xml:space="preserve"> Friedrichs nach dem den 15. Febr. 1763 zu Hubertsburg erfolgten Frieden erfreulicher Einzug zu Berlin den 30 Mertz </t>
  </si>
  <si>
    <t xml:space="preserve">Iohann Lorenz Rugendas inv., fec. et exc. Aug. Vind.</t>
  </si>
  <si>
    <t xml:space="preserve">83498976X</t>
  </si>
  <si>
    <t xml:space="preserve">coloriert</t>
  </si>
  <si>
    <t xml:space="preserve">FRIDERICUS REXFriedrichs nach dem den 15. Febr. 1763. zu Hubertusburg erfolgten Frieden erfreulicher Einzug zu Berlin den 30. MertzIhr Völker freuer auch, der schwere Krieg ist aus!Streut Blumen auf den Weg der König kommt nach HausDie Kriegs Trompete schweigt. Er wird die Flöten fassenUnd ein erhaben Lied von neuem hören lassen.Die Weisheit eilt ihm zu die immer um ihn war.Die Staaten bringen ihm getreue Herzen darDer Kaufmann Geistliche des weisen Rathes GliederDie Bürger und voraus des Helden werthe Brüder,Die alte Krieger stehn und beten ihn fast an.Das Volk eilt froh hinzu. Es lauft, was laufen kan.Wer gehen kan, der geht und bleibt erstaunet stehen,Des Helden Angesicht und Einzug anzusehen.O Freude deines Volkes! o König, sey gegrüsst!Zeuch nie mehr aus in Krieg, weil Friede besser ist!&amp;nbsp;Borussia Elector Brandeburg.Friderici post pacem Hubertiburgicam factam 1763. di 15. Febr. in Urbem suam Berolinum d. 30 Mart desideratus reditus.Rex redit et copias reducit. Date lilia plenis,Ferte rosas calathis! laetam Rex tendit in UrbemIam tuba, Martis opus, taceat jam cantet avenaIam redat dulcis numero plaudente PoesisDesertis reddat Regem sapientia lucisCorda tuae tibi fida feriore ardentia terraeStat Mercator amans lucri sacer Ordo Senatus,Opifices cumque his defuncti munere belliQuos pater ut teneros natos cur atque fovetque.Turba animosa ruit, pueri innuptaeque puellaeSedibus excitae pensa imperfecta relinquunt,Immotisque oculis arrectisque auribus adstant.Salve deliciae! Salve populique voluptas!Bella valere tube, pacemque amplectere totus.MATW</t>
  </si>
  <si>
    <t xml:space="preserve">http://friedensbilder.gnm.de/sites/default/files/PPN83498976X_00000001.tif</t>
  </si>
  <si>
    <t xml:space="preserve">Fridericus Rex Borussia Elector Brandeburg, Einbl. YB 8948 m</t>
  </si>
  <si>
    <t xml:space="preserve">DeVs nobIs hanC paCem gratIose LargItVr</t>
  </si>
  <si>
    <t xml:space="preserve">Einbl. YB 8956 kl</t>
  </si>
  <si>
    <t xml:space="preserve">http://digital.staatsbibliothek-berlin.de/werkansicht?PPN=PPN898582237&amp;PHYSID=PHYS_0001&amp;DMDID=DMDLOG_0001</t>
  </si>
  <si>
    <t xml:space="preserve">12,5 x 15</t>
  </si>
  <si>
    <t xml:space="preserve">898582237 </t>
  </si>
  <si>
    <t xml:space="preserve">DeVs nobIs hanC paCeM gratIoseLargItVr.Nun wird der Friedens Bund demReiche kund gemacht,Den Wien und auch Berlin beglückt zuStandt gebracht:Hier zeigt sich das Schloss, der Siz,der Friedens Götter,Der Hohen Mächte Burg, des Vater-landes Retter.Und so vereinigt sich aufs neu derOfficierMit ganz besonderm Reiz, entzücken,der Begier.MATW</t>
  </si>
  <si>
    <t xml:space="preserve">http://friedensbilder.gnm.de/sites/default/files/Einblatt YB 8956 kl.tif</t>
  </si>
  <si>
    <t xml:space="preserve">DeVs nobIs hanC paCem gratIose LargItVr, Einbl. YB 8956 kl</t>
  </si>
  <si>
    <t xml:space="preserve">Das Vom Himmel gnädigst erfüllte Friedens-Prognosticon Unterwunde sich Dem Durchlauchtigste Hertzog und Herrn, Herrn Ferdinand Albrecht, Hertzogen zu Braunschweig und Lüneburg, Jhr. Kays. Majest. Höchstbestalltem General-Feld-Zeugmeister und Gouverneur in Comorrha [et]c. [et]c. Als Sr. Durchl. Nicht nur gesund aus Hungarn wiederkamen, sondern auch von dannen den zu Passarowitz zwischen Allerhöchstgedachten Kayserl. Majest. und dem Türckischen Sultan aufgerichteten Frieden mit brachten, </t>
  </si>
  <si>
    <t xml:space="preserve">G3:M26</t>
  </si>
  <si>
    <t xml:space="preserve">Müller, Samuel Albert
Keitel, Arnold Jacob</t>
  </si>
  <si>
    <t xml:space="preserve">43 x 32</t>
  </si>
  <si>
    <t xml:space="preserve">Durch nachgesetztes geringes Sonnet ... glückwünschend zu Gemüthe führen Samvel Albertvs Müller.</t>
  </si>
  <si>
    <t xml:space="preserve">GND-Verknüpfung zu Müller geht nicht&amp;nbsp;</t>
  </si>
  <si>
    <t xml:space="preserve">Das Vom Himmel gnädigst erfüllte Friedens-Prognosticon, G3:M26</t>
  </si>
  <si>
    <t xml:space="preserve">Das Vom Himmel gnädigst erfüllte Friedens-Prognosticon</t>
  </si>
  <si>
    <t xml:space="preserve">Als zum Gedächtniß des von Seiner Kayserl. Majestät glücklich geendigten Ungarischen Krieges, und am 21. Iulii 1718. Mit der Ottomanischen Pforte zu Passarowitz getroffenen Friedens, Hildebrand Heinrich Herbst aus Goslar den 30. Dec. itzt besagten Jahres auf der Univesität Helmstedt, im grossen Juleo eine lateinische Rede hielte, sind dabey folgende zwey Cantaten musiciret worden</t>
  </si>
  <si>
    <t xml:space="preserve">H: Q 164.2° Helmst. (40)</t>
  </si>
  <si>
    <t xml:space="preserve">Herbst, Hildebrand Heinrich
Hamm, Hermann Daniel</t>
  </si>
  <si>
    <t xml:space="preserve">http://diglib.hab.de/drucke/q-164-2f-helmst-40s/start.htm</t>
  </si>
  <si>
    <t xml:space="preserve">http://diglib.hab.de/drucke/q-164-2f-helmst-40s/00001.jpg</t>
  </si>
  <si>
    <t xml:space="preserve">Als zum Gedächtniß des von Seiner Kayserl. Majestät glücklich geendigten Ungarischen Krieges, und am 21. Iulii 1718. Mit der Ottomanischen Pforte zu Passarowitz getroffenen Friedens, H: Q 164.2° Helmst. (40)</t>
  </si>
  <si>
    <t xml:space="preserve">Als zum Gedächtniß des von Seiner Kayserl. Majestät glücklich geendigten Ungarischen Krieges, und am 21. Iulii 1718. Mit der Ottomanischen Pforte zu Passarowitz getroffenen Friedens</t>
  </si>
  <si>
    <t xml:space="preserve">Allegorie auf den Frieden von Lunéville</t>
  </si>
  <si>
    <t xml:space="preserve">Hz 6988 </t>
  </si>
  <si>
    <t xml:space="preserve">Zeichnung
Lavierung</t>
  </si>
  <si>
    <t xml:space="preserve">Pinsel
Bleistift
Aquarellfarbe</t>
  </si>
  <si>
    <t xml:space="preserve">Weitsch, Friedrich Georg</t>
  </si>
  <si>
    <t xml:space="preserve">Lacher 2003
Toelken 1928
Nagler Künstlerlexikon</t>
  </si>
  <si>
    <t xml:space="preserve">S. 292-293, Nr. W288
S. 197
Bd. XXI, S. 270</t>
  </si>
  <si>
    <t xml:space="preserve">38,1 x 25,2
41,5 x 29</t>
  </si>
  <si>
    <t xml:space="preserve">Deutschland vom Frieden getröstet</t>
  </si>
  <si>
    <t xml:space="preserve">F.G.Weitsch inv. et. fec 1801</t>
  </si>
  <si>
    <t xml:space="preserve">unten links</t>
  </si>
  <si>
    <t xml:space="preserve">Die lavierte Zeichnung präsentiert dem Betrachter die links am Bildrand unter einer unbelaubten Eiche sitzende Germania, die von drei weiteren Figuren besucht und aufgemuntert wird:&amp;nbsp;Pax&amp;nbsp;und&amp;nbsp;Abundantia&amp;nbsp;mit einem Putto. Noch lehnt die deutsche Personifikation der aufkeimenden Nationalromantik an einem Parapetto mit dem Wappen des doppelköpfigen Reichsadlers, das Zepter in der aufgestützten Hand, die Krone auf dem Kopf. Doch schon fasst&amp;nbsp;Pax&amp;nbsp;sie&amp;nbsp;am linken Arm, zeigt ihr den Olivenzweig und bedeutet ihr sich zu erheben. Flankiert wird die&amp;nbsp;Hoffnung&amp;nbsp;vom&amp;nbsp;Überfluss, der ihr mit einem reich bestückten Füllhorn folgt und der noch jungen Tatkraft in Form einer Putte, die mit einem massiven Pflug zu großen Taten schreiten will. Germania wirkt positiv überrascht, aus ihrer melancholischen Haltung aufgeweckt, weiß sie nicht ganz wie ihr geschieht. Doch der in den Wolken fliegende Genius mit der weißbeflaggten Posaune verkündet bereits den Frieden über dem Land, das zu neuer Blüte erwacht. Im Hintergrund finden sich Pflanzer, welche ihre Schößlinge an Stäben hochziehen, ein Sämann, der sein Feld bestellt und ein pflügender Bauer, der die Erde bearbeitet. Über der dahinter liegenden Ortschaft erstreckt sich ein Regenbogen, der am rechten Bildrand seinen Anfang nimmt. So darf auch Germania wieder Hoffnung schöpfen, sitzen über ihr doch bereits zwei Turteltauben auf einem Ast, der von Neuem ergrünt.
Georg Friedrich&amp;nbsp;Weitsch&amp;nbsp;entwarf das Blatt vermutlich explizit als Vorlage für einen Schabstich&amp;nbsp;Johann Joseph Freidhoffs, der dem Blatt erst den Titel gab: ”Teutschland wird vom Frieden getröstet“ lautet die Bildunterschrift des Abdruckes in der Wiener Albertina.[fn]Vgl. Lacher 2003, S. 293.[/fn]
Hintergrund des Blattes ist das Ende des zweiten Koalitionskrieges zwischen Frankreich, Preußen, Österreich und dem gesamten HRR, das in den Frieden von Lunéville mündete. Lediglich die Auseinandersetzungen Frankreichs mit Großbritannien dauerten bis 1802 an.
MATW
</t>
  </si>
  <si>
    <t xml:space="preserve">http://friedensbilder.gnm.de/sites/default/files/Hz6988.tif</t>
  </si>
  <si>
    <t xml:space="preserve">Die lavierte Zeichnung präsentiert dem Betrachter die links am Bildrand unter einer unbelaubten Eiche sitzende Germania, die von drei weiteren Figuren besucht und aufgemuntert wird:&amp;nbsp;Pax&amp;nbsp;und&amp;nbsp;Abundantia&amp;nbsp;mit einem Putto. Noch lehnt die deutsche Personifikation der aufkeimenden Nationalromantik an einem Parapetto mit dem Wappen des doppelköpfigen Reichsadlers, das Zepter in der aufgestützten Hand, die Krone auf dem Kopf. Doch schon fasst&amp;nbsp;Pax&amp;nbsp;sie am linken Arm, zeigt ihr den Olivenzweig und bedeutet ihr sich zu erheben. Flankiert wird die&amp;nbsp;Hoffnung&amp;nbsp;vom&amp;nbsp;Überfluss, der ihr mit einem reich bestückten Füllhorn folgt und der noch jungen Tatkraft in Form einer Putte, die mit einem massiven Pflug zu großen Taten schreiten will. Germania wirkt positiv überrascht, aus ihrer melancholischen Haltung aufgeweckt, weiß sie nicht ganz wie ihr geschieht. Doch der in den Wolken fliegende Genius mit der weißbeflaggten Posaune verkündet bereits den Frieden über dem Land, das zu neuer Blüte erwacht. Im Hintergrund finden sich Pflanzer, welche ihre Schößlinge an Stäben hochziehen, ein Sämann, der sein Feld bestellt und ein pflügender Bauer, der die Erde bearbeitet. Über der dahinter liegenden Ortschaft erstreckt sich ein Regenbogen, der am rechten Bildrand seinen Anfang nimmt. So darf auch Germania wieder Hoffnung schöpfen, sitzen über ihr doch bereits zwei Turteltauben auf einem Ast, der von Neuem ergrünt.Hintergrund des Blattes ist das Ende des zweiten Koalitionskrieges zwischen Frankreich, Preußen, Österreich und dem HRR, das in den Frieden von Lunéville mündete. Lediglich die Auseinandersetzungen Frankreichs mit Großbritannien dauerten bis 1802 an.MATW</t>
  </si>
  <si>
    <t xml:space="preserve">Allegorie auf den Frieden von Lunéville, Hz 6988 </t>
  </si>
  <si>
    <t xml:space="preserve">https://friedensbilder-neu.gnm.de/sites/default/files/2019-06/Hz6988_0.png</t>
  </si>
  <si>
    <t xml:space="preserve">http://friedensbilder.gnm.de/content/frieden_foto_order1f9131</t>
  </si>
  <si>
    <t xml:space="preserve">Hendecasyllabum Gloriae &amp; Virtuti, Serenissimi Ac Potentissimi Principis &amp; Domini Dn. Gustavi Adolphi, Suecorum, Gothorum, Et Vandalorum Regis ... :</t>
  </si>
  <si>
    <t xml:space="preserve">A: 198.1 Hist. (7)</t>
  </si>
  <si>
    <t xml:space="preserve">23:238536Y</t>
  </si>
  <si>
    <t xml:space="preserve">http://diglib.hab.de/drucke/198-1-hist-7s/start.htm</t>
  </si>
  <si>
    <t xml:space="preserve"> Datum, dictatum, libatum. Anno Gustavvus Adolphus Dei gratia rex splendens</t>
  </si>
  <si>
    <t xml:space="preserve">821874713 </t>
  </si>
  <si>
    <t xml:space="preserve">http://diglib.hab.de/drucke/198-1-hist-7s/00001.jpg</t>
  </si>
  <si>
    <t xml:space="preserve">Hendecasyllabum Gloriae &amp; Virtuti, Serenissimi Ac Potentissimi Principis &amp; Domini Dn. Gustavi Adolphi, Suecorum, Gothorum, Et Vandalorum Regis ... :, A: 198.1 Hist. (7)</t>
  </si>
  <si>
    <t xml:space="preserve">Philadelphus Redivivus,</t>
  </si>
  <si>
    <t xml:space="preserve">H: 1247 Helmst. Dr. (1)</t>
  </si>
  <si>
    <t xml:space="preserve">Blech, Gregor
Stern, Heinrich</t>
  </si>
  <si>
    <t xml:space="preserve">23:260565L</t>
  </si>
  <si>
    <t xml:space="preserve">h.e. Ode Gratulatoria De Pace</t>
  </si>
  <si>
    <t xml:space="preserve">https://www.gbv.de/durl/ccf71a51-2d56-49f4-bc8b-139d7ce4d328?width=800</t>
  </si>
  <si>
    <t xml:space="preserve">Philadelphus Redivivus,, H: 1247 Helmst. Dr. (1)</t>
  </si>
  <si>
    <t xml:space="preserve">Concertata Pax Germaniae</t>
  </si>
  <si>
    <t xml:space="preserve">M: QuN 243 (5)</t>
  </si>
  <si>
    <t xml:space="preserve">23:251613U</t>
  </si>
  <si>
    <t xml:space="preserve">https://www.gbv.de/durl/0033a79e-ec98-486a-b06e-a0d4987f2078?width=800</t>
  </si>
  <si>
    <t xml:space="preserve">Sanctus, Sanctus, Sanctus, Jehovah Exercituum</t>
  </si>
  <si>
    <t xml:space="preserve">G3:A75</t>
  </si>
  <si>
    <t xml:space="preserve">Closius, Samuel
Stern, Heinrich</t>
  </si>
  <si>
    <t xml:space="preserve">Hueck 1982</t>
  </si>
  <si>
    <t xml:space="preserve">23:232103H</t>
  </si>
  <si>
    <t xml:space="preserve">https://www.gbv.de/vd17-cms/vd17_image_full_view?zuid=28e3e56b-c420-48f4-9e45-1a25926e2ac7</t>
  </si>
  <si>
    <t xml:space="preserve">https://www.gbv.de/durl/28e3e56b-c420-48f4-9e45-1a25926e2ac7?width=0</t>
  </si>
  <si>
    <t xml:space="preserve">Sanctus, Sanctus, Sanctus, Jehovah Exercituum, G3:A75</t>
  </si>
  <si>
    <t xml:space="preserve">Egeria festa teatrale </t>
  </si>
  <si>
    <t xml:space="preserve">Biblioteca e archivio. Civica raccolta delle stampe Achille Bertarelli</t>
  </si>
  <si>
    <t xml:space="preserve">4 A-C4 chi2</t>
  </si>
  <si>
    <t xml:space="preserve">In Vienna : nella stamperia di Ghelen</t>
  </si>
  <si>
    <t xml:space="preserve">Joly 1978
Mellace 2004
Chegai 2011</t>
  </si>
  <si>
    <t xml:space="preserve">S. 371–382
S. 132–135
S. 3–30</t>
  </si>
  <si>
    <t xml:space="preserve">Egeria festa teatrale, 4 A-C4 chi2</t>
  </si>
  <si>
    <t xml:space="preserve">Egeria festa teatrale</t>
  </si>
  <si>
    <t xml:space="preserve">Theatrum Palladium:</t>
  </si>
  <si>
    <t xml:space="preserve">Xb 5883 (1)</t>
  </si>
  <si>
    <t xml:space="preserve">Jacobus, Matthias
Gründer, Gottfried</t>
  </si>
  <si>
    <t xml:space="preserve">Baumannsche Druckerey</t>
  </si>
  <si>
    <t xml:space="preserve">14:650210D</t>
  </si>
  <si>
    <t xml:space="preserve">http://diglib.hab.de/drucke/xb-5883-1/start.htm</t>
  </si>
  <si>
    <t xml:space="preserve">http://diglib.hab.de/drucke/xb-5883-1/00001.jpg</t>
  </si>
  <si>
    <t xml:space="preserve">Theatrum Palladium:, Xb 5883 (1)</t>
  </si>
  <si>
    <t xml:space="preserve">Triumphus Pacis Osanbruggensis et Noribergensis: </t>
  </si>
  <si>
    <t xml:space="preserve">A: 65.11 Poet.</t>
  </si>
  <si>
    <t xml:space="preserve">Ebermeier, Johann
Brunn, Philibert</t>
  </si>
  <si>
    <t xml:space="preserve">Haye 2012</t>
  </si>
  <si>
    <t xml:space="preserve">39:126098M</t>
  </si>
  <si>
    <t xml:space="preserve">http://diglib.hab.de/drucke/65-11-poet/start.htm</t>
  </si>
  <si>
    <t xml:space="preserve">112 S.</t>
  </si>
  <si>
    <t xml:space="preserve">Heroico carmine ut plurimum adumbratus</t>
  </si>
  <si>
    <t xml:space="preserve">34104850X</t>
  </si>
  <si>
    <t xml:space="preserve">http://diglib.hab.de/drucke/65-11-poet/00004.jpg</t>
  </si>
  <si>
    <t xml:space="preserve">Triumphus Pacis Osanbruggensis et Noribergensis, A: 65.11 Poet.</t>
  </si>
  <si>
    <t xml:space="preserve">Triumphus Pacis Osanbruggensis et Noribergensis</t>
  </si>
  <si>
    <t xml:space="preserve">Egeria. Festa teatrale in 2 atti.</t>
  </si>
  <si>
    <t xml:space="preserve">Biblioteca del Conservatorio Statale di Musica Giuseppe Verdi</t>
  </si>
  <si>
    <t xml:space="preserve">Part. Tr. ms. 151</t>
  </si>
  <si>
    <t xml:space="preserve">Hasse, Johann Adolf</t>
  </si>
  <si>
    <t xml:space="preserve">https://opac.rism.info/search?id=851000856</t>
  </si>
  <si>
    <t xml:space="preserve">http://bibliotecadigitale.consmilano.it/nav?internalId=1765295&amp;resId=&amp;submitType=internal</t>
  </si>
  <si>
    <t xml:space="preserve">Messa in musica da Giov:ni Adolfo Hasse, detto il Sassone. Vienna 1764.</t>
  </si>
  <si>
    <t xml:space="preserve">http://friedensbilder.gnm.de/sites/default/files/1765314_Hasse_Egeria_festa_teatrale___005.tif
http://friedensbilder.gnm.de/sites/default/files/1765319_Hasse_Egeria_festa_teatrale___006.tif
http://friedensbilder.gnm.de/sites/default/files/1765437_Hasse_Egeria_festa_teatrale___037.tif</t>
  </si>
  <si>
    <t xml:space="preserve">Egeria. Festa teatrale in 2 atti, Part. Tr. ms. 151</t>
  </si>
  <si>
    <t xml:space="preserve">https://friedensbilder-neu.gnm.de/sites/default/files/2019-06/Part.-Tr.-ms1.png
https://friedensbilder-neu.gnm.de/sites/default/files/2019-06/Part.-Tr.-ms_0.png</t>
  </si>
  <si>
    <t xml:space="preserve">Egeria. Festa teatrale in 2 atti</t>
  </si>
  <si>
    <t xml:space="preserve">http://friedensbilder.gnm.de/content/frieden_foto_order1df59b</t>
  </si>
  <si>
    <t xml:space="preserve">Votiva acclamatio, pro firma &amp; fida Inter Christianos Pace, Ad primum Monasterii &amp; Osnabruggis 15. Octob. Anni 1648</t>
  </si>
  <si>
    <t xml:space="preserve">A: 40.5 Rhet.</t>
  </si>
  <si>
    <t xml:space="preserve">Schottel, Justus Georg
Stern, Heinrich</t>
  </si>
  <si>
    <t xml:space="preserve">14:006268U</t>
  </si>
  <si>
    <t xml:space="preserve">http://diglib.hab.de/drucke/40-5-rhet/start.htm</t>
  </si>
  <si>
    <t xml:space="preserve">http://diglib.hab.de/drucke/40-5-rhet/00005.jpg</t>
  </si>
  <si>
    <t xml:space="preserve">Votiva acclamatio, pro firma &amp; fida Inter Christianos Pace, Ad primum Monasterii &amp; Osnabruggis 15. Octob. Anni 1648, A: 40.5 Rhet.</t>
  </si>
  <si>
    <t xml:space="preserve">Egeria. Festa teatrale da rappresentarsi in musica</t>
  </si>
  <si>
    <t xml:space="preserve">ROLANDI ROL.0382.07</t>
  </si>
  <si>
    <t xml:space="preserve">Barbiellini, Eredi</t>
  </si>
  <si>
    <t xml:space="preserve">In Roma. Presso gli Eredi Barbiellini a Pasquino</t>
  </si>
  <si>
    <t xml:space="preserve">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2&amp;submitType=externalhttp://navigator-cini.cineca.it/nav?s2ndId=ROL.0382.07&amp;agency=VE0239&amp;agencyType=
https://books.google.it/books?id=wrOrfgPLn3cC&amp;hl=it&amp;pg=PA3#v=onepage&amp;q&amp;f=false</t>
  </si>
  <si>
    <t xml:space="preserve">MISC. VAL.697.16</t>
  </si>
  <si>
    <t xml:space="preserve">Egeria. Festa teatrale da rappresentarsi in musica, ROLANDI ROL.0382.07</t>
  </si>
  <si>
    <t xml:space="preserve">Acta Pacis Publicae Inter Duos Potentissimos Reges Ac Electores S. Imperii Romano-Germanici, Anno O. R. MDCCXLV. Feria I, Nativitatis Christi, S. D. XXV. Decembris/</t>
  </si>
  <si>
    <t xml:space="preserve">Hist.Germ.D.348,2</t>
  </si>
  <si>
    <t xml:space="preserve">Eckhard, Paul J.</t>
  </si>
  <si>
    <t xml:space="preserve">http://digital.slub-dresden.de/werkansicht/dlf/74448/1/</t>
  </si>
  <si>
    <t xml:space="preserve">Pon Vd 2372, QK</t>
  </si>
  <si>
    <t xml:space="preserve">Felicissime Sanctae Elegia Devotissime Concelebrata</t>
  </si>
  <si>
    <t xml:space="preserve">Historia Rerum Per Quinquennium Gestarum Adiuncta </t>
  </si>
  <si>
    <t xml:space="preserve">http://friedensbilder.gnm.de/sites/default/files/Acta Pacis.pdf
http://friedensbilder.gnm.de/sites/default/files/Acta pacis pvblicae.jpg</t>
  </si>
  <si>
    <t xml:space="preserve">Acta Pacis Publicae Inter Duos Potentissimos Reges Ac Electores S. Imperii Romano-Germanici, Anno O. R. MDCCXLV. Feria I, Nativitatis Christi, S. D. XXV. Decembris/, Hist.Germ.D.348,2</t>
  </si>
  <si>
    <t xml:space="preserve">http://friedensbilder.gnm.de/content/frieden_object178eb6</t>
  </si>
  <si>
    <t xml:space="preserve">http://friedensbilder.gnm.de/content/frieden_foto_order1790ef</t>
  </si>
  <si>
    <t xml:space="preserve">Lob- und Danck-Predigt</t>
  </si>
  <si>
    <t xml:space="preserve">Hist.Germ.D.348,2 (1)</t>
  </si>
  <si>
    <t xml:space="preserve">Vielruß, M.</t>
  </si>
  <si>
    <t xml:space="preserve">http://digital.slub-dresden.de/werkansicht/dlf/74448/66/0/</t>
  </si>
  <si>
    <t xml:space="preserve">S. 66–70</t>
  </si>
  <si>
    <t xml:space="preserve">5 S.</t>
  </si>
  <si>
    <t xml:space="preserve">welche Ihro Kön. Maj. von Preussen wegen siegreich erhaltener Bataille bei Kesseldorff in Dreßden in der Creutz-Kirche, den 4. Advent um früh 10. Uhr von dem Staabs-Prediger Herrn M. Vielruß zu halten, allergnädigst anbefohlen.</t>
  </si>
  <si>
    <t xml:space="preserve">Dankpredigt anlässlich des preußischen Siegs in der Schlacht bei Kesselsdorf (15. Dezember 1745).&amp;nbsp;- Preußen wird mit dem auserwählten Volk Israel verglichen, das gegen die Philister (verbündete Truppen Österreichs und Preußens) mit Gottes Hilfe einen Sieg erringen konnte.- David berichtet von den Wohltaten Gottes in Ägypten (Stichwort: "Wunderthaten"), damit sie stets im Gedächtnis bleiben: "Ich will sie verkündigen, ich will davon sagen, wiewohl sie nicht zu zehlen sind" [S. 69]- Ruhmestaten Friedrichs II. werden für die Nachwelt kaum zu glauben sein (besonders herausgestellt, dass ein solcher Sieg trotz der widrigen Winterzeit möglich war)&amp;nbsp;</t>
  </si>
  <si>
    <t xml:space="preserve">Lob- und Danck-Predigt,, Hist.Germ.D.348,2 (1)</t>
  </si>
  <si>
    <t xml:space="preserve">Lob- und Danck-Predigt,</t>
  </si>
  <si>
    <t xml:space="preserve">Pacem Saxonicis Terris VI Armorum Borussiacorum D. XXII. Novembr. MDCCXLV. Non Sine Timore Et Tremore ... </t>
  </si>
  <si>
    <t xml:space="preserve">Hist.Sax.C.1142,10</t>
  </si>
  <si>
    <t xml:space="preserve">Rumpf, Christian Friedrich
Schümberg, Johann Heinrich</t>
  </si>
  <si>
    <t xml:space="preserve">http://digital.slub-dresden.de/werkansicht/dlf/12682/1/</t>
  </si>
  <si>
    <t xml:space="preserve">Sed Et Finita Prope Kesselsdorf Pugna Eandem D. XXV. Decembris ... </t>
  </si>
  <si>
    <t xml:space="preserve">Pacem Saxonicis Terris VI Armorum Borussiacorum D. XXII. Novembr. MDCCXLV. Non Sine Timore Et Tremore ..., Hist.Sax.C.1142,10</t>
  </si>
  <si>
    <t xml:space="preserve">Pacem Saxonicis Terris VI Armorum Borussiacorum D. XXII. Novembr. MDCCXLV. Non Sine Timore Et Tremore ...</t>
  </si>
  <si>
    <t xml:space="preserve">Effigies Magni Caroli XII Suecorum, Gothorum, Vandalorumque Regis, Gloriosissimi, Post Datam Poloniae Et Saxoniae Pacem, A Quodam Extero Milite Delineata </t>
  </si>
  <si>
    <t xml:space="preserve">Hist.Suec.440,86</t>
  </si>
  <si>
    <t xml:space="preserve">Boetius, Johann Theodor</t>
  </si>
  <si>
    <t xml:space="preserve">http://digital.slub-dresden.de/werkansicht/dlf/112525/1/</t>
  </si>
  <si>
    <t xml:space="preserve">AB65156</t>
  </si>
  <si>
    <t xml:space="preserve">Effigies Magni Caroli XII Suecorum, Gothorum, Vandalorumque Regis, Gloriosissimi, Post Datam Poloniae Et Saxoniae Pacem, A Quodam Extero Milite Delineata, Hist.Suec.440,86</t>
  </si>
  <si>
    <t xml:space="preserve">Effigies Magni Caroli XII Suecorum, Gothorum, Vandalorumque Regis, Gloriosissimi, Post Datam Poloniae Et Saxoniae Pacem, A Quodam Extero Milite Delineata</t>
  </si>
  <si>
    <t xml:space="preserve">Oratio Panegyrica Qua Serenissimo ... Domino Friderico II. Regi Porvssiae ...</t>
  </si>
  <si>
    <t xml:space="preserve">B/27318</t>
  </si>
  <si>
    <t xml:space="preserve">Steinwehr, Wolf Balthasar Adolf von
Hübner, Martin</t>
  </si>
  <si>
    <t xml:space="preserve">http://digitalisate.sub.uni-hamburg.de/nc/detail.html?tx_dlf%5Bid%5D=23978&amp;tx_dlf%5Bpage%5D=1&amp;tx_dlf%5Bpointer%5D=0</t>
  </si>
  <si>
    <t xml:space="preserve">19 Bl. </t>
  </si>
  <si>
    <t xml:space="preserve">Ob Immensvm Restitvtae Pacis Beneficivm Devotissimas Gratias Ipso Natali Sacro XXIIII. Ianvar. MDCCXXXXVI Professa Est Academia Viadrina / </t>
  </si>
  <si>
    <t xml:space="preserve">Interprete ... Wolf Balthasare Adolpho de Steinwehr ... Academiae Rectore</t>
  </si>
  <si>
    <t xml:space="preserve">GND-Verknüpfung Hübner funktioniert nichthttps://portal.dnb.de/opac.htm?method=showFullRecord&amp;amp;currentResultId=martin+and+h%C3%BCbner+sortBy+jhr%2Fsort.ascending%26any%26persons&amp;amp;currentPosition=0</t>
  </si>
  <si>
    <t xml:space="preserve">Oratio Panegyrica Qua Serenissimo ... Domino Friderico II. Regi Porvssiae ..., B/27318</t>
  </si>
  <si>
    <t xml:space="preserve">L'Iride di Pace</t>
  </si>
  <si>
    <t xml:space="preserve">Rar. Libr. Orat. 17. Jh. 62</t>
  </si>
  <si>
    <t xml:space="preserve">Albergati Capacelli, Pirro</t>
  </si>
  <si>
    <t xml:space="preserve">In Bologna &amp; in Siena nella Stamperia del Pubblico</t>
  </si>
  <si>
    <t xml:space="preserve">http://daten.digitale-sammlungen.de/0004/bsb00049571/images/index.html?fip=193.174.98.30&amp;id=00049571&amp;seite=1&amp;lang=it</t>
  </si>
  <si>
    <t xml:space="preserve">http://friedensbilder.gnm.de/sites/default/files/L'iride di Pace.jpg</t>
  </si>
  <si>
    <t xml:space="preserve">L'Iride di pace., Rar. Libr. Orat. 17. Jh. 62</t>
  </si>
  <si>
    <t xml:space="preserve">https://friedensbilder-neu.gnm.de/sites/default/files/2019-06/Rar_Libr_Orat_17_Jh_62_0.png</t>
  </si>
  <si>
    <t xml:space="preserve">L'Iride di pace.</t>
  </si>
  <si>
    <t xml:space="preserve">http://friedensbilder.gnm.de/content/frieden_foto_order1df620</t>
  </si>
  <si>
    <t xml:space="preserve">Metastasio, Pietro, Pseud.</t>
  </si>
  <si>
    <t xml:space="preserve">Nella stamperia del Komarek, a sue spese</t>
  </si>
  <si>
    <t xml:space="preserve">S. 371–382</t>
  </si>
  <si>
    <t xml:space="preserve">https://archive.org/details/astreaplacataovv208meta</t>
  </si>
  <si>
    <t xml:space="preserve">ROLANDI ROL.0554.09</t>
  </si>
  <si>
    <t xml:space="preserve">Music Library, University of North Carolina at Chapel Hill</t>
  </si>
  <si>
    <t xml:space="preserve">Gedichte und Fabeln</t>
  </si>
  <si>
    <t xml:space="preserve">F8° 3636:1</t>
  </si>
  <si>
    <t xml:space="preserve">Verfasser
Herausgeberin</t>
  </si>
  <si>
    <t xml:space="preserve">Gleim, Johann Wilhelm Ludwig
Wappler, Gerlinde</t>
  </si>
  <si>
    <t xml:space="preserve">61 S.</t>
  </si>
  <si>
    <t xml:space="preserve">[Wir halten Frieden ewiglich], F8° 3636:1</t>
  </si>
  <si>
    <t xml:space="preserve">[Wir halten Frieden ewiglich]</t>
  </si>
  <si>
    <t xml:space="preserve">http://friedensbilder.gnm.de/content/frieden_object17df09</t>
  </si>
  <si>
    <t xml:space="preserve">42-43</t>
  </si>
  <si>
    <t xml:space="preserve">Deutschland grünt und blüht im Friede</t>
  </si>
  <si>
    <t xml:space="preserve">Universitätsbibliothek Johann Christian Senckenberg</t>
  </si>
  <si>
    <t xml:space="preserve">Mus. W 300</t>
  </si>
  <si>
    <t xml:space="preserve">Hirschmann 1992</t>
  </si>
  <si>
    <t xml:space="preserve">S. VIII–XIV</t>
  </si>
  <si>
    <t xml:space="preserve">Universitäts- und Landesbibliothek Darmstadt</t>
  </si>
  <si>
    <t xml:space="preserve">Mus Ms 1039</t>
  </si>
  <si>
    <t xml:space="preserve">http://tudigit.ulb.tu-darmstadt.de/show/Mus-Ms-1039/0005</t>
  </si>
  <si>
    <t xml:space="preserve">http://friedensbilder.gnm.de/sites/default/files/01-Titelblatt.tif
http://friedensbilder.gnm.de/sites/default/files/02-Besetzung_Textbeginn.tif
http://friedensbilder.gnm.de/sites/default/files/03-O süße Friedens-Stunden.tif</t>
  </si>
  <si>
    <t xml:space="preserve">Georg Philipp Telemanns Serenata „Deutschland grünt und blüht im Friede“ wird 1716 anlässlich der Geburt des ersten Sohnes von Kaiser Karl VI. in Frankfurt am Main im Rahmen eines Dank- und Freudenfestes aufgeführt. Die Serenata steht im Kontext eines umfangreichen Festprogramms, zu dem&amp;nbsp;– wie üblich&amp;nbsp;– auch das Absingen des Te Deum Laudamus „mit Trompeten und Paucken“ gehört. Mit&amp;nbsp;Telemanns Musik wird die Geburt des Habsburger Prinzen Leopold als eines Friedensbringers gefeiert. Zugleich sind jedoch auch die aktuellen Bedrohungen des Friedens durch türkische Expansionsbestrebungen omnipräsent. So kündigt Mars in seiner Arie den Kampf gegen „barbarische [verändert in: andere] Kronen“ an (Nr. 14: „Ich werde zwar Deutschland mit Feuer und Schwert, mit Donner und Hagel und Wetter verschonen“). Die Festkomposition lässt sich keinem konkreten Friedensereignis zurodnen, sondern artikuliert eine grundsätzliche Friedenssehnsucht und die Bitte um künftige Friedenssicherung.SEH</t>
  </si>
  <si>
    <t xml:space="preserve">Deutschland grünt und blüht im Friede, Mus. W 300</t>
  </si>
  <si>
    <t xml:space="preserve">https://friedensbilder-neu.gnm.de/sites/default/files/2019-06/Mus.-W-300_02_0.png</t>
  </si>
  <si>
    <t xml:space="preserve">http://friedensbilder.gnm.de/content/frieden_foto_order21de87</t>
  </si>
  <si>
    <t xml:space="preserve">Das Friedejauchende Teutschland: </t>
  </si>
  <si>
    <t xml:space="preserve"> A: 380.4 Quod. (1)</t>
  </si>
  <si>
    <t xml:space="preserve">Rist, Johann
</t>
  </si>
  <si>
    <t xml:space="preserve">23:251509C</t>
  </si>
  <si>
    <t xml:space="preserve">http://diglib.hab.de/drucke/380-4-quod-1/start.htm</t>
  </si>
  <si>
    <t xml:space="preserve">262 S.</t>
  </si>
  <si>
    <t xml:space="preserve">Welches/ Vermittelst eines neuen Schauspieles/ theils in ungebundener/ theils in gebundener Rede und anmuthigen Liederen Mit neuen/ von Herrn Michael Jakobi/ ... gesetzten Melodeien/ ... vorstellet Johann Rist</t>
  </si>
  <si>
    <t xml:space="preserve">http://diglib.hab.de/drucke/380-4-quod-1/00004.jpg</t>
  </si>
  <si>
    <t xml:space="preserve">Das Friedejauchende Teutschland:,  A: 380.4 Quod. (1)</t>
  </si>
  <si>
    <t xml:space="preserve">Das Friedejauchende Teutschland:</t>
  </si>
  <si>
    <t xml:space="preserve">Unsterblicher Nachruhm. Serenata auf den Tod Augusts des Starken</t>
  </si>
  <si>
    <t xml:space="preserve">P.o.germ. 1558 a-5/6 (3)</t>
  </si>
  <si>
    <t xml:space="preserve">Reipsch 2007b
Kremer 2015</t>
  </si>
  <si>
    <t xml:space="preserve">S. VIII
S. 61–87</t>
  </si>
  <si>
    <t xml:space="preserve">https://opac.rism.info/metaopac/search.do?methodToCall=submitButtonCall&amp;CSId=94163N747S17ff7296753b3c4cc30b14bf185b1064844e02a8&amp;methodToCallParameter=submitSearch&amp;refine=false&amp;View=rism&amp;searchCategories%5B0%5D=-1&amp;speedy=on&amp;searchString%5B0%5D=Telemann+Unsterblicher+Nachruhm&amp;submitButtonCall_submitSearch=Suchen</t>
  </si>
  <si>
    <t xml:space="preserve">TVWV 4:7</t>
  </si>
  <si>
    <t xml:space="preserve">http://friedensbilder.gnm.de/sites/default/files/bsb10122846_00198_0.jpg
http://friedensbilder.gnm.de/sites/default/files/bsb10122846_00205.jpg
http://friedensbilder.gnm.de/sites/default/files/bsb10122846_00206.jpg
http://friedensbilder.gnm.de/sites/default/files/bsb10122846_00207.jpg
http://friedensbilder.gnm.de/sites/default/files/bsb10122846_00208.jpg</t>
  </si>
  <si>
    <t xml:space="preserve">Arie mit Rezitativ „Des Friedens holde Stille“ (Weisheit)
&amp;nbsp;
&amp;nbsp;
aus: Georg Philipp Telemann, Serenata eroica TWV 4:7
Trauermusik für August den Starken (1733)
für Soli, Chor und Orchester
Veronika Winter, Sopran (Weisheit)
Rheinische Kantorei
Das Kleine Konzert
Hermann Max
Konzertmitschnitt Festliche Tage Alter Musik Knechtsteden, 24.09.1997
Eine Aufnahme des Westdeutschen Rundfunks Köln
Delta Music GmbH, Frechen, 2002
&amp;nbsp;
CD 2, Track 4
&amp;nbsp;
[hier hat Herr Jürgens mit dem Plattenlabel verhandelt, die Bedingungen wären noch abschließend zu klären]
</t>
  </si>
  <si>
    <t xml:space="preserve">Eine besondere Ausprägung der Friedensthematik findet sich in&amp;nbsp;Georg Philipp Telemanns&amp;nbsp;Begräbnismusik für August den Starken, „Unsterblicher Nachruhm. Serenata auf den Tod Augusts des Starken“ (1733), wo der Friede in enger Verbindung zur unauslöschlichen Erinnerung an den königlichen Helden gedeutet wird.Geschrieben wird die Serenata zum Tod des sächsischen Kurfürsten Friedrich August I (des Starken). Den Text für diese Trauermusik&amp;nbsp;verfasst der Hamburger Theologe Joachim Johann Daniel Zimmermann, der&amp;nbsp;in seiner Dichtung&amp;nbsp;das Idealbild eines weisen, gütigen und tapferen Herrschers zeichnet. Seine erste Aufführung erlebt das Werk, dessen Auftraggeber bisher nicht bekannt ist, am 16. Mai 1733 in Hamburg im Rahmen eines Konzerts.In dieser „Trauer-Cantate“&amp;nbsp;treten allegorische Figuren auf,&amp;nbsp;welche die Größe des Herrschers rühmen und über eine ideale Herrschaft disputieren (Majestät, Tapferkeit, Weisheit, Großmut). Der Friede gehört selbst nicht zu den handelnden Personen, vielmehr begleitet er die Weisheit, die&amp;nbsp;in ihrer einzigen Solo-Arie von Frieden und Segen singt, die in Friedrich Augusts Land herrschen. Es handelt sich um die Arie Nr. 20a: „Des Friedens holde Stille“, mit der Vortragsbezeichnung „Schäfermäßig“.Die friedliche Stille ist hier Bestandteil eines pastoralen Ambientes, das als Idealzustand den idealen Herrscher umgibt und im Blick auf den verstorbenen Kurfürsten auch die ihn nunmehr umfassende „ewige Stille“ impliziert. Alles ist hier, der Verherrlichung des Herrschers entsprechend, groß dimensioniert, die 5-teilige Arie, die Besetzung mit Pauken und Trompeten, die Besonderheit&amp;nbsp;ihrer Instrumentierung&amp;nbsp; mit 2 Chalumeau, die in dieser Serenata sonst an keiner anderen Stelle eingesetzt werden.Kontrastiert wird diese antik-römisch inspirierte Friedensvision durch die vorausgehende Aria der Tapferkeit, „Das Schwirren der metzelnden Säbel“ überschrieben, die auch in der Musik den kämpferischen&amp;nbsp;Mut des Herrschers spiegelt.SEH</t>
  </si>
  <si>
    <t xml:space="preserve">Herrscherrepräsentation
Natur</t>
  </si>
  <si>
    <t xml:space="preserve">Unsterblicher Nachruhm. Serenata auf den Tod Augusts des Starken, P.o.germ. 1558 a-5/6 (3)</t>
  </si>
  <si>
    <t xml:space="preserve">https://friedensbilder-neu.gnm.de/sites/default/files/2019-06/P.o.germ_. 1558 a-56 3.jpg</t>
  </si>
  <si>
    <t xml:space="preserve">http://friedensbilder.gnm.de/content/frieden_foto_order1e7d17</t>
  </si>
  <si>
    <t xml:space="preserve">SECTIO III. In sich begreiffend Die Friedens-Fäll.</t>
  </si>
  <si>
    <t xml:space="preserve">158.3 Theol. (1)</t>
  </si>
  <si>
    <t xml:space="preserve">S. 249–283</t>
  </si>
  <si>
    <t xml:space="preserve">Friedens-Predigt / Anno M. D C. X X X V. den 8. Sonntag nach Trinitatis zu Eßlingen gehalten/ Als zwischen Ihr Kayserl. Majestät und Chur Sachsen der zu Prag getroffene Fried publicirt worden.</t>
  </si>
  <si>
    <t xml:space="preserve">Auß dem Propheten Daniel Cap. II. v. 34. </t>
  </si>
  <si>
    <t xml:space="preserve">SECTIO III. In sich begreiffend Die Friedens-Fäll., 158.3 Theol. (1)</t>
  </si>
  <si>
    <t xml:space="preserve">Frewden-Fest / über dem allgemeinen Reichs-Frieden / mit Ankünden / Singen / Betten / Predigen / Loben und Dancken / den 11. Tag Augusti dises hinlauffenden 1650. Jahrs zu Eßlingen gehalten.</t>
  </si>
  <si>
    <t xml:space="preserve">158.3 Theol. (2)</t>
  </si>
  <si>
    <t xml:space="preserve">S. 487–495</t>
  </si>
  <si>
    <t xml:space="preserve">Frewden-Fest / über dem allgemeinen Reichs-Frieden / mit Ankünden / Singen / Betten / Predigen / Loben und Dancken / den 11. Tag Augusti dises hinlauffenden 1650. Jahrs zu Eßlingen gehalten., 158.3 Theol. (2)</t>
  </si>
  <si>
    <t xml:space="preserve">Holder Friede, heilger Glaube</t>
  </si>
  <si>
    <t xml:space="preserve">111-1, Senat, Cl. VII Lit. Ha Nr. 4</t>
  </si>
  <si>
    <t xml:space="preserve">Menke 1995
Neubacher 2009
Moser 2000
Goebel 2017</t>
  </si>
  <si>
    <t xml:space="preserve">S. 56
S. 585
S. 278–295</t>
  </si>
  <si>
    <t xml:space="preserve">https://opac.rism.info/metaopac/singleHit.do?methodToCall=showHit&amp;curPos=1&amp;identifier=251_SOLR_SERVER_835676983</t>
  </si>
  <si>
    <t xml:space="preserve">Nonnenmacher, Michael u. Renz, Wolfgang</t>
  </si>
  <si>
    <t xml:space="preserve">B-Bc 1111</t>
  </si>
  <si>
    <t xml:space="preserve">TWV 13:18</t>
  </si>
  <si>
    <t xml:space="preserve">http://friedensbilder.gnm.de/sites/default/files/B_Bc-1111-0003.jpg
http://friedensbilder.gnm.de/sites/default/files/B_Bc-1111-0005_0.jpg
http://friedensbilder.gnm.de/sites/default/files/B_Bc-1111-0006.jpg
http://friedensbilder.gnm.de/sites/default/files/B_Bc-1111-0007_0.jpg
http://friedensbilder.gnm.de/sites/default/files/B_Bc-1111-0081_0.jpg
http://friedensbilder.gnm.de/sites/default/files/B_Bc-1111-0082_0.jpg
http://friedensbilder.gnm.de/sites/default/files/B_Bc-1111-0083_0.jpg
http://friedensbilder.gnm.de/sites/default/files/B_Bc-1111-0091.jpg
http://friedensbilder.gnm.de/sites/default/files/B_Bc-1111-0092.jpg
http://friedensbilder.gnm.de/sites/default/files/B_Bc-1111-0093.jpg
http://friedensbilder.gnm.de/sites/default/files/Telemann_Holder Friede_Wolfgang Renz_Titelblatt.png
entity:node/4
entity:node/5
entity:node/6
entity:node/7</t>
  </si>
  <si>
    <t xml:space="preserve">aus: Georg Philipp Telemann, Reformations-Oratorium 1755
„Holder Friede, Heil’ger Glaube“ TWV 13:18
&amp;nbsp;
Chor des Bayerischen Rundfunks
Bayerische Kammerphilharmonie
Reinhard Goebel
Sony 88985373872, 2017
&amp;nbsp;
&amp;nbsp;
[Dies sind die Bedingungen, die Sony für die Verwendung dieser Musikbeispiele stellt:]
&amp;nbsp;
-&amp;nbsp;&amp;nbsp;&amp;nbsp;&amp;nbsp;&amp;nbsp;&amp;nbsp;&amp;nbsp;&amp;nbsp;&amp;nbsp; Max. 60 Sekunden pro Stück, es muss am Ende ausgeblendet werden
-&amp;nbsp;&amp;nbsp;&amp;nbsp;&amp;nbsp;&amp;nbsp;&amp;nbsp;&amp;nbsp;&amp;nbsp;&amp;nbsp; Nur Streaming, kein Download
-&amp;nbsp;&amp;nbsp;&amp;nbsp;&amp;nbsp;&amp;nbsp;&amp;nbsp;&amp;nbsp;&amp;nbsp;&amp;nbsp; Hinweis auf das Album mit Cover (anbei)
</t>
  </si>
  <si>
    <t xml:space="preserve">Georg Philipp Telemanns Oratorium „Holder Friede, heilger Glaube“&amp;nbsp;entsteht zur Feier des 200. Jahrestages des Augsburger Religionsfriedens im Jahr 1755. Das oratorientypisch zweiteilige Werk auf einen Text von Joachim Johann Daniel Zimmermann (1710–1767) wird zunächst am 5. Oktober 1755 in der Kirche St. Petri in Hamburg im Gottesdienst aufgeführt. Zwei Tage später umrahmt&amp;nbsp;es eine im Hamburger Gymnasium gehaltene Festrede, und an den folgenden Sonntagen wird&amp;nbsp;Telemanns Oratorium auch&amp;nbsp;in weiteren Hauptkirchen der Stadt musiziert. Das Stück zeigt exemplarisch die vielfältigen Verwendungsmodi von Friedenskompositionen.Die auftretenden Personen sind: Friede (Sopran), Religion (Bariton), Andacht (Tenor), Geschichte (Bass). Alle vier sind „gute“ Allegorien, direkte Anfeindungen finden in diesem Stück nicht statt, von solchen wird lediglich im historischen Rückblick berichtet. Der erste Teil artikuliert den Dank der Hamburger Bürgerschaft im Jahr 1755 dafür, dass Religion und Friede nunmehr vereint sind, der zweite Teil gibt einen geschichtlichen Rückblick auf den Religionsfrieden und die Lutherzeit. Beide Teile umrahmen die Predigt.Gleich im mehrgliedrigen Eingangsduett nehmen die Religion und der Friede auf den festlichen Anlass Bezug: Religion (Bariton) und Friede (Sopran) sind im Duett „Holder Friede, heilger Glaube“ vereint. Dabei nutzt der Text für die Friedensdarstellung typische Topoi und spricht vom Kuss zwischen Friede und Glaube und vom Ölbaum als dem Zeichen des Friedens. Musikalisch wird die Vereinigung der beiden Allegorien vorgeführt, indem beide im Duett und in Dezimen singen: „dich zu küssen, und uns erst vereint zu wissen, welch ein Wohl/Ruhm ist das für mich“. Außerdem gehören der 6/8-Takt und die beiden vielfach im Terz- oder Sextabstand parallel fortschreitenden Flöten zu den typischen musikalischen Ausdrucksmitteln einer Friedensrepräsentation dieser Zeit.Im zweiten Teil singt der Friede (Sopran) eine Gleichnisarie („So hart bey den Klippen“), welche für Zion das Bild eines Schiffes verwendet, das „durch Orkane zum Hafen gebracht wird“. Hier also nimmt der Dichter – wie auch an anderen Stellen des Stücks – auf die Topographie Hamburgs Bezug. Telemann nutzt das Wort seinerseits für eine onomatopoetische Schilderung eines zum Hafen führenden Zick-Zack-Kurses. Das Werk schließt mit einem deutschen Te Deum.SEH</t>
  </si>
  <si>
    <t xml:space="preserve">Holder Friede, heilger Glaube, 111-1, Senat, Cl. VII Lit. Ha Nr. 4</t>
  </si>
  <si>
    <t xml:space="preserve">https://friedensbilder-neu.gnm.de/sites/default/files/2019-06/111-1_Cl_VII_Lit_Ha_No-4_Vol-1e_01.png
https://friedensbilder-neu.gnm.de/sites/default/files/2019-06/111-1_Cl_VII_Lit_Ha_No-4_Vol-1e_02.png</t>
  </si>
  <si>
    <t xml:space="preserve">http://friedensbilder.gnm.de/content/frieden_foto_order20a0da</t>
  </si>
  <si>
    <t xml:space="preserve">Da pacem, Domine</t>
  </si>
  <si>
    <t xml:space="preserve">SWV 465</t>
  </si>
  <si>
    <t xml:space="preserve">Schütz, Heinrich</t>
  </si>
  <si>
    <t xml:space="preserve">Bittinger 1971
Hanheide 2008b
Breig 1985
Moser 2000</t>
  </si>
  <si>
    <t xml:space="preserve">S. 75–103
S. 31
S. 375–404
S. 278–285</t>
  </si>
  <si>
    <t xml:space="preserve">http://friedensbilder.gnm.de/sites/default/files/3413_002.jpg
http://friedensbilder.gnm.de/sites/default/files/3414_002.jpg
http://friedensbilder.gnm.de/sites/default/files/3415_002.jpg
http://friedensbilder.gnm.de/sites/default/files/3416_002.jpg</t>
  </si>
  <si>
    <t xml:space="preserve">Nachweis Musikbeispiel:
Aus: „Friedens-Seufftzer und Jubel-Geschrey. Music for the Peace of Westphalia 1648“, Weser-Renaissance, Manfred Cordes, 1998, cpo 999 605-2
Co-Produktion: Westdeutscher Rundfunk Köln
CD 1, Track 5, 5:18 min
&amp;nbsp;
&amp;nbsp;
&amp;nbsp;
Nachweis der Notenscans
Aus: Heinrich Schütz,&amp;nbsp;Weltliche Konzerte, hrsg. von Werner Bittinger, Bärenreiter-Verlag, Kassel 1971, in: Neue Ausgabe sämtlicher Werke, Bd. 38, &amp;nbsp;S. 75–78 
&amp;nbsp;
</t>
  </si>
  <si>
    <t xml:space="preserve">Heinrich Schütz (1585–1627),&amp;nbsp;komponiert die Motette&amp;nbsp;„Da pacem, Domine“ (SWV 465) 1627 für den Kurfürstentag, der vom 4. Oktober bis zum 5. November 1627 in Mühlhausen stattfindet. Zu dieser Begegnung&amp;nbsp;reist die Dresdner Hofkapelle von Heinrich Schütz im Gefolge seines Kurfürsten Johann Georg I. aus Dresden an. Aufgabe der Komposition ist es, die anwesenden Kurfürsten mit Vivat-Rufen zu begrüßen, ihnen zu huldigen und zugleich den sehnlichen Wunsch nach Frieden zu artikulieren. Freilich&amp;nbsp;ist neben dem Kaiser nur noch der Kurfürst von Mainz persönlich anwesend, alle anderen Repräsentanten werden durch Räte vertreten. „Da pacem, Domine“&amp;nbsp; ist ursprünglich eine gregorianische Antiphon, also ein kirchlicher Wechselgesang aus dem 9. Jahrhundert.&amp;nbsp;Schütz komponiert das Stück für&amp;nbsp;zwei Chöre (einen fünfstimmigen und einen vierstimmigen Chor) und fügt&amp;nbsp;Vivat-Rufe auf Kaiser Ferdinand und die sechs unter seinem Vorsitz versammelten Kurfürsten von Mainz, Trier, Köln, Sachsen, Bayern und Brandenburg hinzu. Die&amp;nbsp;Friedensbitte übernimmt der erste Chor, die Vivat-Rufe der zweite Chor. Am&amp;nbsp;Schluss der Komposition stimmen alle in die Friedens-Rufe ein. Wie viele&amp;nbsp;andere Klagen über den Krieg und Bitten um den Frieden hat auch diese Friedensbitte eine religiöse Dimension. Denn Krieg gilt als eine durch Sünde verschuldete Strafe, der Frieden hingegen&amp;nbsp;kann nur durch&amp;nbsp;die Vergebung der Sünde und Erlass der Strafe erreicht werden.In dieser Komposition von Heinrich Schütz ist auch das Motiv des Janus-Tempels präsent, wenn die lateinische Vorrede zur Komposition auf der Innenseite der Handschrift (Besitzerin vor dem Zweiten Weltkrieg war die&amp;nbsp;Universitäts-Bibliothek Königsberg; seitdem verloren) betont, „dass diese [Siebenmänner] mit Unterstützung und Hilfe des höchsten und ewigen Gottes, nachdem der Janustempel fest verschlossen ist, die Altäre des Friedens und der Freiheit im kaiserlichen Mühlhausen errichten und festigen mögen“.SEH</t>
  </si>
  <si>
    <t xml:space="preserve">Herrscherrepräsentation
Friedenszeit</t>
  </si>
  <si>
    <t xml:space="preserve">Da pacem, domine., SWV 465</t>
  </si>
  <si>
    <t xml:space="preserve">https://friedensbilder-neu.gnm.de/sites/default/files/2019-06/SWV-465_0.png</t>
  </si>
  <si>
    <t xml:space="preserve">Da pacem, domine.</t>
  </si>
  <si>
    <t xml:space="preserve">http://friedensbilder.gnm.de/content/frieden_foto_order206fd7</t>
  </si>
  <si>
    <t xml:space="preserve">Le Temple de la Paix. Ballet Royalle en musique</t>
  </si>
  <si>
    <t xml:space="preserve">Dep. Musique, VM2-90</t>
  </si>
  <si>
    <t xml:space="preserve">http://gallica.bnf.fr/ark:/12148/btv1b10544733w/f1.image</t>
  </si>
  <si>
    <t xml:space="preserve">http://friedensbilder.gnm.de/sites/default/files/Le_Temple_de_la_paix_[...]Lully_Jean-Baptiste_btv1b10544733w.jpeg</t>
  </si>
  <si>
    <t xml:space="preserve">Le Temple de la Paix. Ballet Royalle en musique, Dep. Musique, VM2-90</t>
  </si>
  <si>
    <t xml:space="preserve">http://friedensbilder.gnm.de/content/frieden_foto_order1df8f3</t>
  </si>
  <si>
    <t xml:space="preserve">Jubilate Deo. </t>
  </si>
  <si>
    <t xml:space="preserve">Rés F.1110 (2)</t>
  </si>
  <si>
    <t xml:space="preserve">Le motette de la Paix</t>
  </si>
  <si>
    <t xml:space="preserve">Jubilate Deo omnis terra.Cantate et exultate et psalliteReges terrae et omnes populi,Principes et omnes judices,Annunciate inter gentesGloriam ejus, in omnibus mirabilia ejus.Qui posuit fines nostra Pacem,In manu ejus sunt omnes fines terrae.Facta est Pax in virtute sua,et abundantia in turribus suis.Arcum conteret, confringetArma, et scuta comburet igni.Lux orta est justo, et rectis corde laetitia.Jubilate Deo omnis terra&amp;nbsp;:Arcum conteret,Cantate et exultate et psallite.Confringet arma, scuta comburet igni.Exultate et psallite.Taliter non fecit omni nationi.In die malorum protexit nosIn abscondito tabernacoli sui.Jubilate in cospectu regis.Justitia et enim ante eum ambulavit.Ante eum justitia et pax osculatae sunt.Juravit et statuit custodireJuditia Domini.Jubilate in cospectu regis.Orta est enim in diebus ejus justitiaEt abundantia pacisDonec auferatur luna.&amp;nbsp;Text adapted from Biblia Sacra Vulgatae Editionis Sixti Quinti Pontificis Maximio iussu recognita atque edita (Roma, 1592).</t>
  </si>
  <si>
    <t xml:space="preserve">Jubilate Deo, Rés F.1110 (2)</t>
  </si>
  <si>
    <t xml:space="preserve">Jubilate Deo</t>
  </si>
  <si>
    <t xml:space="preserve">8. 55.D.10.7</t>
  </si>
  <si>
    <t xml:space="preserve">Foligno</t>
  </si>
  <si>
    <t xml:space="preserve">https://books.google.it/books?id=dKm1aL3G3BQC&amp;lpg=PP1&amp;ots=-eLxvT7Suf&amp;dq=La%20pace%20fra%20le%20discordie%2C%201695&amp;hl=it&amp;pg=PP1#v=onepage&amp;q&amp;f=true</t>
  </si>
  <si>
    <t xml:space="preserve">La pace fra le discordie, 8. 55.D.10.7</t>
  </si>
  <si>
    <t xml:space="preserve">La pace fra le discordie</t>
  </si>
  <si>
    <t xml:space="preserve">Friede über den Israel Gottes bey Anlaß des zweyten Jubel- und Dank-Festes,</t>
  </si>
  <si>
    <t xml:space="preserve">H00/4 THL-(XVIIII 100)-25</t>
  </si>
  <si>
    <t xml:space="preserve">Meister, Johann Heinrich
Poetsch, Gotthard
Camerarius, Johann Dietrich Michael</t>
  </si>
  <si>
    <t xml:space="preserve">welches wegen des am 25. Sept. 1555. auf dem Reichs-Tag zu Augspurg geschlossenen Religions-Friedens in denen hochfürstl. Brandenburg-Bayreuthischen Landen den 28. Sept. 1755. gefeyert wurde,</t>
  </si>
  <si>
    <t xml:space="preserve">in der Nachmittags-Predigt, über Galat. VI 16. in der französischen Kirche zu Christian-Erlang vorgestellt von Johann Heinrich Meister, sonst Le Maitre genannt. Past. nunmehro auf Verlangen von dem Verfasser aus dem französischen in die teutsche Sprache übersetzt.</t>
  </si>
  <si>
    <t xml:space="preserve">Verlegts Gotthard Poetsch, hochfürstl. Culmbachischer privilegirter Hof- und Universitäts-Buchhändler.
ERLANGEN gedruckt bey Johann Dietrich Michael Kammerer, Univ. Buchdr.</t>
  </si>
  <si>
    <t xml:space="preserve">Adresse des Druckers auf dem letzten Blatt.</t>
  </si>
  <si>
    <t xml:space="preserve">http://friedensbilder.gnm.de/sites/default/files/H004 THL-(XVIIII 100)-25.pdf</t>
  </si>
  <si>
    <t xml:space="preserve">http://friedensbilder.gnm.de/content/frieden_object12314a&amp;nbsp;= frz. OriginalEntweder löschen oder über Zugehörigkeit verknüpfen (Inventarnummer korrigieren!).</t>
  </si>
  <si>
    <t xml:space="preserve">Friede über den Israel Gottes bey Anlaß des zweyten Jubel- und Dank-Festes,, H00/4 THL-(XVIIII 100)-25</t>
  </si>
  <si>
    <t xml:space="preserve">http://friedensbilder.gnm.de/content/frieden_foto_order1a3a29</t>
  </si>
  <si>
    <t xml:space="preserve">Il consiglio degli Dei. Dramma da musica di Antonio Abati.</t>
  </si>
  <si>
    <t xml:space="preserve">Rar. Libr. Op. 17. Jh. 105</t>
  </si>
  <si>
    <t xml:space="preserve">Recaldini, Giovanni</t>
  </si>
  <si>
    <t xml:space="preserve">Per Gio: Recaldini</t>
  </si>
  <si>
    <t xml:space="preserve">http://daten.digitale-sammlungen.de/~db/0004/bsb00043913/images/index.html?fip=193.174.98.30&amp;seite=1&amp;pdfseitex=</t>
  </si>
  <si>
    <t xml:space="preserve">Biblioteca provinciale Scipione e Giulio Capone</t>
  </si>
  <si>
    <t xml:space="preserve">Avellino</t>
  </si>
  <si>
    <t xml:space="preserve">S.G.CAPONE A178.2</t>
  </si>
  <si>
    <t xml:space="preserve">http://friedensbilder.gnm.de/sites/default/files/bsb00043913_00007a.jpg
http://friedensbilder.gnm.de/sites/default/files/bsb00043913_00007.jpg</t>
  </si>
  <si>
    <t xml:space="preserve">Diese Oper setzt die Versammlung des „Consiglio degli Dei“ (Götterrats) auf einer Wolke über den Pyrenäen in Szene. Zur gleichen Zeit findet auf der Erde eine ähnliche Versammlung statt, bei der französische und spanische Diplomaten über einen Frieden verhandeln (Pyrenäenfrieden). Das Sujet ist zweifellos durch den mythischen Götterrat angeregt, den Jupiter zusammenruft, um eine Lösung für den Konflikt zwischen Trojanern und Latinern zu finden, und der von Vergil im zehnten Buch der Aeneis besungen wird. Die Oper aus dem 17. Jahrhundert greift die mythologische Erzählung auf und wandelt sie auf eine Weise ab, die geeignet ist, Themen des Zeitgeschehens einzubeziehen: Hinter der Auseinandersetzung aus der Römerzeit verbirgt sich der Krieg zwischen Spanien und Frankreich, und die Verhandlungen der antiken Götter spiegeln die tatsächlich stattfindenden diplomatischen Bemühungen. Es scheint keine Lösung in Sicht, bis Venus Merkur in die Pyrenäenregion entsendet, um zu erkunden, wie die Stimmung der Menschen in Bezug auf Krieg und Frieden ist. Merkur kehrt mit einer Friedensbotschaft zu den Göttern zurück, und so begünstigt der irdische den himmlischen Frieden. Im Mittelpunkt stehen die Rolle der Diplomatie und die Bedeutung, die dabei Jules Mazarin zukommt: Während die makroskopische Botschaft des Werks in der Spiegelung der realen Diplomatie liegt, scheint Merkur Kardinal Mazarin zu verkörpern. Im Laufe der Verhandlungen kursieren hunderte von Depeschen, Briefen, Schriftwechseln und Tagebüchern in Europa und versorgen die verschiedenen Höfe mit Nachrichten (man denke nur an das Tagebuch des Sängers, Komponisten und Diplomaten Atto Melani, der im Gefolge des Kardinals Mazarin auf der Fasaneninsel, dem Ort der Vertragsunterzeichnung, zugegen ist). Merkurs Botschaft, die sich wie eine dieser Depeschen gestaltet, dient auch als poetisches Mittel, um die Figur des Kardinals hervorzuheben und von seinem Tun und seinem diplomatischen Geschick zu erzählen: Den Frieden verkörpert einer seiner einflussreichsten Protagonisten. Der Kardinal spielt nämlich auf französischer Seite eine wesentliche Rolle bei der Erreichung des Friedensabkommens von 1659 und steht folglich im Mittelpunkt des Werks, das ihm überdies gewidmet ist. Im Widmungsbrief wird er als derjenige beschrieben, dem es durch die Verwandlung von Krieg in Frieden gelingt, das Angesicht der Welt zu verändern. Im Kontext der Entstehung und der Botschaft des Werks macht die Widmung an Mazarin (mit der Datierung Rom, 15. Mai 1660) deutlich, dass die Rolle des 1661 verstorbenen Diplomaten allgemein anerkannt war.Das in der Ausstellung gezeigte Libretto bezieht sich auf eine Aufführung in Bologna im Jahr 1671. Zusätzlich ist von Bedeutung, dass das Libretto die gleiche gedruckte Widmung mit der Datierung auf 1660 enthält wie auch das Libretto einer späteren Aufführung in Venedig im Jahr 1673. Das bedeutende Wirken des Kardinals zugunsten des Friedens zu inszenieren, ist ein Akt der historischen Erinnerung und wird zehn Jahre nach dessen Tod zu einer Hommage an den großen Diplomaten.CP</t>
  </si>
  <si>
    <t xml:space="preserve">Il consiglio degli Dei., Rar. Libr. Op. 17. Jh. 105</t>
  </si>
  <si>
    <t xml:space="preserve">https://friedensbilder-neu.gnm.de/sites/default/files/2019-06/Rar_Libr_Op_17_Jh_105_0.png</t>
  </si>
  <si>
    <t xml:space="preserve">Il consiglio degli Dei.</t>
  </si>
  <si>
    <t xml:space="preserve">http://friedensbilder.gnm.de/content/frieden_foto_order1df614</t>
  </si>
  <si>
    <t xml:space="preserve">Musik (Autograph)</t>
  </si>
  <si>
    <t xml:space="preserve">Utrecht Te Deum and Jubilate</t>
  </si>
  <si>
    <t xml:space="preserve">R.M.20.g.5</t>
  </si>
  <si>
    <t xml:space="preserve">Händel, Georg Friedrich</t>
  </si>
  <si>
    <t xml:space="preserve">Hendrie 1998b
Burrows 2013</t>
  </si>
  <si>
    <t xml:space="preserve">S. VII–XII
S. 260f.</t>
  </si>
  <si>
    <t xml:space="preserve">https://opac.rism.info/metaopac/singleHit.do?methodToCall=showHit&amp;curPos=31&amp;identifier=251_SOLR_SERVER_503190682</t>
  </si>
  <si>
    <t xml:space="preserve">http://friedensbilder.gnm.de/sites/default/files/r.m.20.g.5_f062v.tif
http://friedensbilder.gnm.de/sites/default/files/r.m.20.g.5_f071v.tif</t>
  </si>
  <si>
    <t xml:space="preserve">Der eigentliche Sieger im Friedensvertrag von Utrecht, der die offiziellen Verhandlungen zwischen England und Frankreich besiegelt, ist Großbritannien. Anlässlich dieses Friedensschlusses&amp;nbsp;komponiert Georg Friedrich Händel (1685–1759) im Auftrag des englischen Königshauses sein „Utrecht Te Deum and Jubilate“ (HWV 278 und 279). Das noch während&amp;nbsp;Händels Anstellung in Hannover geschriebene Stück wird - nach der&amp;nbsp;im Mai 1713 erfolgten Entlassung&amp;nbsp;des Komponisten&amp;nbsp;aus den Diensten des Kurfürsten von Hannover -&amp;nbsp;nach einigen öffentlichen Proben am 7. Juli 1713 in der Londoner St. Pauls-Kathedral aufgeführt, im Rahmen von vielen anderen prunkvollen Festivitäten, die den ganzen Tag über andauern. Gerade durch den öffentlichen Charakter der Proben und der Hauptaufführung dieses Stücks&amp;nbsp;wird Händel einem breiten Publikum bekannt und kann so ins Zentrum des Londoner Musiklebens vorrücken.In Händels Friedens-Komposition tritt der Friede selbst nicht auf, höchstens vermittelt durch die Negativfolie der Todesschatten. Ferner wird irdischer Friede auf die Ebene des himmlischen Reiches transformiert. Gerade das „Jubilate“ mit seiner ausladenden Doxologie richtet den Blick bereits auf die Zeit nach dem Friedensschluss und verlängert die Perspektive sozusagen ins Metaphysische. Gewissermaßen als Dank für den Frieden findet hier ein emphatischer Lobpreis Gottes und des Himmlischen Reiches statt, während die Friedensdarstellung selbst nicht direkt greifbar ist (fol. 62v: „Glory be to the Father“; fol. 71v: „world without end“).SEH</t>
  </si>
  <si>
    <t xml:space="preserve">Utrecht Te Deum and Jubilate, R.M.20.g.5</t>
  </si>
  <si>
    <t xml:space="preserve">https://friedensbilder-neu.gnm.de/sites/default/files/2019-06/R.M.20.g_5_01_0.png
https://friedensbilder-neu.gnm.de/sites/default/files/2019-06/R.M.20.g_5_02_0.png</t>
  </si>
  <si>
    <t xml:space="preserve">http://friedensbilder.gnm.de/content/frieden_foto_order20adaa</t>
  </si>
  <si>
    <t xml:space="preserve">L’inganno fedele oder Der getreue Betrug</t>
  </si>
  <si>
    <t xml:space="preserve">30 in: Mus. T 4</t>
  </si>
  <si>
    <t xml:space="preserve">Komponist
Textdichter</t>
  </si>
  <si>
    <t xml:space="preserve">Keiser, Reinhard
König, Johann Ulrich von</t>
  </si>
  <si>
    <t xml:space="preserve">Marx 1995
Schröder 1998</t>
  </si>
  <si>
    <t xml:space="preserve">S. 242–245
S. 193–197</t>
  </si>
  <si>
    <t xml:space="preserve">http://digital.staatsbibliothek-berlin.de/werkansicht?PPN=PPN684941511&amp;PHYSID=PHYS_0001&amp;DMDID=</t>
  </si>
  <si>
    <t xml:space="preserve">Da Rastatt nun uns Rast und Ruhe schencket,
In Teutschland schon des Friedens Oelzweig blüht,
Und Hammons-Burg sich frey von der Versperrung sieht,
Weicht auch von uns das Leyd, das uns bißher gekräncket.
</t>
  </si>
  <si>
    <t xml:space="preserve">http://friedensbilder.gnm.de/sites/default/files/30 in Mus_T 4_01.jpg
http://friedensbilder.gnm.de/sites/default/files/30 in Mus_T 4_02.jpg
http://friedensbilder.gnm.de/sites/default/files/30 in Mus_T 4_03.jpg
http://friedensbilder.gnm.de/sites/default/files/30 in Mus_T 4_04.jpg
http://friedensbilder.gnm.de/sites/default/files/30 in Mus_T 4_05.jpg</t>
  </si>
  <si>
    <t xml:space="preserve">Im Jahr 1714 wächst nach dem Ende der Pest und den Friedensschlüssen von Rastatt und Baden auch in Hamburg die Hoffnung auf eine neue Blütezeit mit florierenden Handelskontakten. Die im Oktober 1714 in Hamburg uraufgeführte Oper „L'inganno fedele, oder: Der getreue Betrug“ von Reinhard Keiser (1674– 1739) verleiht dieser Sehnsucht klingenden Ausdruck. Der Textdichter Johann Ulrich König (1688–1744) hat für das Stück offenbar eine italienische Vorlage („Italiänische Cantata“) ins Deutsche übersetzt und bearbeitet. Im Zentrum seiner Dichtung steht eine arkadische Handlung, umgeben von einem Prolog und einem Epilog. In diesen Rahmenteilen wird „Hamburgs Wohlergehen“ besungen, so dass im Libretto Passagen mit lokalen und zeitgeschichtlichen Bezügen ein pastorales Spiel umschließen. Das im Stück dominierende Hirtenleben bestimmt auch die gattungsmäßige Zuordnung der Oper, die auf dem Titelblatt als „Heroisches Schäfer-Spiel“ bezeichnet wird.Nach einer Klage über die Schrecken des Krieges versammeln sich im ersten Auftritt der ersten Handlung auf dem Parnaß Musen und Virtuosen um Apollo, um die mit dem Friedensschluss von Rastatt „wiedererhaltene Ruh“ zu preisen, nachdem Mars mit seinen allgegenwärtigen Bedrohungen sogar Hammonia, d. h. die „berühmte Stadt“ Hamburg bedrängt hat. Gleichsam als akustisches Kennzeichen der neuen Friedenszeit sollen Flöten und Saiteninstrumente erklingen. Der Dank für diese neuen Segnungen richtet sich nicht, wie sonst üblich, an den habsburgischen Herrscher, sondern an den Hamburger Rat, dem zu Ehren man in diesem Stück mitten auf der Bühne das Wappen der Stadt platziert, das nun auch selbst zum Gegenstand&amp;nbsp;von Huldigungen wird.Auch in der Schlussszene wird nochmals die Stadt Hamburg angerufen. Über ihr sieht man den Götterboten Mercurius mit einem Ölzweig und die Friedensgöttin Irene unter einem Regenbogen schweben. So verbindet sich hier die Friedensemblematik unmittelbar mit der Handelsmetropole Hamburg.SEH</t>
  </si>
  <si>
    <t xml:space="preserve">L’inganno fedele oder Der getreue Betrug, 30 in: Mus. T 4</t>
  </si>
  <si>
    <t xml:space="preserve">https://friedensbilder-neu.gnm.de/sites/default/files/2019-06/30-in-Mus_0.png</t>
  </si>
  <si>
    <t xml:space="preserve">http://friedensbilder.gnm.de/content/frieden_foto_order1e7c87</t>
  </si>
  <si>
    <t xml:space="preserve">Ode for the Peace of Utrecht</t>
  </si>
  <si>
    <t xml:space="preserve">2 Mus.pr. 12269</t>
  </si>
  <si>
    <t xml:space="preserve">Croft, William
Trapp, Joseph</t>
  </si>
  <si>
    <t xml:space="preserve">https://opac.rism.info/metaopac/singleHit.do?methodToCall=showHit&amp;curPos=1&amp;identifier=251_SOLR_SERVER_1326490235</t>
  </si>
  <si>
    <t xml:space="preserve">http://www.mdz-nbn-resolving.de/urn/resolver.pl?urn=urn:nbn:de:bvb:12-bsb11134816-2</t>
  </si>
  <si>
    <t xml:space="preserve">Musicus Apparatus Academicus, Being a Composition of Two Odes with Vocal &amp; Instrumental Musick</t>
  </si>
  <si>
    <t xml:space="preserve">S. 1–64</t>
  </si>
  <si>
    <t xml:space="preserve">http://friedensbilder.gnm.de/sites/default/files/bsb11134816_00019.jpg
http://friedensbilder.gnm.de/sites/default/files/bsb11134816_00022.jpg
http://friedensbilder.gnm.de/sites/default/files/bsb11134816_00005.jpg</t>
  </si>
  <si>
    <t xml:space="preserve">Ode for the Peace of Utrecht, 2 Mus.pr. 12269</t>
  </si>
  <si>
    <t xml:space="preserve">https://friedensbilder-neu.gnm.de/sites/default/files/2019-06/2-Mus.pr_.-12269_01_0.png
https://friedensbilder-neu.gnm.de/sites/default/files/2019-06/2-Mus.pr_.-12269_02_0.png
https://friedensbilder-neu.gnm.de/sites/default/files/2019-06/2-Mus.pr_.-12269_03_0.png</t>
  </si>
  <si>
    <t xml:space="preserve">http://friedensbilder.gnm.de/content/frieden_foto_order1e7c94</t>
  </si>
  <si>
    <t xml:space="preserve">Dank-Gebet,</t>
  </si>
  <si>
    <t xml:space="preserve">Res/Bavar. 5199 a (2)</t>
  </si>
  <si>
    <t xml:space="preserve">Verfasset von D. Johann Georg Schelhorn, Superint.</t>
  </si>
  <si>
    <t xml:space="preserve">Dank-Gebet,, Res/Bavar. 5199 a (2)</t>
  </si>
  <si>
    <t xml:space="preserve">Kirchencantata verfertiget von Johannes Ellmer,</t>
  </si>
  <si>
    <t xml:space="preserve">Res/Bavar. 5199 a (3)</t>
  </si>
  <si>
    <t xml:space="preserve">Ellmer, Johann Conrad</t>
  </si>
  <si>
    <t xml:space="preserve">S. 20–23</t>
  </si>
  <si>
    <t xml:space="preserve">Cantor und Präc. Lyc.</t>
  </si>
  <si>
    <t xml:space="preserve">Die Schrecken des Kriegs.</t>
  </si>
  <si>
    <t xml:space="preserve">Res/Bavar. 5199 a (4)</t>
  </si>
  <si>
    <t xml:space="preserve">Köberle, Balthasar</t>
  </si>
  <si>
    <t xml:space="preserve">S. 24–36</t>
  </si>
  <si>
    <t xml:space="preserve">Eine Einladungsschrift zu einer öffentlichen Redeübung, in der lateinischen Schule,</t>
  </si>
  <si>
    <t xml:space="preserve">Donnerstags den 28. April, Vormittags, von Balthasar Köberle, des Lycei Rector.</t>
  </si>
  <si>
    <t xml:space="preserve">Cantata zum Collegio Musico</t>
  </si>
  <si>
    <t xml:space="preserve">Res/Bavar. 5199 a (6)</t>
  </si>
  <si>
    <t xml:space="preserve">S. 67–68</t>
  </si>
  <si>
    <t xml:space="preserve">Verfertiget und componirt von Johann Conrad Ellmer jgr.</t>
  </si>
  <si>
    <t xml:space="preserve">Historische Nachricht von der Feyer des Dank und Friedensfestes in Memmingen.</t>
  </si>
  <si>
    <t xml:space="preserve">Res/Bavar. 5199 a (8)</t>
  </si>
  <si>
    <t xml:space="preserve">S. 72–76</t>
  </si>
  <si>
    <t xml:space="preserve">Prologo. Guerra e Pace</t>
  </si>
  <si>
    <t xml:space="preserve">Rar. Libr. Ven. 43_</t>
  </si>
  <si>
    <t xml:space="preserve">Pinelli, Giovanni Pietro</t>
  </si>
  <si>
    <t xml:space="preserve">Appresso Gio: Pietro Pinelli</t>
  </si>
  <si>
    <t xml:space="preserve">http://daten.digitale-sammlungen.de/~db/0004/bsb00047991/images/index.html?id=00047991&amp;groesser=&amp;fip=193.174.98.30&amp;no=&amp;seite=7</t>
  </si>
  <si>
    <t xml:space="preserve">Argiope. Favola musicale</t>
  </si>
  <si>
    <t xml:space="preserve">http://friedensbilder.gnm.de/sites/default/files/bsb00047991_00019_0.jpg
http://friedensbilder.gnm.de/sites/default/files/bsb00047991_00020.jpg
http://friedensbilder.gnm.de/sites/default/files/bsb00047991_00007_0.jpg</t>
  </si>
  <si>
    <t xml:space="preserve">Guerra e Pace – PrologDer Prolog mit zwei allegorischen Figuren, Guerraund Pace (Krieg und Frieden), gehört zu „Argiope“, einer Oper, die im Karneval 1649 am venezianischen Teatro SS. Giovanni e Paolo aufgeführt wurde. Sie beschreibt die Ereignisse um Argiope, die Tochter des Teuthras, und berichtet von den Kriegsplänen, die beide gegenüber Augea, der Königin von Karien, im Schilde führen. Das Opernlibretto dürfte bereits 1645 entstanden sein. Dies bezeugt der mit dem Datum des 29.&amp;nbsp;Dezember 1645 versehene Widmungsbrief von Giovanni Battista Fusconi. Der Prolog wurde dagegen wohl erst 1649 anlässlich der Aufführung der Oper hinzugefügt. Er setzt – nachdem im Herbst des Vorjahres der Westfälische Frieden unterzeichnet wurde – den Kontrast zwischen Guerra und Pace in Szene. Pace ist sich freilich sicher, dass das Schicksal auf seiner Seite ist. Unter Bezug auf die Befriedung des Königreichs Karien spielt der Prolog auf den in Europa wieder erlangten Frieden an und wünscht sich auch für das im Krieg um Kreta befindliche Venedig eine Befriedung, damit die Serenissima ihre Rolle als unbestrittene Königin der Meere und als Stolz der Welt – „Donna del Mar, gloria del mondo“ – wieder erlangen könne.Die politische Funktion des Prologs in der venezianischen Oper des Seicento ist bekannt, jedoch erlaubt es die Betrachtung der Friedensdarstellungen, den venezianischen Kontext in einen größeren europäisch-mediterranen Kontext einzuordnen und die äußerst wichtige Funktion der Friedensdarstellungen in der Frühen Neuzeit zu beleuchten. Zweifellos enthält die Botschaft mehrere Ebenen. Auf der einen Seite spiegelt der Prologmit seiner Friedensnachricht die europäische Versöhnung nach dem Dreißigjährigen Krieg; auf der anderen Seite vermittelt das Werk insgesamt eine Botschaft im Sinne der Politik Venedigs, die auf die Unterstützung der europäischen Mächte im jahrhundertelangen Krieg gegen das Osmanische Reich setzte: Hinter der Anspielung auf eine neue Friedenszeit verbirgt sich der Aufruf zu einem neuen Waffengang.CP</t>
  </si>
  <si>
    <t xml:space="preserve">Prologo. Guerra e Pace, Rar. Libr. Ven. 43_</t>
  </si>
  <si>
    <t xml:space="preserve">https://friedensbilder-neu.gnm.de/sites/default/files/2019-06/Rar-Libr-Ven_43_0.png</t>
  </si>
  <si>
    <t xml:space="preserve">http://friedensbilder.gnm.de/content/frieden_foto_order1df2c4</t>
  </si>
  <si>
    <t xml:space="preserve">Rar. Libr. Ven. 43</t>
  </si>
  <si>
    <t xml:space="preserve">http://friedensbilder.gnm.de/sites/default/files/bsb00047991_00007.jpg</t>
  </si>
  <si>
    <t xml:space="preserve">http://friedensbilder.gnm.de/content/frieden_object1b3ba5</t>
  </si>
  <si>
    <t xml:space="preserve">http://friedensbilder.gnm.de/content/frieden_foto_order1df2c9</t>
  </si>
  <si>
    <t xml:space="preserve">Rar. Libr. Cant. / Fest 154</t>
  </si>
  <si>
    <t xml:space="preserve">Risaliti, Giovanni </t>
  </si>
  <si>
    <t xml:space="preserve">Florenz</t>
  </si>
  <si>
    <t xml:space="preserve">Mellace 2004
Chegai 2011</t>
  </si>
  <si>
    <t xml:space="preserve">S. 132–135
S. 3–30</t>
  </si>
  <si>
    <t xml:space="preserve">http://daten.digitale-sammlungen.de/~db/0005/bsb00050306/images/index.html?id=00050306&amp;groesser=&amp;fip=193.174.98.30&amp;no=&amp;seite=3</t>
  </si>
  <si>
    <t xml:space="preserve">http://friedensbilder.gnm.de/sites/default/files/bsb00050306_00003.jpg</t>
  </si>
  <si>
    <t xml:space="preserve">[Herrscherrepräsentiation]Die Festa teatrale „Egeria“ wurde erstmals 1764 in Wien zur Feier der Krönung von Kaiser Joseph&amp;nbsp;II. aufgeführt. Nach der Wiener Vorstellung kursierten der Text und die Partitur in Europa, insbesondere in Italien. Libretti wie das 1764 in Florenz gedruckte und hier präsentierte Exemplar bezeugen den Wunsch nach Huldigung und weiteren Darbietungen der Oper nach der Wiener Uraufführung.Im Mittelpunkt des Geschehens steht die Nymphe Egeria. Die Götter (Mars, Apollo, Merkur und Venus), die in der Komposition erscheinen, begeben sich zu Egerias Quelle in der Nähe von Rom, um sie um Rat zu bitten und ihren Streit beizulegen, wer unter den Menschen denn nun geeignet sei, das vollkommene Glück auf Erden zu bewahren und die Kunst des Friedens harmonisch mit der Kunst des Krieges zu vereinen. Ihm wollen die Götter die Krone verleihen. Es handelt sich jedoch um eine schwierige Entscheidung, denn der Erwählte muss sowohl imstande sein, die Anhänger des Mars in die Schlacht zu führen, als auch muss er sich den Künsten des Friedens widmen. Die Person Josephs II. entspricht offenbar diesen Anforderungen. Nun beschreiben die Protagonisten der Kantate seine königlichen Tugenden in musikalischen Dialogen und preisen seine militärischen Fähigkeiten (Mars: „Inmitten von Kriegswirren geboren“), die Bestandteil seiner Erziehung sind. Hinzu kommen die Tugenden der Pietas (so hebt insbesondere Apollo hervor, dass sich Joseph II. durch Gnade, Gerechtigkeit, Vernunft und die Fähigkeit, den Zorn zu bändigen, auszeichne) sowie die Liebe zu den Künsten und zur Natur (Merkur: „Io l'ammirai bagnando d'erudito sudor le dotte carte“ / Ich bewunderte ihn, wie er mit belesenem Schweiß die gelehrten Schriften benetzte). Egeria besiegelt die Wahl Josephs II. Der Kaiser, „Romanorum Imperator semper Augustus“, wird dem antik-römischen Mythos der Egeria entsprechend als neuer Numa Pompilius vorgestellt, der aus der Quelle der Egeria Inspiration und Reinheit schöpft und der allein fähig ist, den so mühsam errungenen Frieden in Europa zu wahren.CP&amp;nbsp;
</t>
  </si>
  <si>
    <t xml:space="preserve">Egeria festa teatrale, Rar. Libr. Cant. / Fest 154</t>
  </si>
  <si>
    <t xml:space="preserve">https://friedensbilder-neu.gnm.de/sites/default/files/2019-06/Rar_Libr_Cant_Fest-154_0.png</t>
  </si>
  <si>
    <t xml:space="preserve">http://friedensbilder.gnm.de/content/frieden_foto_order1f9110</t>
  </si>
  <si>
    <t xml:space="preserve">V.F. 154 I 15 (0011</t>
  </si>
  <si>
    <t xml:space="preserve">Buagni, Giovanni Francesco</t>
  </si>
  <si>
    <t xml:space="preserve">Per il Buagni</t>
  </si>
  <si>
    <t xml:space="preserve">https://books.google.it/books?id=mpUUScp9vgoC&amp;hl=it&amp;pg=PA49#v=onepage&amp;q&amp;f=false</t>
  </si>
  <si>
    <t xml:space="preserve">http://friedensbilder.gnm.de/sites/default/files/154I15(11.tif</t>
  </si>
  <si>
    <t xml:space="preserve">https://friedensbilder-neu.gnm.de/sites/default/files/2019-06/VF-154-I-15-0011.png</t>
  </si>
  <si>
    <t xml:space="preserve">http://friedensbilder.gnm.de/content/frieden_foto_order1df62b</t>
  </si>
  <si>
    <t xml:space="preserve">35. 6.L.4.4</t>
  </si>
  <si>
    <t xml:space="preserve">https://books.google.it/books?id=FkPgijYA-XwC&amp;hl=it&amp;pg=PR1#v=onepage&amp;q&amp;f=false</t>
  </si>
  <si>
    <t xml:space="preserve">http://friedensbilder.gnm.de/sites/default/files/35. 6.L.4.4, Biblioteca Nazionale Centrale Vittorio Emanuele II Roma._0.JPG</t>
  </si>
  <si>
    <t xml:space="preserve">https://friedensbilder-neu.gnm.de/sites/default/files/2019-06/35.-6.L.4.4.png</t>
  </si>
  <si>
    <t xml:space="preserve">http://friedensbilder.gnm.de/content/frieden_foto_order1df1b2</t>
  </si>
  <si>
    <t xml:space="preserve">Corniani Algarotti Racc. Dramm. 613</t>
  </si>
  <si>
    <t xml:space="preserve">http://www.braidense.it/rd/00613.pdf</t>
  </si>
  <si>
    <t xml:space="preserve">http://friedensbilder.gnm.de/sites/default/files/Antiporta RACC. DRAMM. 0613 (1).jpg
http://friedensbilder.gnm.de/sites/default/files/Frontespizio RACC. DRAMM. 0613 (1).jpg</t>
  </si>
  <si>
    <t xml:space="preserve">Das Sujet geht auf den Götterrat (der von Jupiter einberufen wird, um eine Lösung für den Konflikt zwischen Latinern und Trojanern zu finden) aus Vergils Epos Aeneis (Buch X) zurück.Die Oper „Il Consiglio degli Dei“setzt die himmlische Versammlung der Götter auf einer Wolke über den Pyrenäen in Szene, während unten, auf der Erde, ein weiterer Rat tagt, bei dem französische und spanische Diplomaten nach der Verkündigung eines Waffenstillstands über das Geschick und die Bedingungen des Friedens verhandeln. Bei den Göttern stehen sich die Kriegspartei (Mars, Bellona etc.) und die Befürworter des Friedens (Jupiter, der Genius der Stadt, Venus, Merkur etc.) gegenüber. Die Argumente beider Parteien werden von Unterstützern und Gegnern diskutiert, jedoch scheint, ganz wie bei den langwierigen irdischen Verhandlungen für die Pyrenäenfrieden, keine Lösung in Sicht. Erst Venus gelingt es schließlich, einen Ausweg zu finden und eine Mehrheit für den Frieden zu gewinnen. Daraufhin sendet sie Merkur zur Erde, und zwar in die Pyrenäenregion, wo die Verhandlungen stattfinden, um zu erkunden, wie es um die Stimmung der Menschen hinsichtlich einer Entscheidung zwischen Krieg und Friedensvereinbarung stehe. Merkur kehrt mit einer Friedensbotschaft zurück, und so siegt auch in den himmlischen Sphären der Friede.Die Gesamtbotschaft der Oper, welche die Bedeutung von Dialog und Diplomatie betont, kehrt die Vorstellung vom Frieden als Ergebnis göttlichen Eingreifens um. Die Götter gelangen in dem Moment zum Frieden, in dem die Friedensdiplomatie auf der Erde erfolgreich ist. Das Werk hebt die dialektischen und strategischen Fähigkeiten der an den Verhandlungen beteiligten Protagonisten hervor. Insbesondere sticht die Figur von Kardinal Mazarin heraus, dem die Oper gewidmet ist. Die Darstellung der himmlischen Parteien und Verhandlungen dient folglich als Spiegelbild menschlicher Diplomatie, Verhandlungen und Parteiungen. Auch der Stich, der das Frontispiz des Librettos schmückt, verdeutlicht die Symmetrie von himmlischer und irdischer Welt. Die Seite wird vertikal von einer Wolke in zwei Bereiche geteilt. Oben thront in der Mitte Apollo mit der Lyra auf dem von zwei Pferden gezogenen Sonnenwagen. Die Figuren an seiner Seite stellen die Musen dar. Den unteren Bereich dagegen nehmen fünf allegorische Figuren ein, in deren Mittelpunkt eine geflügelte und von einem Olivenzweig gekrönte Figur in erhabener Position – vielleicht Pax, die Personifikation des Friedens – auf einem allegorischen Schiff mit einem maskenförmigen Bug steht. Das Schiff wird von zwei Seepferden gezogen und von Putten und Figuren mit Fackeln begleitet.Das in der Ausstellung gezeigte Libretto geht auf die 1671 in Bologna dargebotene Aufführung zurück. Eine weitere Aufführung in Venedig im Jahr 1673 war mit der gleichen Widmung an Mazarin (datiert Rom 1660) sowie einem Prolog mit dem Titel „La pace tra le fiere“ versehen, der zweifellos emblematisch für das veränderte politische Klima dieser Zeit steht.CP&amp;nbsp;</t>
  </si>
  <si>
    <t xml:space="preserve">Il consiglio degli Dei., Corniani Algarotti Racc. Dramm. 613</t>
  </si>
  <si>
    <t xml:space="preserve">https://friedensbilder-neu.gnm.de/sites/default/files/2019-06/Frontespizio-RACC.-DRAMM_613_0.png
https://friedensbilder-neu.gnm.de/sites/default/files/2019-06/Antiporta-RACC.-DRAMM_613_0.png</t>
  </si>
  <si>
    <t xml:space="preserve">http://friedensbilder.gnm.de/content/frieden_foto_order1df5aa</t>
  </si>
  <si>
    <t xml:space="preserve">Der bey dem allgemeinen Welt-Friede von dem Grossen Augustus geschlossene Tempel des Janus auf dem lang-gewünschten Frieden-Feste Welches im Jahr 1698 in Hamburg gefeiret ward</t>
  </si>
  <si>
    <t xml:space="preserve">MS 639/3:5, Nr. 75</t>
  </si>
  <si>
    <t xml:space="preserve">Postel, Christian Heinrich
Keiser, Reinhard
Spiering, Nikolaus</t>
  </si>
  <si>
    <t xml:space="preserve">Roberts 1986a
Marx 1995
Schröder 1998</t>
  </si>
  <si>
    <t xml:space="preserve">S. 188–321
S. 89–91
S. 94–107</t>
  </si>
  <si>
    <t xml:space="preserve">https://opac.rism.info/metaopac/singleHit.do?methodToCall=showHit&amp;curPos=1&amp;identifier=251_SOLR_SERVER_58820458
https://opac.rism.info/metaopac/singleHit.do?methodToCall=showHit&amp;curPos=1&amp;identifier=251_SOLR_SERVER_1672939406</t>
  </si>
  <si>
    <t xml:space="preserve">720222T</t>
  </si>
  <si>
    <t xml:space="preserve">http://digitalisate.sub.uni-hamburg.de/nc/detail.html?tx_dlf%5Bid%5D=5470&amp;tx_dlf%5Bpage%5D=1&amp;tx_dlf%5Bpointer%5D=0</t>
  </si>
  <si>
    <t xml:space="preserve">in einem Singe-Spiel vorgestellet</t>
  </si>
  <si>
    <t xml:space="preserve">http://friedensbilder.gnm.de/sites/default/files/MS 639_3_5 Nr 75_01.tif
http://friedensbilder.gnm.de/sites/default/files/MS 639_3_5 Nr 75_02.tif
http://friedensbilder.gnm.de/sites/default/files/MS 639_3_5 Nr 75_03.tif
http://friedensbilder.gnm.de/sites/default/files/MS 639_3_5 Nr 75_04.tif
http://friedensbilder.gnm.de/sites/default/files/00000001_1.tif
http://friedensbilder.gnm.de/sites/default/files/00000002_0.tif
http://friedensbilder.gnm.de/sites/default/files/00000003.tif</t>
  </si>
  <si>
    <t xml:space="preserve">Mus.ms. 11481</t>
  </si>
  <si>
    <t xml:space="preserve">https://friedensbilder-neu.gnm.de/sites/default/files/2019-06/MS-639_3_5-Nr-75_01_0.png
https://friedensbilder-neu.gnm.de/sites/default/files/2019-06/MS-639_3_5-Nr-75_02_0.png
https://friedensbilder-neu.gnm.de/sites/default/files/2019-06/MS-639_3_5-Nr-75_03_0.png
https://friedensbilder-neu.gnm.de/sites/default/files/2019-06/MS-639_3_5-Nr-75_04_0.png</t>
  </si>
  <si>
    <t xml:space="preserve">http://friedensbilder.gnm.de/content/frieden_object20a3cc</t>
  </si>
  <si>
    <t xml:space="preserve">http://friedensbilder.gnm.de/content/frieden_foto_order20a5df</t>
  </si>
  <si>
    <t xml:space="preserve">Musik (Manuskript)</t>
  </si>
  <si>
    <t xml:space="preserve">Lobet den Herrn in seinem Heiligtum</t>
  </si>
  <si>
    <t xml:space="preserve">Cod. in scrin. 251</t>
  </si>
  <si>
    <t xml:space="preserve">Selle, Thomas</t>
  </si>
  <si>
    <t xml:space="preserve">Cvetko 2007b</t>
  </si>
  <si>
    <t xml:space="preserve">S. VII–XI</t>
  </si>
  <si>
    <t xml:space="preserve">https://opac.rism.info/metaopac/singleHit.do?methodToCall=showHit&amp;curPos=2&amp;identifier=251_SOLR_SERVER_1677823780</t>
  </si>
  <si>
    <t xml:space="preserve">
Michael Gottlieb Steltzner, Versuch einer zuverläßigen Nachricht von dem Kirchlichen und Politischen Zustande der Stadt Hamburg, Teil 3, Hamburg 1733, S. 610f. [Beschreibung des Friedensfests in Hamburg im Jahre 1650]:
&amp;nbsp;„1650 […] Den 16. Junii ist der Friede zu Nürnberg unterschrieben, besiegelt, ratificiret, publiciret und zur Execution gebracht worden. Dieserhalben wurde in allen Ländern und Städten ein abermahliges Danck-Fest angeordnet. In Hamburg ward der 15. September dazu angesetzet; und in der Früh-Predigt der 95. Psalm; In der Haupt-Predigt ward aus den Propheten Zephania der 1. bis 8. Versicul des 2. Cap. In der Nachmittags-Predigt aber der 126 Psalm erkläret. Nach der Haupt-Predigt wurde das Te Deum Laudamus in allen Kirchen gesungen, und eine Danck-Collecte gesprochen. In der St. Peters-Kirche ward der 150. Psalm mit allen musicalischen Instrumenten herrlich abgesungen und musiciret.&amp;nbsp;Von 10. Uhren ward von Dom- und Jacobi-Thurm, und hernächst von Nicolai- und Catharinen-Thurm unter Trompeten und Paucken-Schall vortrefflich geblasen. In der Nachmittags-Predigt, war die Music zu St. Nicolai… Des Abends von 7. bis 11. Uhr ward ein schönes Feuer-Werck auf der Alster angestecket. Es stellte solches die Gerechtigkeit und den Frieden vor, wie beyde einander sich küsseten… Unter währenden Feuer-Wercke wurde ein schönes Fried- und Freuden-Lied mit Trompeten und Paucken Wechsel-weise gesungen und musiciret. Das Lied hatte Herr Rist verfertiget.“
</t>
  </si>
  <si>
    <t xml:space="preserve">http://friedensbilder.gnm.de/sites/default/files/Cod. in scrin. 251.tif</t>
  </si>
  <si>
    <t xml:space="preserve">aus: „Friedens-Seufftzer und Jubel-Geschrey. Music for the Peace of Westphalia 1648“, Weser-Renaissance, Manfred Cordes, 1998, cpo 999 605-2
Co-Produktion: Westdeutscher Rundfunk Köln
CD 1, Track 16
</t>
  </si>
  <si>
    <t xml:space="preserve">In diesem geistlichen Konzert von Thomas Selle (1599–1663) auf&amp;nbsp;einen deutschen Text&amp;nbsp;kommt das Wort Frieden überhaupt nicht vor, obwohl das Stück am Sonntag, dem 15.&amp;nbsp;September 1650 in der Hamburger S.&amp;nbsp;Petri-Kirche anlässlich der Feier zum Nürnberger Exekutionstag aufgeführt wird.Selle – Kantor am Hamburger Johanneum, Komponist und für die Figuralmusik an den Kirchen Hamburgs verantwortlich – führt sein Stück nach der Haupt-Predigt, einem gesungenen Te Deum Laudamus und einer „Danck-Collecte“ auf. Der Komposition liegt der Text des 150. Psalms zugrunde. Das Stück ist zwar Bestandteil des Gottesdienstes, doch das hält Selle nicht davon ab, in seiner Psalmkomposition mit überaus innovativen Kompositionstechniken zu experimentieren. Im Zentrum des Psalmtexts steht der Aufruf zum Lobpreis des Herrn, ein Sujet, für das die Technik der Mehrchörigkeit – im Wechsel mit geringstimmig besetzten konzertierenden Abschnitten – besonders plausibel erscheint. Bei beiden Techniken handelt es um damals aktuelle, aus Italien stammende Kompositionsmodelle.Für seine Komposition schreibt Selle eine große Besetzung vor:&amp;nbsp;drei vokal-instrumentale Chöre und außerdem ein ad libitum hinzu tretender sechsstimmiger Trompeten-Satz. Damit komponiert er – dem Anlass entsprechend – für insgesamt 22 Stimmen eine äußerst klangprächtige Musik, deren Ausführende zur Verstärkung des Raumeffekts und im Sinne eines klingenden Universums wohl an verschiedenen Stellen in der Hamburger St. Petri-Kirche positioniert sind.SEH</t>
  </si>
  <si>
    <t xml:space="preserve">Lobet den Herrn in seinem Heyligthum, Cod. in scrin. 251</t>
  </si>
  <si>
    <t xml:space="preserve">https://friedensbilder-neu.gnm.de/sites/default/files/2019-06/Cod.-in-scrin.png</t>
  </si>
  <si>
    <t xml:space="preserve">Lobet den Herrn in seinem Heyligthum</t>
  </si>
  <si>
    <t xml:space="preserve">http://friedensbilder.gnm.de/content/frieden_foto_order20a71c</t>
  </si>
  <si>
    <t xml:space="preserve">Musik Manuskript</t>
  </si>
  <si>
    <t xml:space="preserve">Danck- und Lobgesang auß dem 107. Psalm des Königlichen Propheten Davids</t>
  </si>
  <si>
    <t xml:space="preserve">Mus.ms.autogr. Herbst, J. A. 1</t>
  </si>
  <si>
    <t xml:space="preserve">Herbst, Johann Andreas</t>
  </si>
  <si>
    <t xml:space="preserve">https://opac.rism.info/metaopac/search?searchCategories%5B0%5D=-1&amp;q=Herbst+Danck-+und+Lobgesang&amp;View=rism</t>
  </si>
  <si>
    <t xml:space="preserve">http://resolver.staatsbibliothek-berlin.de/SBB00015A0900000000</t>
  </si>
  <si>
    <t xml:space="preserve">http://friedensbilder.gnm.de/sites/default/files/PPN785667318_00000002.tif
http://friedensbilder.gnm.de/sites/default/files/PPN785667318_00000003.tif</t>
  </si>
  <si>
    <t xml:space="preserve">aus: „Friedens-Seufftzer und Jubel-Geschrey. Music for the Peace of Westphalia 1648“, Weser-Renaissance, Manfred Cordes, 1998, cpo 999 605-2
Co-Produktion: Westdeutscher Rundfunk Köln
CD 2, Track 1
&amp;nbsp;
&amp;nbsp;
&amp;nbsp;
</t>
  </si>
  <si>
    <t xml:space="preserve">Johann Andreas Herbst (1588–1666), der aus Nürnberg stammt und lange Jahre in Frankfurt am Main als Leiter der Kirchenmusik an der Barfüßerkirche und als Director musices tätig ist, widmet dem Frankfurter Rat zum Neujahrstag 1649 ein geistliches Konzert, das den folgenden Titel trägt: „Danck- und Lobgesang auß dem 107. Psalm des Königlichen Propheten Davids… Mit 12 St., uff 3 Chor zu Musiciren, …Cum B. C., sambt der Heerpaucken und Trombetten, Uff das bevorstehende allgemeine Danckfest deß so lang gewüntschten, und nunmehr durch Gottes Gnad erlangten Friedens appliciret und gerichtet“.Dieses Dankfest wird wohl am 4. August 1649 in Frankfurt gefeiert. So berichtet Gebhard Florian in seiner „Chronica der weitberühmbten freyen Reichs- Wahl und Handelstatt Frackfurt am Mayn“, Frankfurt 1664, von diesem Ereignis. Das nach der Beschreibung der Chronik auf dem „Nicolaus Thurm“ musizierte Stück könnte Herbsts „Danck- und Lobgesang“ gewesen sein, wenngleich bisher Belege fehlen, die das sicher dokumentieren.Die Initiative, das Stück zu komponieren, scheint von Herbst ausgegangen zu sein. Aufgeführt wird das geistliche Konzert dann während des Frankfurter Dankfestes zu den Friedensschlüssen von Münster und Osnabrück und zum Nürnberger Executionstag nach den Gottesdiensten offenbar auf einem der Türme der Stadt. Das vokal-instrumentale Stück ist für drei Chöre mit Generalbass komponiert, wobei der zweite Chor ein vornehmlich solistisch agierender Favoritchor ist. Die im Titel der Komposition genannten „Heerpaucken und Trombetten“ werden auch in der zitierten Frankfurter Chronik bei der Beschreibung des Dankfestes erwähnt und sprechen dafür, dass Herbsts Komposition bei diesem Anlass auch tatsächlich erklingt.Kompositorisch verbindet das Stück mehrchörige Klangpracht nach venezianischem Vorbild mit solistisch konzertierenden Passagen. Wie ein Refrain kehrt das vollstimmig vorgetragene „und seine Güte währet ewiglich“ wieder. Sentenzartig werden diese Worte in kurzen Notenwerten über einem lange gehaltenen Fundament deklamiert, das mit seinen Tonrepetitionen im Quint- und Oktavabstand Dauer und Beständigkeit signalisiert. Dieser vollstimmige Abschnitt bezeugt auf musikalische Weise die Güte Gottes, die letztendlich den Frieden herbeigeführt hat. Herbsts geistliches Konzert steht in seiner „modernen“, an italienischen Trends orientierten Anlage ganz im Dienste des Repräsentationsbedürfnises der aufstrebenden Reichsstadt Frankfurt.SEH</t>
  </si>
  <si>
    <t xml:space="preserve">Danck- und Lobgesang auß dem 107. Psalm des Königlichen Propheten Davids, Mus.ms.autogr. Herbst, J. A. 1</t>
  </si>
  <si>
    <t xml:space="preserve">https://friedensbilder-neu.gnm.de/sites/default/files/2019-06/Mus.ms_.autogr.-Herbst,-J.-A-01.png
https://friedensbilder-neu.gnm.de/sites/default/files/2019-06/Mus.ms_.autogr.-Herbst,-J.-A-02.png</t>
  </si>
  <si>
    <t xml:space="preserve">http://friedensbilder.gnm.de/content/frieden_foto_order1e7af0</t>
  </si>
  <si>
    <t xml:space="preserve">Music for the Royal Fireworks</t>
  </si>
  <si>
    <t xml:space="preserve">R.M.20.g.7</t>
  </si>
  <si>
    <t xml:space="preserve">Hanheide 2008c
Best 1989a
Best 1989b
Hogwood 2004</t>
  </si>
  <si>
    <t xml:space="preserve">S. 48–53
S. 87–120
S. XII–XVIII</t>
  </si>
  <si>
    <t xml:space="preserve">https://opac.rism.info/metaopac/singleHit.do?methodToCall=showHit&amp;curPos=9&amp;identifier=251_SOLR_SERVER_164031489</t>
  </si>
  <si>
    <t xml:space="preserve">HWV 351</t>
  </si>
  <si>
    <t xml:space="preserve">Aufnahme: Youtube?
Z.B.&amp;nbsp;https://www.youtube.com/watch?v=cWT4Qv67rdI
</t>
  </si>
  <si>
    <t xml:space="preserve">http://friedensbilder.gnm.de/sites/default/files/RoyalFireworks.jpg
http://friedensbilder.gnm.de/sites/default/files/Building_for_the_Fireworks_in_the_Green_Park_1748_(cropped)[1]_0.jpg
http://friedensbilder.gnm.de/sites/default/files/Allegorie_frieden_aachen_1748.jpg
http://friedensbilder.gnm.de/sites/default/files/r.m.20.g.7_f025v.tif
http://friedensbilder.gnm.de/sites/default/files/r.m.20.g.7_f026r.tif
http://friedensbilder.gnm.de/sites/default/files/r.m.20.g.7_f026v.tif</t>
  </si>
  <si>
    <t xml:space="preserve">https://friedensbilder-neu.gnm.de/sites/default/files/2019-06/r.m.20.g.7_01.png
https://friedensbilder-neu.gnm.de/sites/default/files/2019-06/R.M.20.g_02.png
https://friedensbilder-neu.gnm.de/sites/default/files/2019-06/R.M.20.g_03.png</t>
  </si>
  <si>
    <t xml:space="preserve">http://friedensbilder.gnm.de/content/frieden_foto_order20ae55</t>
  </si>
  <si>
    <t xml:space="preserve">Musicalische Friedens-Gesänge</t>
  </si>
  <si>
    <t xml:space="preserve">75 var. 14</t>
  </si>
  <si>
    <t xml:space="preserve">Staden, Sigmund Theophil
Hanheide, Stefan</t>
  </si>
  <si>
    <t xml:space="preserve">Laufhütte 1998
Hanheide 2012c
Harrassowitz 1988
Norlind 1905/1906</t>
  </si>
  <si>
    <t xml:space="preserve">S. 347–357
S. 365–384
S. 83–90
S. 111–113</t>
  </si>
  <si>
    <t xml:space="preserve">Mus LS Yd 361-22</t>
  </si>
  <si>
    <t xml:space="preserve">http://friedensbilder.gnm.de/sites/default/files/Mus LS Yd 361-22.tif
http://friedensbilder.gnm.de/sites/default/files/1_75_var_14_4_titelblatt_0.tif
http://friedensbilder.gnm.de/sites/default/files/2_75_var_14_4_Aiij.tif
http://friedensbilder.gnm.de/sites/default/files/3_75_var_16_4_diedrittestimm_iii_001.tif
http://friedensbilder.gnm.de/sites/default/files/4_75_var_16_4_diedrittestimm_iii_002.tif</t>
  </si>
  <si>
    <t xml:space="preserve">aus: „Friedens-Seufftzer und Jubel-Geschrey. Music for the Peace of Westphalia 1648“, Weser-Renaissance, Manfred Cordes, 1998, cpo 999 605-2
Co-Produktion: Westdeutscher Rundfunk Köln
CD 2, Track 10
&amp;nbsp;
&amp;nbsp;
</t>
  </si>
  <si>
    <t xml:space="preserve">Das Nürnberger Friedensmahl, das am 25. September 1649 vom schwedischen Feldmarschall und Grafen Karl Gustav von Pfalz-Zweibrücken im Nürnberger Rathaus ausgerichtet wird, ist ganz im Dienste des Repräsentationsbedürfnisses der schwedischen Seite inszeniert. Während sich das einfache Volk draußen mit einem Wein spendenden Löwen vergnügt, tafelt drinnen im Saal die große Gesellschaft der Befehlshaber und Verhandlungsführer.Joachim von Sandrarts monumentales Gemälde „Das große Friedensmahl“ gibt diese opulente Festveranstaltung wieder. Auf Matthaeus Merians Reproduktion dieses Bildes sind die Musikerensembles gut zu sehen. Man erkennt vier musizierende Chorgruppen, die auf Emporen jeweils an den vier Ecken des Saales postiert sind. Unter der musikalischen Leitung des Nürnberger Musikers Sigmund Theophil Staden (1607–1655) wird mehrchörige, vokal-instrumentale Musik aufgeführt, die durch ihre vielstimmige Klangpracht Aufmerksamkeit erregt. Sandrarts Gemälde hält diese prächtig inszenierte Aufführungssituation fest. Eine zeitgenössische Tagebucheintragung dokumentiert die musikalische Aufführung und nennt vier großbesetzte Chöre mit insgesamt mehr als 50 Mitwirkenden. Das gebotene Programm umfasst Instrumental- und Vokalmusik verschiedener Komponisten.Erhalten ist diese großbesetzte, italienisch inspirierte Festmusik freilich nicht. Die von Staden komponierten „Musicalischen Friedens-Gesänge“ (gedruckt Nürnberg 1651) sind wohl ebenfalls zu diesem Anlass musiziert worden, entsprechen jedoch nicht der in Sandrarts Gemälde festgehaltenen Aufführungssituation. Vielmehr handelt es sich in Stadens Sammlung um strophische Generalbasslieder für ein bis drei Stimmen und drei Instrumente. Die vokalen Abschnitte werden vielfach von instrumentalen Passagen (Ritornell, Sonata, Symphonia) umrahmt.Die zugehörigen Texte enthalten typische Friedensbilder wie Kuss oder Ölzweig, außerdem sind sie wechselnden Allegorien zugeordnet (Donau, Elbe, Rhein, Bellona, Nice, Irene [„O schöner Friedensstern“ mit&amp;nbsp;2 Flöten], Fama, Victoria, Concordia [„eiserne Jahre zu guldenen Zeiten“]) und beziehen zahlreiche Naturschilderungen ein. In der Musik dominiert eine freudige Affektsprache. Die Nummer III „Friedens Aufzug“ ist explizit dem Gastgeber Karl Gustav gewidmet und nimmt direkt auf seine Friedensbankette Bezug, was darauf schließen lässt, dass Stadens Friedenszyklus wohl tatsächlich bei diesem Nürnberger Friedensmahl aufgeführt wurde.SEH&amp;nbsp;</t>
  </si>
  <si>
    <t xml:space="preserve">Musicalische Friedensgesänge, 75 var. 14</t>
  </si>
  <si>
    <t xml:space="preserve">https://friedensbilder-neu.gnm.de/sites/default/files/2019-06/75_Var_14_4_01_0.png
https://friedensbilder-neu.gnm.de/sites/default/files/2019-06/75_var_14_4_02_0.png
https://friedensbilder-neu.gnm.de/sites/default/files/2019-06/75_var_14_4_03_0.png
https://friedensbilder-neu.gnm.de/sites/default/files/2019-06/75_var_14_4_04_0.png</t>
  </si>
  <si>
    <t xml:space="preserve">Musicalische Friedensgesänge</t>
  </si>
  <si>
    <t xml:space="preserve">http://friedensbilder.gnm.de/content/frieden_foto_order20abec</t>
  </si>
  <si>
    <t xml:space="preserve">Musicalische Friedens-Freud:</t>
  </si>
  <si>
    <t xml:space="preserve">University of Michigan, Music Library</t>
  </si>
  <si>
    <t xml:space="preserve">Ann Arbor, Michigan</t>
  </si>
  <si>
    <t xml:space="preserve">M 1549 .K52 M8</t>
  </si>
  <si>
    <t xml:space="preserve">Komponist
Herausgeber
Drucker</t>
  </si>
  <si>
    <t xml:space="preserve">Kindermann, Johann Erasmus
Dürr, Hans-Gerhard
</t>
  </si>
  <si>
    <t xml:space="preserve">Aeneus-Verlag</t>
  </si>
  <si>
    <t xml:space="preserve">Schlage 2000
Wiermann 2005</t>
  </si>
  <si>
    <t xml:space="preserve">https://opac.rism.info/metaopac/search.do?methodToCall=submitButtonCall&amp;CSId=92027N365Sc120ab02a34d96f7ca547ceac14b6cd007d197d0&amp;methodToCallParameter=submitSearch&amp;refine=false&amp;View=rism&amp;searchCategories%5B0%5D=-1&amp;speedy=on&amp;searchString%5B0%5D=Musicalische+Friedens-Freud&amp;submitButtonCall_submitSearch=Suchen</t>
  </si>
  <si>
    <t xml:space="preserve">für eine und zwei Singstimmen (Cantus oder Tenor/Altus), zwei Violinen (ad. lib.) und Basso continuo</t>
  </si>
  <si>
    <t xml:space="preserve">Musik der Reichsstadt Nürnberg</t>
  </si>
  <si>
    <t xml:space="preserve">http://friedensbilder.gnm.de/sites/default/files/mdp.39015080972261.jpeg
http://friedensbilder.gnm.de/sites/default/files/mdp.39015080972261(1)_0.jpeg
http://friedensbilder.gnm.de/sites/default/files/mdp.39015080972261(2).jpeg</t>
  </si>
  <si>
    <t xml:space="preserve">aus: „Friedens-Seufftzer und Jubel-Geschrey. Music for the Peace of Westphalia 1648“, Weser-Renaissance, Manfred Cordes, 1998, cpo 999 605-2
Co-Produktion: Westdeutscher Rundfunk Köln
CD 2, Track 7
</t>
  </si>
  <si>
    <t xml:space="preserve">Dieser Liederdruck des Nürnberger Organisten und Komponisten Johann Erasmus Kindermann (1616–1655) wird im Jahr 1650 in Nürnberg veröffentlicht und enthält Generalbasslieder für eine bzw. zwei Singstimmen, häufig eröffnet durch eine instrumentale Einleitung. Kindermann ist zwar als Organist an der glanzvollen Aufführung repräsentativer Musik beim schwedischen Dankfest im Nürnberger Rathaussaal am 25. September 1649 beteiligt, doch spricht seine bereits ein Jahr später veröffentlichte Sammlung „Musicalische Friedens-Freud“ eine gänzlich andere Sprache. Hier handelt es sich um gering besetzte geistliche Lieder, deren strophische Texte von den Nürnberger Dichtern Johannes Vogel und Johann Klaj stammen. Kindermann, der selbst in Italien studiert hatte, bedient sich in seinen Liedern der um 1600 entwickelten italienischen Musikpraxis und schreibt kleinformatige Sologesänge über einem Generalbassfundament. Alle Lieder haben den ersehnten und von Gott endlich gewährten Frieden zum Thema.Im dritten Lied der Sammlung, „Nun lieben Christen, freuet euch im Geist und allen Sinnen“, werden die Errettung aus Kriegsgefahren und die Segnungen der Friedenszeit noch einmal als Folge göttlicher Güte gedeutet und mit dem städtischen Alltag verknüpft: „Dass aber unser Rathaus steht, die Stadt nicht übern Haufen geht, das ist des Herren Güte“. Kindermanns Lieder werden vermutlich in Nürnberger Musikgesellschaften in kleinem Kreis aufgeführt und dienen individueller Erbauung, nicht politischer Repräsentation. Ganz im Sinne einer persönlichen Andachtsmusik sind den Stücken überdies Melodien lutherischer Kirchenlieder beigegeben. Einfache, gesangliche Stimmführung in tänzerischer Diktion und strophischer Anlage, verbunden mit kurzen instrumentalen Zwischenspielen, sind die musikalischen Charakteristika dieser Liedkunst.SEH</t>
  </si>
  <si>
    <t xml:space="preserve">Frieden durch göttliches Handeln
Friedenszeit</t>
  </si>
  <si>
    <t xml:space="preserve">Musikalische Friedensfreud : für eine und zwei Singstimmen (Cantus oder Tenor/Altus), zwei Violinen (ad. lib.) und Basso continuo, M 1549 .K52 M8</t>
  </si>
  <si>
    <t xml:space="preserve">https://friedensbilder-neu.gnm.de/sites/default/files/2019-06/M-1549-.K52-M8_01_0.png
https://friedensbilder-neu.gnm.de/sites/default/files/2019-06/M-1549-.K52-M8_02_0.png
https://friedensbilder-neu.gnm.de/sites/default/files/2019-06/M-1549-.K52-M8_03_0.png</t>
  </si>
  <si>
    <t xml:space="preserve">Musikalische Friedensfreud : für eine und zwei Singstimmen (Cantus oder Tenor/Altus), zwei Violinen (ad. lib.) und Basso continuo</t>
  </si>
  <si>
    <t xml:space="preserve">http://friedensbilder.gnm.de/content/frieden_foto_order20a1bd</t>
  </si>
  <si>
    <t xml:space="preserve">Der redlich denkende deutsche Weltweise bey dem glücklich erfolgten Frieden, zwischen Ihro Rußisch-Kayserlichen und Königlich-Preußischen Majestäten.</t>
  </si>
  <si>
    <t xml:space="preserve">Hist.Boruss.259,39.s (1)</t>
  </si>
  <si>
    <t xml:space="preserve">den 30sten May 1762</t>
  </si>
  <si>
    <t xml:space="preserve">entity:node/1</t>
  </si>
  <si>
    <t xml:space="preserve">Anlässlich des Friedens von St. Petersburg 1762 veröffentlichte der Theologe Nathanael Baumgarten (1717–1762) einen Druck, in dem zwei Oden und eine Predigt enthalten sind. Während sich die erste Ode auf die Siege des preußischen Kurfürsten Friedrich II. (1712–1786) konzentriert, lobt die zweite Ode mit dem Titel [Incipit]: „Der redlich denkende deutsche Weltweise“ den Friedensvertrag zwischen Preußen und Russland, der am 5. Mai 1762 unterzeichnet wurde und am 30. Mai 1762 in Baumgartens Heimatgemeinde Friedrichswerder verkündet wurde. Die Friedensbotschaft und die zukünftige Friedenszeit beschreibt Baumgarten in der Ode mit den traditionellen Vorstellungen vom Erblühen der Natur und ihrer anhaltenden Fruchtbarkeit und damit verbunden dem Eintreten des Frühlings als Jahreszeit der Blüte: „Der Hoffnung-Garten ist schon grün und wird mit Frühlings-Rosen prangen!“ Daneben huldigt Baumgarten dem Preußenkönig für das Zustandekommen des Friedens und preist seine Leistungen für sein Land.&amp;nbsp;
FB
</t>
  </si>
  <si>
    <t xml:space="preserve">Der redlich denkende deutsche Weltweise bey dem glücklich erfolgten Frieden, zwischen Ihro Rußisch-Kayserlichen und Königlich-Preußischen Majestäten., Hist.Boruss.259,39.s (1)</t>
  </si>
  <si>
    <t xml:space="preserve">https://friedensbilder-neu.gnm.de/sites/default/files/2019-06/Hist.Boruss.259,39.s-(1)_0.png</t>
  </si>
  <si>
    <t xml:space="preserve">http://friedensbilder.gnm.de/content/frieden_foto_order1e9c3f</t>
  </si>
  <si>
    <t xml:space="preserve">La Discordia confusa, rappresentato con macchine e musica</t>
  </si>
  <si>
    <t xml:space="preserve">35. 4.H.6.1</t>
  </si>
  <si>
    <t xml:space="preserve">Gironi, Giuseppe</t>
  </si>
  <si>
    <t xml:space="preserve">Per il Gironi, stampatore episcopale</t>
  </si>
  <si>
    <t xml:space="preserve">Ferrara</t>
  </si>
  <si>
    <t xml:space="preserve">Ziosi 1999</t>
  </si>
  <si>
    <t xml:space="preserve">S. 135–165</t>
  </si>
  <si>
    <t xml:space="preserve">https://books.google.it/books?id=SdeDB0L_g18C&amp;printsec=frontcover&amp;hl=it&amp;source=gbs_ge_summary_r&amp;cad=0#v=onepage&amp;q&amp;f=false</t>
  </si>
  <si>
    <t xml:space="preserve">Combattuto in Ferrara nel passaggio della Serenissima Anna de Medici nata principessa di Toscana arciduchessa d’Ispruch [Innsbruck]. Componimento di Ascanio Pio di Savoia</t>
  </si>
  <si>
    <t xml:space="preserve">La discordia confusa, rappresentato con macchine e musica, 35. 4.H.6.1</t>
  </si>
  <si>
    <t xml:space="preserve">La discordia confusa, rappresentato con macchine e musica</t>
  </si>
  <si>
    <t xml:space="preserve">Dialogo in musica della Fama e della Gloria</t>
  </si>
  <si>
    <t xml:space="preserve">Misc. Val. 695</t>
  </si>
  <si>
    <t xml:space="preserve">Fei, Giacomo</t>
  </si>
  <si>
    <t xml:space="preserve">Nella ducale stamperi di Iacomo Fei</t>
  </si>
  <si>
    <t xml:space="preserve">Bracciano</t>
  </si>
  <si>
    <t xml:space="preserve">VOL MISC.1912 7</t>
  </si>
  <si>
    <t xml:space="preserve">Dedicato a i gigli d’oro, adornati di allori e di palme trionfanti. Rappresentato all’eccellentissimo signor Duca d’Estré ambasciatore straordinario di Francia in Roma. Nel palazzo a Pasquino</t>
  </si>
  <si>
    <t xml:space="preserve">http://friedensbilder.gnm.de/sites/default/files/1 (1).JPG
http://friedensbilder.gnm.de/sites/default/files/2 (1).JPG</t>
  </si>
  <si>
    <t xml:space="preserve">Dialogo in musica della Fama e della Gloria, Misc. Val. 695</t>
  </si>
  <si>
    <t xml:space="preserve">https://friedensbilder-neu.gnm.de/sites/default/files/2019-06/Misc-Val.png
https://friedensbilder-neu.gnm.de/sites/default/files/2019-06/Misc-Val1.png</t>
  </si>
  <si>
    <t xml:space="preserve">http://friedensbilder.gnm.de/content/frieden_foto_order1df58e</t>
  </si>
  <si>
    <t xml:space="preserve">La sirena festante. Applauso poetico per la sospirata pace tra le due prime corone dell’universo</t>
  </si>
  <si>
    <t xml:space="preserve">MISC. B. 1177.11</t>
  </si>
  <si>
    <t xml:space="preserve">Gaffaro, Giacomo</t>
  </si>
  <si>
    <t xml:space="preserve">Per gli heredi di Giacomo Gaffaro</t>
  </si>
  <si>
    <t xml:space="preserve">medianti le nozze tra ‘l re christianissimo, e la serenissima infanta del re cattolico.</t>
  </si>
  <si>
    <t xml:space="preserve">La sirena Festante&amp;nbsp;Argomento&amp;nbsp;Al regnator Sovrano, il re de CieloSvela di Pace e Nozze il lieto ArcanoVuol, ch'infiammi ad amare, i cor di geloDel Rege Gallo, e del Monarca IspanoQuesti, d'odij sgombrato il fosco velod'ambi in dolce Himeneo stringe la manoGiubila il mondo e fa solenne festa,Et a la Pace un gran trionfo appresta.&amp;nbsp;</t>
  </si>
  <si>
    <t xml:space="preserve">La sirena festante. Applauso poetico per la sospirata pace tra le due prime corone dell’universo, MISC. B. 1177.11</t>
  </si>
  <si>
    <t xml:space="preserve">I frutti della Pace</t>
  </si>
  <si>
    <t xml:space="preserve">34. 4.I.18.8</t>
  </si>
  <si>
    <t xml:space="preserve">Appresso il Bonetti</t>
  </si>
  <si>
    <t xml:space="preserve">Siena</t>
  </si>
  <si>
    <t xml:space="preserve">Lorenzetti 1995</t>
  </si>
  <si>
    <t xml:space="preserve">S. 119–141</t>
  </si>
  <si>
    <t xml:space="preserve">https://books.google.it/books?id=SsH4nrudIZcC&amp;hl=it&amp;pg=PA3#v=onepage&amp;q&amp;f=false</t>
  </si>
  <si>
    <t xml:space="preserve">Accademia di lettere e d'armi tenuta in Siena de' signori Convittori del Nobile Tolomei l'anno 1714</t>
  </si>
  <si>
    <t xml:space="preserve">http://friedensbilder.gnm.de/sites/default/files/3 (1)_0.JPG</t>
  </si>
  <si>
    <t xml:space="preserve">Die musikalische Veranstaltung „I frutti della pace“ („Accademia di lettere, e d’armi“) wird 1714 im Theater des Nobile Collegio Tolomei in Siena aufgeführt und feiert den soeben erreichten Frieden nach dem Spanischen Erbfolgekrieg. Die Sinfonie zu Beginn ist allegro überschrieben und mit Violinen, Cello, Pauken, Trommeln, Oboen und Theorben besetzt. Daran schließt sich ein einführender Diskurs an, der zum Frohlocken über den Frieden aufruft. Es folgt ein Tanz für zwei, der von Instrumentalmusik mit Echoeffekten begleitet wird und dessen Choreographie von Friedensmotiven inspiriert ist. Darauf folgen zwei weitere Tänze mit sinfonischen Zwischenspielen, deren Choreographien den „felice accordo della pace“ (den glücklichen Friedensschluss) zum Ausdruck bringen sollen. Die Berichterstattung über diese Aufführung konzentriert sich auf die Leitmotive der musikalischen Akademie: einerseits auf den Frieden, der den Krieg – entsprechend den ritterliche Übungen – mit Sieg und Triumph beendet; andererseits auf die Vorstellung von Übereinkunft, Eintracht und Frieden, wie sie in Tanz und Musik zum Ausdruck kommt. Zur musikalischen Darbietung gehört auch eine Pastoralkantate, die vermutlich von Girolamo Chiti (1679–1759) komponiert wurde, dem damaligen Kapellmeister des Collegio Tolomei. Der Frieden selbst antwortet hier auf die feierliche Huldigung, die ihm die Zöglinge darbringen. In der Kantate verbindet sich die Rückkehr des Friedens in Europa mit dem Bild von der Wiedergeburt der Natur. Der Frieden geht wie eine neue Sonne auf und lädt die Blüten ein, sich zu öffnen und neue Früchte hervorzubringen: die Früchte des Friedens. Die Allegorie der Wiedergeburt der Tugenden und der schönen Künste, die in der Kantate vermittelt wird, unterstreicht die Freude und Glücksseligkeit über die neue Friedenszeit.CP</t>
  </si>
  <si>
    <t xml:space="preserve">I frutti della Pace, 34. 4.I.18.8</t>
  </si>
  <si>
    <t xml:space="preserve">https://friedensbilder-neu.gnm.de/sites/default/files/2019-06/34-4-I-18_0.png</t>
  </si>
  <si>
    <t xml:space="preserve">http://friedensbilder.gnm.de/content/frieden_foto_order1df5a5</t>
  </si>
  <si>
    <t xml:space="preserve">Ich sonst beglücktes Land</t>
  </si>
  <si>
    <t xml:space="preserve">N.Mus.ms. 497</t>
  </si>
  <si>
    <t xml:space="preserve">https://opac.rism.info/metaopac/search?searchCategories%5B0%5D=-1&amp;q=Telemann+Ich+sonst+begl%C3%BCcktes+Land&amp;View=rism</t>
  </si>
  <si>
    <t xml:space="preserve">http://resolver.staatsbibliothek-berlin.de/SBB0001977200000000</t>
  </si>
  <si>
    <t xml:space="preserve">http://friedensbilder.gnm.de/sites/default/files/GXGLFHGF.jpg
http://friedensbilder.gnm.de/sites/default/files/54ISYQDB.jpg
http://friedensbilder.gnm.de/sites/default/files/XR9RE68L.jpg
http://friedensbilder.gnm.de/sites/default/files/1_ZETH4C82.jpg
http://friedensbilder.gnm.de/sites/default/files/2_M1ATQK9V.jpg
http://friedensbilder.gnm.de/sites/default/files/3_1VS8T2B7.jpg</t>
  </si>
  <si>
    <t xml:space="preserve">Georg Philipp Telemann, Kantate „Ich sonst beglücktes Land“In diesem allegorischen Spiel treten die Protagonisten „Teutschland“, „Phoebus“, „Fama“, „Ein Reichs-Herold“ und „Des Römischen Reichs Unterthanen“ auf. Teutschland klagt darüber, dass durch Krieg aus einem glücklichen Land ein betrübtes Land geworden sei, in dem Mars herrsche. Gott Apollo vernimmt diese Klage und beschließt zu helfen. Fama versichert, dass sich mit himmlischem Segen alles zum Guten wenden könne.Das Stück ist ein emphatischer Lobpreis auf den österreichischen Kaiser Karl VI. Die Protagonisten sind fest davon überzeugt, dass&amp;nbsp;er im Spanischen Erbfolgekrieg Deutschland gegen den französischen Feind verteidigen und schließlich Frieden bringen werde:„Glück und friede reicher SegenRuh und ungekräncktes Heylbringet Österreich zu wegendaß kein Scharfer jammer Pfeildich ferner erzürnet mit jammer verletze,und Deine besitzer zum Land hinaußsetze.“In dieser Kantate wird Kaiser Karl VI. also als Garant für Ruhe und Frieden gepriesen, er ist für Teutschland die „Sonne“. Mit einem Lobpreis auf das „friedliche Leben“ schließt das Stück, das möglicherweise am 22. Dezember 1711 zur Kaiserkrönung Karls VI. in Frankfurt am Main aufgeführt wird.Auch in dieser Komposition finden sich zur musikalischen Darstellung des ersehnten Friedens bekannte Stereotypen. Wenn der „Reichsherold“ von Mars und den Attacken der Gegner spricht, dann bläst die Trompete im Verbund mit der Pauke zum Angriff, während die Friedensbotschaft „al tempo di Menuet“ und mit der Begleitung von zwei vielfach in Terzparallelen fortschreitenden Oboen überbracht wird.SEH&amp;nbsp;</t>
  </si>
  <si>
    <t xml:space="preserve">Ich sonst beglücktes Land, N.Mus.ms. 497</t>
  </si>
  <si>
    <t xml:space="preserve">https://friedensbilder-neu.gnm.de/sites/default/files/2019-06/N.Mus_.ms_.-497_01_0.png
https://friedensbilder-neu.gnm.de/sites/default/files/2019-06/N.Mus_.ms_.-497_02_0.png
https://friedensbilder-neu.gnm.de/sites/default/files/2019-06/N.Mus_.ms_.-497_03_0.png
https://friedensbilder-neu.gnm.de/sites/default/files/2019-06/N.Mus_.ms_.-497_04_0.png
https://friedensbilder-neu.gnm.de/sites/default/files/2019-06/N.Mus_.ms_.-497_05_0.png
https://friedensbilder-neu.gnm.de/sites/default/files/2019-06/N.Mus_.ms_.-497_06_0.png</t>
  </si>
  <si>
    <t xml:space="preserve">http://friedensbilder.gnm.de/content/frieden_foto_order21de8c</t>
  </si>
  <si>
    <t xml:space="preserve">C. F. Weichmanns Poesie der Nieder-Sachsen</t>
  </si>
  <si>
    <t xml:space="preserve">, oder allerhand, mehrentheils noch nie gedruckte Gedichte von den berühmtesten Nieder-Sachsen</t>
  </si>
  <si>
    <t xml:space="preserve">5 &amp; 6</t>
  </si>
  <si>
    <t xml:space="preserve">http://friedensbilder.gnm.de/content/frieden_object16d090
http://friedensbilder.gnm.de/content/frieden_object16cf57</t>
  </si>
  <si>
    <t xml:space="preserve">ohne Signatur; alte Signatur N. A 293</t>
  </si>
  <si>
    <t xml:space="preserve">Hanheide 2008d
Krucker 1995</t>
  </si>
  <si>
    <t xml:space="preserve">S. 42–48</t>
  </si>
  <si>
    <t xml:space="preserve">Exurge Gloria mea,Exurge psalterium et cithara.Exurgam, cantabo et psalmum dicam.Surgamus, cantemus et psalmus dicamus!&amp;nbsp;Exaltabo te, Domine, quoniamsuscepisti me,Exaltabo te, Domine, quoniamNon delectasti inimicos meos super me.&amp;nbsp;Qui cogitaverunt unanimiterSimul testamentum disposuerunt et dexerunt:Venite, desperdamus eos de gente,Et non memoretur nomen Israel ultra.&amp;nbsp;[…]Da pacem, Domine, in diebus nostris.Tempus occidentiet tempus sanandi,tempus belli et tempus pacis.&amp;nbsp;Veniat pax, pax ei qui prope,Pax ei qui longe.Audivit Dominus et misertus est.&amp;nbsp;Imperavit ventis et marisEt facta es tranquillitas magna.&amp;nbsp;Posuit in corde RegisUt loqueretur verba pacifica&amp;nbsp;Cum his qui oderunt pacem pacificus sic dixit&amp;nbsp;:Cum plurimus gentis imperare et magnas Provincias ditione meae subjugassem.Volui nequaquam abuti potentiae magnitudine, sed clementia et lenitate inclinatus in subjectos constituam terminos populorum, ut absque ullo terrore vitam silentio transigentes optata cunctis mortalibus pace fruantur.</t>
  </si>
  <si>
    <t xml:space="preserve">Canticum eucharisticum. Pro Pace Facta Ann. 1697, ohne Signatur; alte Signatur N. A 293</t>
  </si>
  <si>
    <t xml:space="preserve">http://friedensbilder.gnm.de/content/frieden_object3531a</t>
  </si>
  <si>
    <t xml:space="preserve">Keiser, Reinhard</t>
  </si>
  <si>
    <t xml:space="preserve">Sabine Ehrmann-Herfort</t>
  </si>
  <si>
    <t xml:space="preserve">http://friedensbilder.gnm.de/sites/default/files/Mus ms. 11481_01.tif
http://friedensbilder.gnm.de/sites/default/files/Mus. ms. 11481_02.tif
http://friedensbilder.gnm.de/sites/default/files/Mus. ms. 11481_03.tif</t>
  </si>
  <si>
    <t xml:space="preserve">https://friedensbilder-neu.gnm.de/sites/default/files/2019-06/Mus.-ms.-11481_02.png
https://friedensbilder-neu.gnm.de/sites/default/files/2019-06/Mus.-ms.-11481_03.png
https://friedensbilder-neu.gnm.de/sites/default/files/2019-06/Mus-ms.-11481_01.png</t>
  </si>
  <si>
    <t xml:space="preserve">http://friedensbilder.gnm.de/content/frieden_object1c2678</t>
  </si>
  <si>
    <t xml:space="preserve">http://friedensbilder.gnm.de/content/frieden_foto_order20b27d</t>
  </si>
  <si>
    <t xml:space="preserve">S. 28-30</t>
  </si>
  <si>
    <t xml:space="preserve">https://opac.rism.info/metaopac/singleHit.do?methodToCall=showHit&amp;curPos=1&amp;identifier=251_SOLR_SERVER_614200994</t>
  </si>
  <si>
    <t xml:space="preserve">http://friedensbilder.gnm.de/sites/default/files/Mus .ms_. 21758_01_0.png
http://friedensbilder.gnm.de/sites/default/files/Mus. ms. 21758_02_0.tif
http://friedensbilder.gnm.de/sites/default/files/Mus. ms. 21758_03_0.tif
http://friedensbilder.gnm.de/sites/default/files/Mus. ms. 21758_04_0.tif
http://friedensbilder.gnm.de/sites/default/files/Mus. ms. 21758_05_0.tif
http://friedensbilder.gnm.de/sites/default/files/Mus. ms. 21758_06_0.tif</t>
  </si>
  <si>
    <t xml:space="preserve">Mit „Gott, man lobet dich in der Stille zu Zion“ (TVWV 14:12) komponiert Georg Philipp Telemann eine Kantate zum Friedensschluss von Hubertusburg. Sie wird in einer schulischen Aufführung zur Umrahmung einer lateinischen Rede dargeboten. Wieder einmal bleibt Hamburg von den Schrecken des Krieges verschont, diesmal ist es der Siebenjährige Krieg. Nach dem Friedensschluss zwischen Österreich, Sachsen und Preußen feiert man am 15. Mai 1763 ein offizielles Dankfest, in dessen Rahmen am 17. Mai 1763 der akademische Festakt mit Telemanns zweiteiligem Sing-Gedicht stattfindet.Telemanns Komposition, die mit einem „Ehre sei Gott in der Höhe“ endet, preist die göttliche Macht, erinnert an die Schrecken des Krieges und artikuliert Hoffnung auf eine friedvolle Zukunft. Der Fokus liegt auf der Stadt Hamburg, die als verschont gebliebene Stadt besonderen Grund hat, den Frieden zu besingen und ein Danklied anzustimmen.Außergewöhnlich ist, wie das hier entfaltete Friedensszenarium mit einem geschäftigen Stadtleben verbunden wird. So kontrastiert die drastische Klage um verwüstete Städte und gefallene junge Krieger (6. Arie, Flauto traverso I und II) mit einem Rezitativ, welches als Zeichen des Friedens das alltägliche Leben in der sicheren Stadt rühmt, wo Kinder fröhlich spielen und vom Meer her Schiffshupen ertönen.Der weitere Verlauf des Stücks richtet&amp;nbsp;den Blick zunächst auf den europäischen Friedensschluss, dessen Vollzug durch das Bild von der Schließung des Janus-Tempels veranschaulicht wird, ehe sich die Argumentation in transzendierender Perspektive&amp;nbsp;auf den durch Christi Tod gestifteten Frieden zuspitzt. Der Schluss des Stücks transformiert&amp;nbsp;infolgedessen das weltliche Friedensereignis in den göttlichen Frieden der Doxologie und schließt mit einem „Ehre sei Gott in der Höhe!“.SEH</t>
  </si>
  <si>
    <t xml:space="preserve">https://friedensbilder-neu.gnm.de/sites/default/files/2019-06/Mus-01.png
https://friedensbilder-neu.gnm.de/sites/default/files/2019-06/Mus-02.png
https://friedensbilder-neu.gnm.de/sites/default/files/2019-06/Mus-03.png
https://friedensbilder-neu.gnm.de/sites/default/files/2019-06/Mus-04.png
https://friedensbilder-neu.gnm.de/sites/default/files/2019-06/Mus-05.png
https://friedensbilder-neu.gnm.de/sites/default/files/2019-06/Mus-06.png</t>
  </si>
  <si>
    <t xml:space="preserve">http://friedensbilder.gnm.de/content/frieden_object16b1c9</t>
  </si>
  <si>
    <t xml:space="preserve">http://friedensbilder.gnm.de/content/frieden_foto_order20c292</t>
  </si>
  <si>
    <t xml:space="preserve">http://friedensbilder.gnm.de/content/frieden_object1ac340</t>
  </si>
  <si>
    <t xml:space="preserve">Jubileischen Frewden: Lob: und Danckfests/ Hertzens Auffmunterung : Welches Ihr Churfl. Durchl. etc. zu Sachsen/ wegen hundert Jähriger unveränderter Augspurgischen Confession, </t>
  </si>
  <si>
    <t xml:space="preserve">HB 24911, Kapsel 1336a</t>
  </si>
  <si>
    <t xml:space="preserve">Harms 
Paas
Scharfe 1968
Paisey 1976
Coupe
Marsch 1980
Galley 1930</t>
  </si>
  <si>
    <t xml:space="preserve">Bd. II, S. 376–377, Nr. 215
Bd. V, S. 51, Nr. P-1263
S. 271, Anm. 136
S. 60, Nr. 12
S. 259, Nr. 234
S. 67, Nr. 54
S. 17–18</t>
  </si>
  <si>
    <t xml:space="preserve">39:125573H</t>
  </si>
  <si>
    <t xml:space="preserve">16, 1 x 26,3</t>
  </si>
  <si>
    <t xml:space="preserve">IH 142</t>
  </si>
  <si>
    <t xml:space="preserve">den 25. 26. und 27. Junii Anno 1630. mit höchster Andacht zu celebriren/ gnädigst angeordnet</t>
  </si>
  <si>
    <t xml:space="preserve">Das Blatt feiert das einhundertjährige Bestehen der&amp;nbsp;Confessio Augustana&amp;nbsp;in Sachsen. Die Confessio&amp;nbsp;wurzelt in der Heiligen Schrift, die zusammen mit den drei christlichen Tugenden das Fundament der Heilslehre bildet (I Kor 3,11). Während im Text der Fortbestand der Reformation mit “Morgenröth” umschrieben wird, versinnbildlicht eine Palme im Zentrum der Darstellung die Beständigkeit des Bekenntnisses. Ihre Unbiegsamkeit veranschaulicht die vor der Baumkrone sitzende&amp;nbsp;Constantia.[fn]Etwa unter dem Motto “sursum deflex recurret”, übersetzt: niedergebeugt schnellt er [gemeint ist der Zweig] wieder zurück. Siehe hierfür Henkel / Schöne 1967, Sp. 196.[/fn] Die Hand aus den Wolken hält eine goldene Kette mit Rautenkranz, der die Palme zusätzlich stabilisiert. Am Ende der Knittelverse findet sich ein Verweis auf&amp;nbsp;Ps 119, 113–115, in dem von boshaften Flattergeistern die Rede ist.[fn]Lutherbibel 1545. Ps 119, 113–115: “JCH hasse die Fladdergeisterheissen hie die vnbestendigen Geister / die jmer etwas newes finden vnd fürnemen / Wie Ketzer pflegen zu thun. / Vnd liebe dein Gesetze. Du bist mein schirm vnd schild / Jch hoffe auff dein Wort. Weichet von mir jr Boshafftigen / Jch wil halten die gebot meines Gottes.”[/fn]
In drei Gruppen, die an die alttestamentlichen Plagen erinnern, bevölkern sie die Landschaft:&amp;nbsp;Landtiere, Gewürm, Vögel, Insekten und Fabelwesen. Schutz erhält der Baum der wahren Lehre, indem Gleiches durch Gleiches abgewehrt wird (“similia similibus”). So vertreibt der Reichsadler die Flugtiere, während der Löwe die Landtiere davonjagt und das heraldische Symbol Kursachsens die Landstreitkräfte in die Flucht schägt. Den Löwen als&amp;nbsp;Gustav Adolf&amp;nbsp;– den Löwen aus Mitternacht&amp;nbsp;–&amp;nbsp;zu interpretieren, führt in die Irre: Zum Zeitpunkt der Hundertjahrfeier in Sachsen hatte der schwedische König erst die deutsche Ostseeküste erreicht und noch keinen Kontakt zum Kurfürsten&amp;nbsp;Johann Georg&amp;nbsp;aufgenommen.
Einige der Motive finden sich auch in&amp;nbsp;Matthias&amp;nbsp;Hoë von Hoëneggs&amp;nbsp;“Jubelfestbüchlin”.[fn]Beispielsweise wurden am ersten Feiertag Passagen aus Ps 119, unter anderem die Verse 113 und 114 verlesen. [/fn] Als sächsischer Oberhofprediger entwarf er im Auftrag des Kurfürsten das Festprogramm für die Einhundertjahrfeier, die vom 25. bis 27. Juni 1630 stattfand.
ALS
</t>
  </si>
  <si>
    <t xml:space="preserve">http://friedensbilder.gnm.de/sites/default/files/HB24911_10018_0.tif</t>
  </si>
  <si>
    <t xml:space="preserve">Das Blatt feiert das einhundertjährige Bestehen der&amp;nbsp;Confessio Augustana&amp;nbsp;in Sachsen. Die&amp;nbsp;Confessio&amp;nbsp;wurzelt in der Heiligen Schrift, die zusammen mit den drei christlichen Tugenden das Fundament der Heilslehre bildet (I Kor 3,11). Während im Text der Fortbestand der Reformation mit “Morgenröth” umschrieben wird, versinnbildlicht eine Palme im Zentrum der Darstellung die Beständigkeit des Bekenntnisses. Ihre Unbiegsamkeit veranschaulicht die vor der Baumkrone sitzende&amp;nbsp;Constantia.&amp;nbsp;Die Hand aus den Wolken hält eine goldene Kette mit Rautenkranz, der die Palme zusätzlich stabilisiert. Am Ende der Knittelverse findet sich ein Verweis auf&amp;nbsp;Ps 119, 113–115, in dem von boshaften Flattergeistern die Rede ist.
In drei Gruppen, die an die alttestamentlichen Plagen erinnern, bevölkern sie die Landschaft:&amp;nbsp;Landtiere, Gewürm, Vögel, Insekten und Fabelwesen. Schutz erhält der Baum der wahren Lehre, indem Gleiches durch Gleiches abgewehrt wird (“similia similibus”). So vertreibt der Reichsadler die Flugtiere, während der Löwe die Landtiere davonjagt und das heraldische Symbol Kursachsens die Landstreitkräfte in die Flucht schägt. Den Löwen als&amp;nbsp;Gustav Adolf&amp;nbsp;– den&amp;nbsp;Löwen aus Mitternacht&amp;nbsp;–&amp;nbsp;zu interpretieren, führt in die Irre: Zum Zeitpunkt der Hundertjahrfeier in Sachsen hatte der schwedische König erst die deutsche Ostseeküste erreicht und noch keinen Kontakt zum Kurfürsten&amp;nbsp;Johann Georg&amp;nbsp;aufgenommen.
Einige der Motive finden sich auch in&amp;nbsp;Matthias&amp;nbsp;Hoë von Hoëneggs&amp;nbsp;“Jubelfestbüchlin”.&amp;nbsp;Als sächsischer Oberhofprediger entwarf er im Auftrag des Kurfürsten das Festprogramm für die&amp;nbsp;Einhundertjahrfeier, die vom 25. bis 27. Juni 1630 stattfand.
ALS
</t>
  </si>
  <si>
    <t xml:space="preserve">, HB 24911, Kapsel 1336a</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</si>
</sst>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S108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1.36"/>
    <col collapsed="false" customWidth="true" hidden="false" outlineLevel="0" max="2" min="2" style="0" width="188.29"/>
    <col collapsed="false" customWidth="true" hidden="false" outlineLevel="0" max="3" min="3" style="0" width="74.85"/>
    <col collapsed="false" customWidth="true" hidden="false" outlineLevel="0" max="4" min="4" style="0" width="24.69"/>
    <col collapsed="false" customWidth="true" hidden="false" outlineLevel="0" max="5" min="5" style="0" width="68.62"/>
    <col collapsed="false" customWidth="true" hidden="false" outlineLevel="0" max="6" min="6" style="0" width="47.28"/>
    <col collapsed="false" customWidth="true" hidden="false" outlineLevel="0" max="7" min="7" style="0" width="30.48"/>
    <col collapsed="false" customWidth="true" hidden="false" outlineLevel="0" max="8" min="8" style="0" width="39.82"/>
    <col collapsed="false" customWidth="true" hidden="false" outlineLevel="0" max="9" min="9" style="0" width="9.02"/>
    <col collapsed="false" customWidth="true" hidden="false" outlineLevel="0" max="10" min="10" style="0" width="9.58"/>
    <col collapsed="false" customWidth="true" hidden="false" outlineLevel="0" max="11" min="11" style="0" width="21.25"/>
    <col collapsed="false" customWidth="true" hidden="false" outlineLevel="0" max="12" min="12" style="0" width="10.35"/>
    <col collapsed="false" customWidth="true" hidden="false" outlineLevel="0" max="13" min="13" style="0" width="34.59"/>
    <col collapsed="false" customWidth="true" hidden="false" outlineLevel="0" max="14" min="14" style="0" width="29.26"/>
    <col collapsed="false" customWidth="true" hidden="false" outlineLevel="0" max="15" min="15" style="0" width="159.69"/>
    <col collapsed="false" customWidth="true" hidden="false" outlineLevel="0" max="16" min="16" style="0" width="12.58"/>
    <col collapsed="false" customWidth="true" hidden="false" outlineLevel="0" max="17" min="17" style="0" width="66.62"/>
    <col collapsed="false" customWidth="true" hidden="false" outlineLevel="0" max="18" min="18" style="0" width="194.61"/>
    <col collapsed="false" customWidth="true" hidden="false" outlineLevel="0" max="19" min="19" style="0" width="15.8"/>
    <col collapsed="false" customWidth="true" hidden="false" outlineLevel="0" max="20" min="20" style="0" width="33.04"/>
    <col collapsed="false" customWidth="true" hidden="false" outlineLevel="0" max="23" min="21" style="0" width="155.37"/>
    <col collapsed="false" customWidth="true" hidden="false" outlineLevel="0" max="24" min="24" style="0" width="37.82"/>
    <col collapsed="false" customWidth="true" hidden="false" outlineLevel="0" max="25" min="25" style="0" width="181.49"/>
    <col collapsed="false" customWidth="true" hidden="false" outlineLevel="0" max="26" min="26" style="0" width="23.03"/>
    <col collapsed="false" customWidth="true" hidden="false" outlineLevel="0" max="27" min="27" style="0" width="18.03"/>
    <col collapsed="false" customWidth="true" hidden="false" outlineLevel="0" max="28" min="28" style="0" width="1.01"/>
    <col collapsed="false" customWidth="true" hidden="false" outlineLevel="0" max="29" min="29" style="0" width="14.35"/>
    <col collapsed="false" customWidth="true" hidden="false" outlineLevel="0" max="30" min="30" style="0" width="25.7"/>
    <col collapsed="false" customWidth="true" hidden="false" outlineLevel="0" max="31" min="31" style="0" width="25.92"/>
    <col collapsed="false" customWidth="true" hidden="false" outlineLevel="0" max="32" min="32" style="0" width="10.35"/>
    <col collapsed="false" customWidth="true" hidden="false" outlineLevel="0" max="33" min="33" style="0" width="90.42"/>
    <col collapsed="false" customWidth="true" hidden="false" outlineLevel="0" max="34" min="34" style="0" width="25.25"/>
    <col collapsed="false" customWidth="true" hidden="false" outlineLevel="0" max="35" min="35" style="0" width="33.04"/>
    <col collapsed="false" customWidth="true" hidden="false" outlineLevel="0" max="36" min="36" style="0" width="295.92"/>
    <col collapsed="false" customWidth="true" hidden="false" outlineLevel="0" max="37" min="37" style="0" width="49.39"/>
    <col collapsed="false" customWidth="true" hidden="false" outlineLevel="0" max="38" min="38" style="0" width="18.92"/>
    <col collapsed="false" customWidth="true" hidden="false" outlineLevel="0" max="39" min="39" style="0" width="143.35"/>
    <col collapsed="false" customWidth="true" hidden="false" outlineLevel="0" max="40" min="40" style="0" width="14.35"/>
    <col collapsed="false" customWidth="true" hidden="false" outlineLevel="0" max="41" min="41" style="0" width="23.03"/>
    <col collapsed="false" customWidth="true" hidden="false" outlineLevel="0" max="42" min="42" style="0" width="176.72"/>
    <col collapsed="false" customWidth="true" hidden="false" outlineLevel="0" max="43" min="43" style="0" width="70.73"/>
    <col collapsed="false" customWidth="true" hidden="false" outlineLevel="0" max="44" min="44" style="0" width="23.69"/>
    <col collapsed="false" customWidth="true" hidden="false" outlineLevel="0" max="45" min="45" style="0" width="47.94"/>
    <col collapsed="false" customWidth="true" hidden="false" outlineLevel="0" max="46" min="46" style="0" width="63.29"/>
    <col collapsed="false" customWidth="true" hidden="false" outlineLevel="0" max="47" min="47" style="0" width="16.69"/>
    <col collapsed="false" customWidth="true" hidden="false" outlineLevel="0" max="48" min="48" style="0" width="13.58"/>
    <col collapsed="false" customWidth="true" hidden="false" outlineLevel="0" max="49" min="49" style="0" width="16.14"/>
    <col collapsed="false" customWidth="true" hidden="false" outlineLevel="0" max="50" min="50" style="0" width="18.69"/>
    <col collapsed="false" customWidth="true" hidden="false" outlineLevel="0" max="51" min="51" style="0" width="1.01"/>
    <col collapsed="false" customWidth="true" hidden="false" outlineLevel="0" max="52" min="52" style="0" width="208.86"/>
    <col collapsed="false" customWidth="true" hidden="false" outlineLevel="0" max="53" min="53" style="0" width="13.24"/>
    <col collapsed="false" customWidth="true" hidden="false" outlineLevel="0" max="54" min="54" style="0" width="23.26"/>
    <col collapsed="false" customWidth="true" hidden="false" outlineLevel="0" max="55" min="55" style="0" width="10.91"/>
    <col collapsed="false" customWidth="true" hidden="false" outlineLevel="0" max="56" min="56" style="0" width="48.61"/>
    <col collapsed="false" customWidth="true" hidden="false" outlineLevel="0" max="57" min="57" style="0" width="140.79"/>
    <col collapsed="false" customWidth="true" hidden="false" outlineLevel="0" max="58" min="58" style="0" width="43.27"/>
    <col collapsed="false" customWidth="true" hidden="false" outlineLevel="0" max="59" min="59" style="0" width="47.38"/>
    <col collapsed="false" customWidth="true" hidden="false" outlineLevel="0" max="60" min="60" style="0" width="24.26"/>
    <col collapsed="false" customWidth="true" hidden="false" outlineLevel="0" max="61" min="61" style="0" width="36.48"/>
    <col collapsed="false" customWidth="true" hidden="false" outlineLevel="0" max="62" min="62" style="0" width="15.02"/>
    <col collapsed="false" customWidth="true" hidden="false" outlineLevel="0" max="63" min="63" style="0" width="31.93"/>
    <col collapsed="false" customWidth="true" hidden="false" outlineLevel="0" max="64" min="64" style="0" width="78.09"/>
    <col collapsed="false" customWidth="true" hidden="false" outlineLevel="0" max="65" min="65" style="0" width="51.83"/>
    <col collapsed="false" customWidth="true" hidden="false" outlineLevel="0" max="66" min="66" style="0" width="48.16"/>
    <col collapsed="false" customWidth="true" hidden="false" outlineLevel="0" max="67" min="67" style="0" width="34.37"/>
    <col collapsed="false" customWidth="true" hidden="false" outlineLevel="0" max="68" min="68" style="0" width="15.47"/>
    <col collapsed="false" customWidth="true" hidden="false" outlineLevel="0" max="69" min="69" style="0" width="16.03"/>
    <col collapsed="false" customWidth="true" hidden="false" outlineLevel="0" max="71" min="71" style="0" width="67.4"/>
    <col collapsed="false" customWidth="true" hidden="false" outlineLevel="0" max="72" min="72" style="0" width="11.24"/>
    <col collapsed="false" customWidth="true" hidden="false" outlineLevel="0" max="76" min="73" style="0" width="1.01"/>
    <col collapsed="false" customWidth="true" hidden="false" outlineLevel="0" max="77" min="77" style="0" width="45.6"/>
    <col collapsed="false" customWidth="true" hidden="false" outlineLevel="0" max="78" min="78" style="0" width="22.92"/>
    <col collapsed="false" customWidth="true" hidden="false" outlineLevel="0" max="79" min="79" style="0" width="63.51"/>
    <col collapsed="false" customWidth="true" hidden="false" outlineLevel="0" max="80" min="80" style="0" width="19.91"/>
    <col collapsed="false" customWidth="true" hidden="false" outlineLevel="0" max="82" min="81" style="0" width="1.01"/>
    <col collapsed="false" customWidth="true" hidden="false" outlineLevel="0" max="83" min="83" style="0" width="54.72"/>
    <col collapsed="false" customWidth="true" hidden="false" outlineLevel="0" max="84" min="84" style="0" width="1.01"/>
    <col collapsed="false" customWidth="true" hidden="false" outlineLevel="0" max="85" min="85" style="0" width="18.25"/>
    <col collapsed="false" customWidth="true" hidden="false" outlineLevel="0" max="86" min="86" style="0" width="46.83"/>
    <col collapsed="false" customWidth="true" hidden="false" outlineLevel="0" max="88" min="87" style="0" width="1.01"/>
    <col collapsed="false" customWidth="true" hidden="false" outlineLevel="0" max="89" min="89" style="0" width="140.35"/>
    <col collapsed="false" customWidth="true" hidden="false" outlineLevel="0" max="91" min="90" style="0" width="200.85"/>
    <col collapsed="false" customWidth="true" hidden="false" outlineLevel="0" max="92" min="92" style="0" width="11.91"/>
    <col collapsed="false" customWidth="true" hidden="false" outlineLevel="0" max="94" min="93" style="0" width="1.01"/>
    <col collapsed="false" customWidth="true" hidden="false" outlineLevel="0" max="95" min="95" style="0" width="91.08"/>
    <col collapsed="false" customWidth="true" hidden="false" outlineLevel="0" max="96" min="96" style="0" width="97.64"/>
    <col collapsed="false" customWidth="true" hidden="false" outlineLevel="0" max="97" min="97" style="0" width="49.8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80</v>
      </c>
      <c r="CD1" s="0" t="s">
        <v>81</v>
      </c>
      <c r="CE1" s="0" t="s">
        <v>82</v>
      </c>
      <c r="CF1" s="0" t="s">
        <v>83</v>
      </c>
      <c r="CG1" s="0" t="s">
        <v>84</v>
      </c>
      <c r="CH1" s="0" t="s">
        <v>85</v>
      </c>
      <c r="CI1" s="0" t="s">
        <v>86</v>
      </c>
      <c r="CJ1" s="0" t="s">
        <v>87</v>
      </c>
      <c r="CK1" s="0" t="s">
        <v>88</v>
      </c>
      <c r="CL1" s="0" t="s">
        <v>89</v>
      </c>
      <c r="CM1" s="0" t="s">
        <v>90</v>
      </c>
      <c r="CN1" s="0" t="s">
        <v>91</v>
      </c>
      <c r="CO1" s="0" t="s">
        <v>87</v>
      </c>
      <c r="CP1" s="0" t="s">
        <v>92</v>
      </c>
      <c r="CQ1" s="0" t="s">
        <v>93</v>
      </c>
      <c r="CR1" s="0" t="s">
        <v>94</v>
      </c>
      <c r="CS1" s="0" t="s">
        <v>95</v>
      </c>
    </row>
    <row r="2" customFormat="false" ht="2526.85" hidden="false" customHeight="false" outlineLevel="0" collapsed="false">
      <c r="A2" s="0" t="s">
        <v>96</v>
      </c>
      <c r="B2" s="0" t="s">
        <v>97</v>
      </c>
      <c r="C2" s="0" t="s">
        <v>98</v>
      </c>
      <c r="D2" s="0" t="s">
        <v>99</v>
      </c>
      <c r="E2" s="0" t="s">
        <v>100</v>
      </c>
      <c r="F2" s="0" t="s">
        <v>101</v>
      </c>
      <c r="H2" s="0" t="s">
        <v>102</v>
      </c>
      <c r="L2" s="0" t="str">
        <f aca="false">"1648"</f>
        <v>1648</v>
      </c>
      <c r="T2" s="0" t="s">
        <v>103</v>
      </c>
      <c r="U2" s="1" t="s">
        <v>104</v>
      </c>
      <c r="V2" s="1" t="s">
        <v>105</v>
      </c>
      <c r="Z2" s="0" t="s">
        <v>106</v>
      </c>
      <c r="AD2" s="0" t="s">
        <v>107</v>
      </c>
      <c r="AE2" s="0" t="s">
        <v>108</v>
      </c>
      <c r="AF2" s="0" t="s">
        <v>109</v>
      </c>
      <c r="AO2" s="0" t="s">
        <v>110</v>
      </c>
      <c r="AT2" s="0" t="s">
        <v>111</v>
      </c>
      <c r="AU2" s="0" t="s">
        <v>112</v>
      </c>
      <c r="AV2" s="0" t="s">
        <v>113</v>
      </c>
      <c r="AZ2" s="0" t="s">
        <v>114</v>
      </c>
      <c r="BG2" s="0" t="s">
        <v>115</v>
      </c>
      <c r="BH2" s="0" t="s">
        <v>116</v>
      </c>
      <c r="BI2" s="0" t="s">
        <v>117</v>
      </c>
      <c r="BJ2" s="0" t="s">
        <v>118</v>
      </c>
      <c r="BU2" s="1" t="s">
        <v>119</v>
      </c>
      <c r="BW2" s="1" t="s">
        <v>120</v>
      </c>
      <c r="BX2" s="0" t="s">
        <v>121</v>
      </c>
      <c r="CF2" s="0" t="s">
        <v>122</v>
      </c>
      <c r="CG2" s="0" t="s">
        <v>123</v>
      </c>
      <c r="CH2" s="0" t="s">
        <v>124</v>
      </c>
      <c r="CI2" s="0" t="s">
        <v>121</v>
      </c>
      <c r="CJ2" s="1" t="s">
        <v>125</v>
      </c>
      <c r="CL2" s="0" t="s">
        <v>126</v>
      </c>
      <c r="CM2" s="0" t="s">
        <v>126</v>
      </c>
      <c r="CO2" s="1" t="s">
        <v>127</v>
      </c>
      <c r="CR2" s="0" t="s">
        <v>128</v>
      </c>
    </row>
    <row r="3" customFormat="false" ht="33.1" hidden="false" customHeight="false" outlineLevel="0" collapsed="false">
      <c r="A3" s="0" t="s">
        <v>96</v>
      </c>
      <c r="B3" s="0" t="s">
        <v>129</v>
      </c>
      <c r="C3" s="0" t="s">
        <v>98</v>
      </c>
      <c r="D3" s="0" t="s">
        <v>99</v>
      </c>
      <c r="E3" s="0" t="s">
        <v>130</v>
      </c>
      <c r="F3" s="0" t="s">
        <v>131</v>
      </c>
      <c r="H3" s="0" t="s">
        <v>102</v>
      </c>
      <c r="L3" s="0" t="str">
        <f aca="false">"1630"</f>
        <v>1630</v>
      </c>
      <c r="M3" s="1" t="s">
        <v>132</v>
      </c>
      <c r="O3" s="1" t="s">
        <v>133</v>
      </c>
      <c r="T3" s="0" t="s">
        <v>99</v>
      </c>
      <c r="U3" s="1" t="s">
        <v>134</v>
      </c>
      <c r="V3" s="1" t="s">
        <v>135</v>
      </c>
      <c r="AD3" s="0" t="s">
        <v>136</v>
      </c>
      <c r="AE3" s="0" t="s">
        <v>137</v>
      </c>
      <c r="AF3" s="0" t="s">
        <v>109</v>
      </c>
      <c r="AO3" s="0" t="s">
        <v>138</v>
      </c>
      <c r="AT3" s="0" t="s">
        <v>139</v>
      </c>
      <c r="AU3" s="0" t="s">
        <v>112</v>
      </c>
      <c r="AV3" s="0" t="s">
        <v>113</v>
      </c>
      <c r="BD3" s="0" t="s">
        <v>140</v>
      </c>
      <c r="BE3" s="0" t="s">
        <v>141</v>
      </c>
      <c r="BF3" s="0" t="s">
        <v>142</v>
      </c>
      <c r="BJ3" s="0" t="s">
        <v>118</v>
      </c>
      <c r="BU3" s="0" t="s">
        <v>143</v>
      </c>
      <c r="BX3" s="0" t="s">
        <v>144</v>
      </c>
      <c r="CH3" s="0" t="s">
        <v>145</v>
      </c>
      <c r="CI3" s="0" t="s">
        <v>144</v>
      </c>
      <c r="CR3" s="0" t="s">
        <v>146</v>
      </c>
    </row>
    <row r="4" customFormat="false" ht="224.35" hidden="false" customHeight="false" outlineLevel="0" collapsed="false">
      <c r="A4" s="0" t="s">
        <v>96</v>
      </c>
      <c r="B4" s="0" t="s">
        <v>147</v>
      </c>
      <c r="C4" s="0" t="s">
        <v>98</v>
      </c>
      <c r="D4" s="0" t="s">
        <v>99</v>
      </c>
      <c r="E4" s="0" t="s">
        <v>148</v>
      </c>
      <c r="F4" s="1" t="s">
        <v>149</v>
      </c>
      <c r="H4" s="0" t="s">
        <v>102</v>
      </c>
      <c r="L4" s="0" t="str">
        <f aca="false">"1848"</f>
        <v>1848</v>
      </c>
      <c r="M4" s="0" t="s">
        <v>150</v>
      </c>
      <c r="O4" s="0" t="s">
        <v>151</v>
      </c>
      <c r="T4" s="0" t="s">
        <v>152</v>
      </c>
      <c r="U4" s="1" t="s">
        <v>153</v>
      </c>
      <c r="V4" s="1" t="s">
        <v>154</v>
      </c>
      <c r="AD4" s="0" t="s">
        <v>155</v>
      </c>
      <c r="AE4" s="0" t="s">
        <v>156</v>
      </c>
      <c r="AF4" s="0" t="s">
        <v>109</v>
      </c>
      <c r="AG4" s="1" t="s">
        <v>157</v>
      </c>
      <c r="AH4" s="1" t="s">
        <v>158</v>
      </c>
      <c r="AI4" s="1" t="s">
        <v>159</v>
      </c>
      <c r="AJ4" s="0" t="s">
        <v>160</v>
      </c>
      <c r="AO4" s="0" t="s">
        <v>161</v>
      </c>
      <c r="AT4" s="0" t="s">
        <v>139</v>
      </c>
      <c r="AU4" s="0" t="s">
        <v>112</v>
      </c>
      <c r="BD4" s="0" t="s">
        <v>140</v>
      </c>
      <c r="BE4" s="1" t="s">
        <v>162</v>
      </c>
      <c r="BF4" s="1" t="s">
        <v>163</v>
      </c>
      <c r="BJ4" s="0" t="s">
        <v>118</v>
      </c>
      <c r="BU4" s="1" t="s">
        <v>164</v>
      </c>
      <c r="BX4" s="0" t="s">
        <v>165</v>
      </c>
      <c r="BY4" s="0" t="s">
        <v>166</v>
      </c>
      <c r="BZ4" s="0" t="s">
        <v>167</v>
      </c>
      <c r="CF4" s="0" t="s">
        <v>168</v>
      </c>
      <c r="CG4" s="0" t="s">
        <v>123</v>
      </c>
      <c r="CH4" s="0" t="s">
        <v>169</v>
      </c>
      <c r="CI4" s="0" t="s">
        <v>165</v>
      </c>
      <c r="CJ4" s="0" t="s">
        <v>170</v>
      </c>
      <c r="CL4" s="0" t="s">
        <v>171</v>
      </c>
      <c r="CM4" s="0" t="s">
        <v>171</v>
      </c>
      <c r="CO4" s="0" t="s">
        <v>147</v>
      </c>
      <c r="CQ4" s="0" t="s">
        <v>172</v>
      </c>
      <c r="CR4" s="0" t="s">
        <v>173</v>
      </c>
    </row>
    <row r="5" customFormat="false" ht="75.6" hidden="false" customHeight="false" outlineLevel="0" collapsed="false">
      <c r="A5" s="0" t="s">
        <v>96</v>
      </c>
      <c r="B5" s="0" t="s">
        <v>129</v>
      </c>
      <c r="C5" s="0" t="s">
        <v>98</v>
      </c>
      <c r="D5" s="0" t="s">
        <v>99</v>
      </c>
      <c r="E5" s="0" t="s">
        <v>174</v>
      </c>
      <c r="F5" s="0" t="s">
        <v>131</v>
      </c>
      <c r="H5" s="0" t="s">
        <v>102</v>
      </c>
      <c r="L5" s="0" t="str">
        <f aca="false">"1630"</f>
        <v>1630</v>
      </c>
      <c r="M5" s="1" t="s">
        <v>175</v>
      </c>
      <c r="O5" s="1" t="s">
        <v>176</v>
      </c>
      <c r="T5" s="0" t="s">
        <v>99</v>
      </c>
      <c r="U5" s="1" t="s">
        <v>177</v>
      </c>
      <c r="V5" s="1" t="s">
        <v>178</v>
      </c>
      <c r="AD5" s="0" t="s">
        <v>136</v>
      </c>
      <c r="AE5" s="0" t="s">
        <v>179</v>
      </c>
      <c r="AF5" s="0" t="s">
        <v>109</v>
      </c>
      <c r="AG5" s="0" t="s">
        <v>98</v>
      </c>
      <c r="AH5" s="0" t="s">
        <v>99</v>
      </c>
      <c r="AI5" s="0" t="s">
        <v>180</v>
      </c>
      <c r="AJ5" s="0" t="s">
        <v>181</v>
      </c>
      <c r="AO5" s="0" t="s">
        <v>138</v>
      </c>
      <c r="AP5" s="0" t="s">
        <v>182</v>
      </c>
      <c r="AQ5" s="0" t="s">
        <v>183</v>
      </c>
      <c r="AT5" s="0" t="s">
        <v>139</v>
      </c>
      <c r="AU5" s="0" t="s">
        <v>112</v>
      </c>
      <c r="AV5" s="0" t="s">
        <v>113</v>
      </c>
      <c r="BG5" s="0" t="s">
        <v>98</v>
      </c>
      <c r="BH5" s="0" t="s">
        <v>116</v>
      </c>
      <c r="BI5" s="1" t="s">
        <v>184</v>
      </c>
      <c r="BJ5" s="0" t="s">
        <v>185</v>
      </c>
      <c r="BU5" s="0" t="s">
        <v>186</v>
      </c>
      <c r="BX5" s="1" t="s">
        <v>187</v>
      </c>
      <c r="CH5" s="0" t="s">
        <v>145</v>
      </c>
      <c r="CI5" s="1" t="s">
        <v>187</v>
      </c>
      <c r="CJ5" s="0" t="s">
        <v>188</v>
      </c>
      <c r="CO5" s="0" t="s">
        <v>129</v>
      </c>
      <c r="CR5" s="0" t="s">
        <v>189</v>
      </c>
    </row>
    <row r="6" customFormat="false" ht="22.5" hidden="false" customHeight="false" outlineLevel="0" collapsed="false">
      <c r="A6" s="0" t="s">
        <v>190</v>
      </c>
      <c r="B6" s="0" t="s">
        <v>182</v>
      </c>
      <c r="C6" s="0" t="s">
        <v>98</v>
      </c>
      <c r="D6" s="0" t="s">
        <v>99</v>
      </c>
      <c r="E6" s="0" t="s">
        <v>191</v>
      </c>
      <c r="F6" s="0" t="s">
        <v>192</v>
      </c>
      <c r="L6" s="0" t="str">
        <f aca="false">"1631"</f>
        <v>1631</v>
      </c>
      <c r="M6" s="1" t="s">
        <v>193</v>
      </c>
      <c r="O6" s="1" t="s">
        <v>194</v>
      </c>
      <c r="T6" s="0" t="s">
        <v>99</v>
      </c>
      <c r="Z6" s="0" t="s">
        <v>195</v>
      </c>
      <c r="AB6" s="0" t="s">
        <v>196</v>
      </c>
      <c r="AO6" s="0" t="s">
        <v>197</v>
      </c>
      <c r="AT6" s="0" t="s">
        <v>139</v>
      </c>
      <c r="AU6" s="0" t="s">
        <v>112</v>
      </c>
      <c r="AV6" s="0" t="s">
        <v>113</v>
      </c>
      <c r="AY6" s="0" t="s">
        <v>198</v>
      </c>
      <c r="CP6" s="0" t="s">
        <v>199</v>
      </c>
    </row>
    <row r="7" customFormat="false" ht="65" hidden="false" customHeight="false" outlineLevel="0" collapsed="false">
      <c r="A7" s="0" t="s">
        <v>96</v>
      </c>
      <c r="B7" s="0" t="s">
        <v>129</v>
      </c>
      <c r="C7" s="0" t="s">
        <v>98</v>
      </c>
      <c r="D7" s="0" t="s">
        <v>99</v>
      </c>
      <c r="E7" s="0" t="s">
        <v>200</v>
      </c>
      <c r="F7" s="1" t="s">
        <v>201</v>
      </c>
      <c r="H7" s="0" t="s">
        <v>102</v>
      </c>
      <c r="L7" s="0" t="str">
        <f aca="false">"1630"</f>
        <v>1630</v>
      </c>
      <c r="M7" s="1" t="s">
        <v>132</v>
      </c>
      <c r="O7" s="1" t="s">
        <v>133</v>
      </c>
      <c r="T7" s="0" t="s">
        <v>99</v>
      </c>
      <c r="U7" s="1" t="s">
        <v>202</v>
      </c>
      <c r="V7" s="1" t="s">
        <v>203</v>
      </c>
      <c r="AD7" s="0" t="s">
        <v>155</v>
      </c>
      <c r="AE7" s="0" t="s">
        <v>204</v>
      </c>
      <c r="AF7" s="0" t="s">
        <v>109</v>
      </c>
      <c r="AO7" s="0" t="s">
        <v>138</v>
      </c>
      <c r="AT7" s="0" t="s">
        <v>139</v>
      </c>
      <c r="AU7" s="0" t="s">
        <v>112</v>
      </c>
      <c r="AV7" s="0" t="s">
        <v>113</v>
      </c>
      <c r="BD7" s="1" t="s">
        <v>205</v>
      </c>
      <c r="BE7" s="1" t="s">
        <v>206</v>
      </c>
      <c r="BF7" s="0" t="s">
        <v>207</v>
      </c>
      <c r="BJ7" s="0" t="s">
        <v>118</v>
      </c>
      <c r="BU7" s="0" t="s">
        <v>208</v>
      </c>
      <c r="BW7" s="0" t="s">
        <v>209</v>
      </c>
      <c r="BX7" s="1" t="s">
        <v>210</v>
      </c>
      <c r="CH7" s="0" t="s">
        <v>145</v>
      </c>
      <c r="CI7" s="1" t="s">
        <v>210</v>
      </c>
      <c r="CJ7" s="0" t="s">
        <v>211</v>
      </c>
      <c r="CO7" s="0" t="s">
        <v>129</v>
      </c>
      <c r="CR7" s="0" t="s">
        <v>212</v>
      </c>
    </row>
    <row r="8" customFormat="false" ht="22.5" hidden="false" customHeight="false" outlineLevel="0" collapsed="false">
      <c r="A8" s="0" t="s">
        <v>96</v>
      </c>
      <c r="B8" s="0" t="s">
        <v>129</v>
      </c>
      <c r="C8" s="0" t="s">
        <v>98</v>
      </c>
      <c r="D8" s="0" t="s">
        <v>99</v>
      </c>
      <c r="E8" s="0" t="s">
        <v>213</v>
      </c>
      <c r="F8" s="1" t="s">
        <v>149</v>
      </c>
      <c r="H8" s="0" t="s">
        <v>102</v>
      </c>
      <c r="L8" s="0" t="str">
        <f aca="false">"1630"</f>
        <v>1630</v>
      </c>
      <c r="T8" s="0" t="s">
        <v>103</v>
      </c>
      <c r="AD8" s="0" t="s">
        <v>136</v>
      </c>
      <c r="AE8" s="0" t="s">
        <v>214</v>
      </c>
      <c r="AF8" s="0" t="s">
        <v>109</v>
      </c>
      <c r="AO8" s="0" t="s">
        <v>138</v>
      </c>
      <c r="AT8" s="0" t="s">
        <v>139</v>
      </c>
      <c r="AU8" s="0" t="s">
        <v>112</v>
      </c>
      <c r="AV8" s="0" t="s">
        <v>113</v>
      </c>
      <c r="BU8" s="0" t="s">
        <v>215</v>
      </c>
      <c r="BX8" s="0" t="s">
        <v>216</v>
      </c>
      <c r="CH8" s="0" t="s">
        <v>145</v>
      </c>
      <c r="CI8" s="0" t="s">
        <v>216</v>
      </c>
      <c r="CR8" s="0" t="s">
        <v>217</v>
      </c>
    </row>
    <row r="9" customFormat="false" ht="22.5" hidden="false" customHeight="false" outlineLevel="0" collapsed="false">
      <c r="A9" s="0" t="s">
        <v>96</v>
      </c>
      <c r="B9" s="0" t="s">
        <v>129</v>
      </c>
      <c r="C9" s="0" t="s">
        <v>98</v>
      </c>
      <c r="D9" s="0" t="s">
        <v>99</v>
      </c>
      <c r="E9" s="0" t="s">
        <v>218</v>
      </c>
      <c r="F9" s="0" t="s">
        <v>219</v>
      </c>
      <c r="H9" s="0" t="s">
        <v>102</v>
      </c>
      <c r="L9" s="0" t="str">
        <f aca="false">"1630"</f>
        <v>1630</v>
      </c>
      <c r="T9" s="0" t="s">
        <v>103</v>
      </c>
      <c r="U9" s="1" t="s">
        <v>220</v>
      </c>
      <c r="V9" s="1" t="s">
        <v>221</v>
      </c>
      <c r="AD9" s="0" t="s">
        <v>136</v>
      </c>
      <c r="AE9" s="0" t="s">
        <v>222</v>
      </c>
      <c r="AF9" s="1" t="s">
        <v>223</v>
      </c>
      <c r="AG9" s="0" t="s">
        <v>224</v>
      </c>
      <c r="AH9" s="0" t="s">
        <v>225</v>
      </c>
      <c r="AI9" s="0" t="s">
        <v>226</v>
      </c>
      <c r="AO9" s="0" t="s">
        <v>138</v>
      </c>
      <c r="AT9" s="0" t="s">
        <v>139</v>
      </c>
      <c r="AU9" s="0" t="s">
        <v>112</v>
      </c>
      <c r="AV9" s="0" t="s">
        <v>113</v>
      </c>
      <c r="BD9" s="0" t="s">
        <v>140</v>
      </c>
      <c r="BE9" s="0" t="s">
        <v>227</v>
      </c>
      <c r="BF9" s="0" t="s">
        <v>207</v>
      </c>
      <c r="BG9" s="0" t="s">
        <v>98</v>
      </c>
      <c r="BH9" s="0" t="s">
        <v>116</v>
      </c>
      <c r="BI9" s="0" t="s">
        <v>228</v>
      </c>
      <c r="BJ9" s="1" t="s">
        <v>229</v>
      </c>
      <c r="BU9" s="0" t="s">
        <v>230</v>
      </c>
      <c r="BX9" s="0" t="s">
        <v>231</v>
      </c>
      <c r="CH9" s="0" t="s">
        <v>145</v>
      </c>
      <c r="CI9" s="0" t="s">
        <v>231</v>
      </c>
      <c r="CR9" s="0" t="s">
        <v>232</v>
      </c>
    </row>
    <row r="10" customFormat="false" ht="22.5" hidden="false" customHeight="false" outlineLevel="0" collapsed="false">
      <c r="A10" s="0" t="s">
        <v>96</v>
      </c>
      <c r="B10" s="0" t="s">
        <v>129</v>
      </c>
      <c r="C10" s="0" t="s">
        <v>98</v>
      </c>
      <c r="D10" s="0" t="s">
        <v>99</v>
      </c>
      <c r="E10" s="0" t="s">
        <v>233</v>
      </c>
      <c r="F10" s="1" t="s">
        <v>149</v>
      </c>
      <c r="H10" s="0" t="s">
        <v>102</v>
      </c>
      <c r="L10" s="0" t="str">
        <f aca="false">"1630"</f>
        <v>1630</v>
      </c>
      <c r="T10" s="0" t="s">
        <v>103</v>
      </c>
      <c r="AD10" s="1" t="s">
        <v>234</v>
      </c>
      <c r="AE10" s="1" t="s">
        <v>235</v>
      </c>
      <c r="AF10" s="1" t="s">
        <v>223</v>
      </c>
      <c r="AO10" s="0" t="s">
        <v>138</v>
      </c>
      <c r="AP10" s="0" t="s">
        <v>236</v>
      </c>
      <c r="AQ10" s="0" t="s">
        <v>237</v>
      </c>
      <c r="AT10" s="0" t="s">
        <v>139</v>
      </c>
      <c r="AU10" s="0" t="s">
        <v>112</v>
      </c>
      <c r="AV10" s="0" t="s">
        <v>113</v>
      </c>
      <c r="BG10" s="0" t="s">
        <v>98</v>
      </c>
      <c r="BH10" s="0" t="s">
        <v>116</v>
      </c>
      <c r="BI10" s="0" t="s">
        <v>228</v>
      </c>
      <c r="BJ10" s="0" t="s">
        <v>185</v>
      </c>
      <c r="BU10" s="0" t="s">
        <v>238</v>
      </c>
      <c r="BX10" s="0" t="s">
        <v>239</v>
      </c>
      <c r="CH10" s="0" t="s">
        <v>145</v>
      </c>
      <c r="CI10" s="0" t="s">
        <v>239</v>
      </c>
      <c r="CR10" s="0" t="s">
        <v>240</v>
      </c>
    </row>
    <row r="11" customFormat="false" ht="22.5" hidden="false" customHeight="false" outlineLevel="0" collapsed="false">
      <c r="A11" s="0" t="s">
        <v>241</v>
      </c>
      <c r="B11" s="0" t="s">
        <v>236</v>
      </c>
      <c r="C11" s="0" t="s">
        <v>242</v>
      </c>
      <c r="D11" s="0" t="s">
        <v>243</v>
      </c>
      <c r="E11" s="0" t="s">
        <v>244</v>
      </c>
      <c r="H11" s="0" t="s">
        <v>102</v>
      </c>
      <c r="L11" s="0" t="str">
        <f aca="false">"1730"</f>
        <v>1730</v>
      </c>
      <c r="M11" s="0" t="s">
        <v>245</v>
      </c>
      <c r="O11" s="0" t="s">
        <v>246</v>
      </c>
      <c r="T11" s="0" t="s">
        <v>247</v>
      </c>
      <c r="AA11" s="0" t="str">
        <f aca="false">"10357750"</f>
        <v>10357750</v>
      </c>
      <c r="AB11" s="0" t="s">
        <v>248</v>
      </c>
      <c r="AO11" s="0" t="s">
        <v>197</v>
      </c>
      <c r="AT11" s="0" t="s">
        <v>139</v>
      </c>
      <c r="AU11" s="0" t="s">
        <v>112</v>
      </c>
      <c r="BV11" s="0" t="s">
        <v>249</v>
      </c>
      <c r="CJ11" s="0" t="s">
        <v>250</v>
      </c>
      <c r="CO11" s="0" t="s">
        <v>236</v>
      </c>
      <c r="CP11" s="1" t="s">
        <v>251</v>
      </c>
    </row>
    <row r="12" customFormat="false" ht="54.35" hidden="false" customHeight="false" outlineLevel="0" collapsed="false">
      <c r="A12" s="0" t="s">
        <v>252</v>
      </c>
      <c r="B12" s="0" t="s">
        <v>253</v>
      </c>
      <c r="C12" s="0" t="s">
        <v>98</v>
      </c>
      <c r="D12" s="0" t="s">
        <v>99</v>
      </c>
      <c r="E12" s="0" t="s">
        <v>254</v>
      </c>
      <c r="F12" s="0" t="s">
        <v>255</v>
      </c>
      <c r="G12" s="0" t="s">
        <v>256</v>
      </c>
      <c r="L12" s="0" t="str">
        <f aca="false">"1704"</f>
        <v>1704</v>
      </c>
      <c r="M12" s="0" t="s">
        <v>257</v>
      </c>
      <c r="O12" s="0" t="s">
        <v>258</v>
      </c>
      <c r="T12" s="0" t="s">
        <v>99</v>
      </c>
      <c r="U12" s="1" t="s">
        <v>259</v>
      </c>
      <c r="V12" s="1" t="s">
        <v>260</v>
      </c>
      <c r="AD12" s="1" t="s">
        <v>261</v>
      </c>
      <c r="AE12" s="1" t="s">
        <v>262</v>
      </c>
      <c r="AF12" s="1" t="s">
        <v>263</v>
      </c>
      <c r="AO12" s="0" t="s">
        <v>264</v>
      </c>
      <c r="AT12" s="0" t="s">
        <v>139</v>
      </c>
      <c r="AU12" s="0" t="s">
        <v>112</v>
      </c>
      <c r="AV12" s="0" t="s">
        <v>113</v>
      </c>
      <c r="BD12" s="0" t="s">
        <v>265</v>
      </c>
      <c r="BE12" s="1" t="s">
        <v>266</v>
      </c>
      <c r="BF12" s="0" t="s">
        <v>142</v>
      </c>
      <c r="BJ12" s="1" t="s">
        <v>229</v>
      </c>
      <c r="BK12" s="1" t="s">
        <v>267</v>
      </c>
      <c r="BL12" s="1" t="s">
        <v>268</v>
      </c>
      <c r="BM12" s="0" t="s">
        <v>269</v>
      </c>
      <c r="BN12" s="1" t="s">
        <v>270</v>
      </c>
      <c r="BO12" s="1" t="s">
        <v>271</v>
      </c>
      <c r="BU12" s="1" t="s">
        <v>272</v>
      </c>
      <c r="BX12" s="1" t="s">
        <v>273</v>
      </c>
      <c r="CF12" s="0" t="s">
        <v>274</v>
      </c>
      <c r="CG12" s="0" t="s">
        <v>123</v>
      </c>
      <c r="CH12" s="1" t="s">
        <v>275</v>
      </c>
      <c r="CI12" s="1" t="s">
        <v>273</v>
      </c>
      <c r="CJ12" s="0" t="s">
        <v>276</v>
      </c>
      <c r="CL12" s="1" t="s">
        <v>277</v>
      </c>
      <c r="CM12" s="1" t="s">
        <v>277</v>
      </c>
      <c r="CO12" s="0" t="s">
        <v>278</v>
      </c>
      <c r="CR12" s="0" t="s">
        <v>279</v>
      </c>
    </row>
    <row r="13" customFormat="false" ht="2081.25" hidden="false" customHeight="false" outlineLevel="0" collapsed="false">
      <c r="A13" s="0" t="s">
        <v>96</v>
      </c>
      <c r="B13" s="0" t="s">
        <v>280</v>
      </c>
      <c r="C13" s="0" t="s">
        <v>98</v>
      </c>
      <c r="D13" s="0" t="s">
        <v>99</v>
      </c>
      <c r="E13" s="0" t="s">
        <v>281</v>
      </c>
      <c r="F13" s="1" t="s">
        <v>201</v>
      </c>
      <c r="H13" s="0" t="s">
        <v>102</v>
      </c>
      <c r="L13" s="0" t="str">
        <f aca="false">"1763"</f>
        <v>1763</v>
      </c>
      <c r="M13" s="1" t="s">
        <v>175</v>
      </c>
      <c r="O13" s="1" t="s">
        <v>282</v>
      </c>
      <c r="T13" s="0" t="s">
        <v>247</v>
      </c>
      <c r="U13" s="1" t="s">
        <v>283</v>
      </c>
      <c r="V13" s="1" t="s">
        <v>284</v>
      </c>
      <c r="AD13" s="1" t="s">
        <v>285</v>
      </c>
      <c r="AE13" s="1" t="s">
        <v>286</v>
      </c>
      <c r="AF13" s="0" t="s">
        <v>109</v>
      </c>
      <c r="AG13" s="1" t="s">
        <v>287</v>
      </c>
      <c r="AH13" s="0" t="s">
        <v>247</v>
      </c>
      <c r="AI13" s="1" t="s">
        <v>288</v>
      </c>
      <c r="AJ13" s="0" t="s">
        <v>289</v>
      </c>
      <c r="AO13" s="0" t="s">
        <v>161</v>
      </c>
      <c r="AT13" s="0" t="s">
        <v>139</v>
      </c>
      <c r="AU13" s="0" t="s">
        <v>112</v>
      </c>
      <c r="AV13" s="0" t="s">
        <v>113</v>
      </c>
      <c r="AY13" s="0" t="s">
        <v>290</v>
      </c>
      <c r="BD13" s="0" t="s">
        <v>140</v>
      </c>
      <c r="BE13" s="1" t="s">
        <v>291</v>
      </c>
      <c r="BF13" s="1" t="s">
        <v>292</v>
      </c>
      <c r="BG13" s="0" t="s">
        <v>98</v>
      </c>
      <c r="BH13" s="0" t="s">
        <v>116</v>
      </c>
      <c r="BI13" s="0" t="s">
        <v>293</v>
      </c>
      <c r="BJ13" s="1" t="s">
        <v>229</v>
      </c>
      <c r="BU13" s="1" t="s">
        <v>294</v>
      </c>
      <c r="BW13" s="1" t="s">
        <v>295</v>
      </c>
      <c r="BX13" s="0" t="s">
        <v>296</v>
      </c>
      <c r="CF13" s="0" t="s">
        <v>297</v>
      </c>
      <c r="CG13" s="0" t="s">
        <v>123</v>
      </c>
      <c r="CH13" s="0" t="s">
        <v>298</v>
      </c>
      <c r="CI13" s="0" t="s">
        <v>296</v>
      </c>
      <c r="CJ13" s="0" t="s">
        <v>299</v>
      </c>
      <c r="CL13" s="0" t="s">
        <v>300</v>
      </c>
      <c r="CM13" s="0" t="s">
        <v>300</v>
      </c>
      <c r="CO13" s="0" t="s">
        <v>301</v>
      </c>
      <c r="CR13" s="0" t="s">
        <v>302</v>
      </c>
    </row>
    <row r="14" customFormat="false" ht="107.5" hidden="false" customHeight="false" outlineLevel="0" collapsed="false">
      <c r="A14" s="0" t="s">
        <v>96</v>
      </c>
      <c r="B14" s="0" t="s">
        <v>303</v>
      </c>
      <c r="C14" s="0" t="s">
        <v>98</v>
      </c>
      <c r="D14" s="0" t="s">
        <v>99</v>
      </c>
      <c r="E14" s="0" t="s">
        <v>304</v>
      </c>
      <c r="F14" s="1" t="s">
        <v>149</v>
      </c>
      <c r="H14" s="0" t="s">
        <v>102</v>
      </c>
      <c r="K14" s="0" t="s">
        <v>305</v>
      </c>
      <c r="L14" s="0" t="str">
        <f aca="false">"1608"</f>
        <v>1608</v>
      </c>
      <c r="M14" s="1" t="s">
        <v>306</v>
      </c>
      <c r="O14" s="1" t="s">
        <v>307</v>
      </c>
      <c r="T14" s="0" t="s">
        <v>308</v>
      </c>
      <c r="U14" s="1" t="s">
        <v>309</v>
      </c>
      <c r="V14" s="1" t="s">
        <v>310</v>
      </c>
      <c r="AD14" s="0" t="s">
        <v>107</v>
      </c>
      <c r="AE14" s="0" t="s">
        <v>311</v>
      </c>
      <c r="AF14" s="0" t="s">
        <v>109</v>
      </c>
      <c r="AG14" s="1" t="s">
        <v>312</v>
      </c>
      <c r="AH14" s="1" t="s">
        <v>313</v>
      </c>
      <c r="AI14" s="1" t="s">
        <v>314</v>
      </c>
      <c r="AJ14" s="1" t="s">
        <v>315</v>
      </c>
      <c r="AK14" s="0" t="s">
        <v>316</v>
      </c>
      <c r="AO14" s="0" t="s">
        <v>161</v>
      </c>
      <c r="AT14" s="0" t="s">
        <v>139</v>
      </c>
      <c r="AU14" s="0" t="s">
        <v>112</v>
      </c>
      <c r="AV14" s="0" t="s">
        <v>113</v>
      </c>
      <c r="BA14" s="0" t="s">
        <v>317</v>
      </c>
      <c r="BB14" s="0" t="s">
        <v>318</v>
      </c>
      <c r="BD14" s="0" t="s">
        <v>140</v>
      </c>
      <c r="BE14" s="1" t="s">
        <v>319</v>
      </c>
      <c r="BF14" s="0" t="s">
        <v>320</v>
      </c>
      <c r="BJ14" s="0" t="s">
        <v>118</v>
      </c>
      <c r="BU14" s="0" t="s">
        <v>321</v>
      </c>
      <c r="BX14" s="0" t="s">
        <v>322</v>
      </c>
      <c r="CI14" s="0" t="s">
        <v>322</v>
      </c>
      <c r="CJ14" s="0" t="s">
        <v>323</v>
      </c>
      <c r="CO14" s="0" t="s">
        <v>324</v>
      </c>
      <c r="CR14" s="0" t="s">
        <v>325</v>
      </c>
    </row>
    <row r="15" customFormat="false" ht="22.5" hidden="false" customHeight="false" outlineLevel="0" collapsed="false">
      <c r="A15" s="0" t="s">
        <v>326</v>
      </c>
      <c r="B15" s="0" t="s">
        <v>327</v>
      </c>
      <c r="C15" s="0" t="s">
        <v>328</v>
      </c>
      <c r="D15" s="0" t="s">
        <v>329</v>
      </c>
      <c r="E15" s="0" t="s">
        <v>330</v>
      </c>
      <c r="H15" s="0" t="s">
        <v>102</v>
      </c>
      <c r="L15" s="0" t="str">
        <f aca="false">"1674"</f>
        <v>1674</v>
      </c>
      <c r="M15" s="1" t="s">
        <v>331</v>
      </c>
      <c r="O15" s="1" t="s">
        <v>332</v>
      </c>
      <c r="T15" s="0" t="s">
        <v>329</v>
      </c>
      <c r="U15" s="1" t="s">
        <v>333</v>
      </c>
      <c r="V15" s="1" t="s">
        <v>334</v>
      </c>
      <c r="X15" s="0" t="s">
        <v>335</v>
      </c>
      <c r="AP15" s="0" t="s">
        <v>336</v>
      </c>
      <c r="AQ15" s="0" t="s">
        <v>337</v>
      </c>
      <c r="AT15" s="0" t="s">
        <v>338</v>
      </c>
      <c r="AU15" s="0" t="s">
        <v>339</v>
      </c>
      <c r="AY15" s="0" t="s">
        <v>340</v>
      </c>
      <c r="BX15" s="1" t="s">
        <v>341</v>
      </c>
      <c r="CG15" s="0" t="s">
        <v>123</v>
      </c>
      <c r="CH15" s="0" t="s">
        <v>342</v>
      </c>
      <c r="CI15" s="1" t="s">
        <v>341</v>
      </c>
      <c r="CJ15" s="0" t="s">
        <v>343</v>
      </c>
      <c r="CL15" s="1" t="s">
        <v>344</v>
      </c>
      <c r="CM15" s="1" t="s">
        <v>344</v>
      </c>
      <c r="CO15" s="0" t="s">
        <v>345</v>
      </c>
      <c r="CR15" s="0" t="s">
        <v>346</v>
      </c>
    </row>
    <row r="16" customFormat="false" ht="22.5" hidden="false" customHeight="false" outlineLevel="0" collapsed="false">
      <c r="B16" s="0" t="s">
        <v>336</v>
      </c>
      <c r="C16" s="0" t="s">
        <v>328</v>
      </c>
      <c r="D16" s="0" t="s">
        <v>329</v>
      </c>
      <c r="E16" s="0" t="s">
        <v>347</v>
      </c>
      <c r="L16" s="0" t="str">
        <f aca="false">"1674"</f>
        <v>1674</v>
      </c>
      <c r="T16" s="0" t="s">
        <v>329</v>
      </c>
      <c r="X16" s="0" t="s">
        <v>348</v>
      </c>
      <c r="AT16" s="0" t="s">
        <v>338</v>
      </c>
      <c r="BX16" s="1" t="s">
        <v>349</v>
      </c>
      <c r="CI16" s="1" t="s">
        <v>349</v>
      </c>
      <c r="CP16" s="0" t="s">
        <v>350</v>
      </c>
      <c r="CR16" s="0" t="s">
        <v>351</v>
      </c>
    </row>
    <row r="17" customFormat="false" ht="22.5" hidden="false" customHeight="false" outlineLevel="0" collapsed="false">
      <c r="A17" s="0" t="s">
        <v>96</v>
      </c>
      <c r="B17" s="0" t="s">
        <v>352</v>
      </c>
      <c r="C17" s="0" t="s">
        <v>224</v>
      </c>
      <c r="D17" s="0" t="s">
        <v>225</v>
      </c>
      <c r="E17" s="0" t="s">
        <v>353</v>
      </c>
      <c r="F17" s="0" t="s">
        <v>219</v>
      </c>
      <c r="H17" s="0" t="s">
        <v>102</v>
      </c>
      <c r="L17" s="0" t="str">
        <f aca="false">"1736"</f>
        <v>1736</v>
      </c>
      <c r="M17" s="1" t="s">
        <v>354</v>
      </c>
      <c r="O17" s="0" t="s">
        <v>355</v>
      </c>
      <c r="T17" s="0" t="s">
        <v>99</v>
      </c>
      <c r="U17" s="1" t="s">
        <v>356</v>
      </c>
      <c r="V17" s="1" t="s">
        <v>357</v>
      </c>
      <c r="AD17" s="0" t="s">
        <v>136</v>
      </c>
      <c r="AE17" s="0" t="s">
        <v>358</v>
      </c>
      <c r="AG17" s="0" t="s">
        <v>359</v>
      </c>
      <c r="AH17" s="0" t="s">
        <v>360</v>
      </c>
      <c r="AI17" s="0" t="s">
        <v>361</v>
      </c>
      <c r="AO17" s="0" t="s">
        <v>161</v>
      </c>
      <c r="AT17" s="0" t="s">
        <v>139</v>
      </c>
      <c r="AU17" s="0" t="s">
        <v>112</v>
      </c>
      <c r="BD17" s="0" t="s">
        <v>140</v>
      </c>
      <c r="BE17" s="0" t="s">
        <v>362</v>
      </c>
      <c r="BF17" s="0" t="s">
        <v>142</v>
      </c>
      <c r="BU17" s="0" t="s">
        <v>363</v>
      </c>
      <c r="BV17" s="0" t="s">
        <v>364</v>
      </c>
      <c r="BX17" s="0" t="s">
        <v>365</v>
      </c>
      <c r="CH17" s="0" t="s">
        <v>342</v>
      </c>
      <c r="CI17" s="0" t="s">
        <v>365</v>
      </c>
      <c r="CJ17" s="0" t="s">
        <v>366</v>
      </c>
      <c r="CO17" s="0" t="s">
        <v>352</v>
      </c>
      <c r="CR17" s="0" t="s">
        <v>367</v>
      </c>
    </row>
    <row r="18" customFormat="false" ht="22.5" hidden="false" customHeight="false" outlineLevel="0" collapsed="false">
      <c r="A18" s="0" t="s">
        <v>96</v>
      </c>
      <c r="B18" s="0" t="s">
        <v>368</v>
      </c>
      <c r="C18" s="0" t="s">
        <v>98</v>
      </c>
      <c r="D18" s="0" t="s">
        <v>99</v>
      </c>
      <c r="E18" s="0" t="s">
        <v>369</v>
      </c>
      <c r="F18" s="0" t="s">
        <v>192</v>
      </c>
      <c r="H18" s="0" t="s">
        <v>102</v>
      </c>
      <c r="L18" s="0" t="str">
        <f aca="false">"1755"</f>
        <v>1755</v>
      </c>
      <c r="M18" s="1" t="s">
        <v>370</v>
      </c>
      <c r="O18" s="1" t="s">
        <v>371</v>
      </c>
      <c r="T18" s="0" t="s">
        <v>99</v>
      </c>
      <c r="U18" s="1" t="s">
        <v>372</v>
      </c>
      <c r="V18" s="1" t="s">
        <v>373</v>
      </c>
      <c r="AD18" s="0" t="s">
        <v>136</v>
      </c>
      <c r="AE18" s="0" t="s">
        <v>374</v>
      </c>
      <c r="AF18" s="0" t="s">
        <v>109</v>
      </c>
      <c r="AO18" s="0" t="s">
        <v>161</v>
      </c>
      <c r="AT18" s="0" t="s">
        <v>139</v>
      </c>
      <c r="AU18" s="0" t="s">
        <v>112</v>
      </c>
      <c r="AV18" s="0" t="s">
        <v>113</v>
      </c>
      <c r="BG18" s="0" t="s">
        <v>98</v>
      </c>
      <c r="BH18" s="0" t="s">
        <v>116</v>
      </c>
      <c r="BI18" s="0" t="s">
        <v>228</v>
      </c>
      <c r="BJ18" s="0" t="s">
        <v>185</v>
      </c>
      <c r="BU18" s="0" t="s">
        <v>375</v>
      </c>
      <c r="BX18" s="1" t="s">
        <v>376</v>
      </c>
      <c r="CH18" s="0" t="s">
        <v>145</v>
      </c>
      <c r="CI18" s="1" t="s">
        <v>376</v>
      </c>
      <c r="CJ18" s="0" t="s">
        <v>377</v>
      </c>
      <c r="CO18" s="0" t="s">
        <v>368</v>
      </c>
      <c r="CR18" s="0" t="s">
        <v>378</v>
      </c>
    </row>
    <row r="19" customFormat="false" ht="22.5" hidden="false" customHeight="false" outlineLevel="0" collapsed="false">
      <c r="A19" s="0" t="s">
        <v>96</v>
      </c>
      <c r="B19" s="0" t="s">
        <v>379</v>
      </c>
      <c r="C19" s="0" t="s">
        <v>98</v>
      </c>
      <c r="D19" s="0" t="s">
        <v>99</v>
      </c>
      <c r="E19" s="0" t="s">
        <v>380</v>
      </c>
      <c r="F19" s="1" t="s">
        <v>149</v>
      </c>
      <c r="H19" s="0" t="s">
        <v>102</v>
      </c>
      <c r="L19" s="0" t="str">
        <f aca="false">"1730"</f>
        <v>1730</v>
      </c>
      <c r="M19" s="1" t="s">
        <v>354</v>
      </c>
      <c r="O19" s="0" t="s">
        <v>381</v>
      </c>
      <c r="T19" s="0" t="s">
        <v>247</v>
      </c>
      <c r="U19" s="0" t="s">
        <v>382</v>
      </c>
      <c r="V19" s="0" t="s">
        <v>383</v>
      </c>
      <c r="AD19" s="0" t="s">
        <v>136</v>
      </c>
      <c r="AE19" s="0" t="s">
        <v>384</v>
      </c>
      <c r="AF19" s="0" t="s">
        <v>109</v>
      </c>
      <c r="AG19" s="0" t="s">
        <v>224</v>
      </c>
      <c r="AH19" s="0" t="s">
        <v>225</v>
      </c>
      <c r="AI19" s="0" t="s">
        <v>385</v>
      </c>
      <c r="AO19" s="0" t="s">
        <v>161</v>
      </c>
      <c r="AP19" s="0" t="s">
        <v>386</v>
      </c>
      <c r="AQ19" s="0" t="s">
        <v>387</v>
      </c>
      <c r="AT19" s="0" t="s">
        <v>139</v>
      </c>
      <c r="AU19" s="0" t="s">
        <v>112</v>
      </c>
      <c r="AV19" s="0" t="s">
        <v>113</v>
      </c>
      <c r="BD19" s="0" t="s">
        <v>140</v>
      </c>
      <c r="BE19" s="0" t="s">
        <v>388</v>
      </c>
      <c r="BG19" s="0" t="s">
        <v>389</v>
      </c>
      <c r="BH19" s="0" t="s">
        <v>116</v>
      </c>
      <c r="BI19" s="0" t="s">
        <v>390</v>
      </c>
      <c r="BJ19" s="0" t="s">
        <v>185</v>
      </c>
      <c r="BU19" s="0" t="s">
        <v>391</v>
      </c>
      <c r="BX19" s="1" t="s">
        <v>392</v>
      </c>
      <c r="CH19" s="0" t="s">
        <v>145</v>
      </c>
      <c r="CI19" s="1" t="s">
        <v>392</v>
      </c>
      <c r="CJ19" s="1" t="s">
        <v>393</v>
      </c>
      <c r="CO19" s="1" t="s">
        <v>394</v>
      </c>
      <c r="CR19" s="0" t="s">
        <v>395</v>
      </c>
    </row>
    <row r="20" customFormat="false" ht="54.35" hidden="false" customHeight="false" outlineLevel="0" collapsed="false">
      <c r="A20" s="0" t="s">
        <v>396</v>
      </c>
      <c r="B20" s="0" t="s">
        <v>386</v>
      </c>
      <c r="C20" s="0" t="s">
        <v>397</v>
      </c>
      <c r="D20" s="0" t="s">
        <v>398</v>
      </c>
      <c r="E20" s="0" t="s">
        <v>399</v>
      </c>
      <c r="H20" s="0" t="s">
        <v>102</v>
      </c>
      <c r="L20" s="0" t="str">
        <f aca="false">"1730"</f>
        <v>1730</v>
      </c>
      <c r="M20" s="0" t="s">
        <v>245</v>
      </c>
      <c r="O20" s="0" t="s">
        <v>246</v>
      </c>
      <c r="T20" s="0" t="s">
        <v>247</v>
      </c>
      <c r="AA20" s="0" t="str">
        <f aca="false">"11979100"</f>
        <v>11979100</v>
      </c>
      <c r="AB20" s="0" t="s">
        <v>400</v>
      </c>
      <c r="AO20" s="0" t="s">
        <v>401</v>
      </c>
      <c r="AT20" s="0" t="s">
        <v>139</v>
      </c>
      <c r="AU20" s="0" t="s">
        <v>112</v>
      </c>
      <c r="BV20" s="0" t="s">
        <v>402</v>
      </c>
      <c r="CJ20" s="0" t="s">
        <v>403</v>
      </c>
      <c r="CO20" s="0" t="s">
        <v>386</v>
      </c>
      <c r="CP20" s="1" t="s">
        <v>404</v>
      </c>
    </row>
    <row r="21" customFormat="false" ht="107.5" hidden="false" customHeight="false" outlineLevel="0" collapsed="false">
      <c r="A21" s="0" t="s">
        <v>96</v>
      </c>
      <c r="B21" s="0" t="s">
        <v>405</v>
      </c>
      <c r="C21" s="0" t="s">
        <v>98</v>
      </c>
      <c r="D21" s="0" t="s">
        <v>99</v>
      </c>
      <c r="E21" s="0" t="s">
        <v>406</v>
      </c>
      <c r="F21" s="0" t="s">
        <v>219</v>
      </c>
      <c r="H21" s="0" t="s">
        <v>407</v>
      </c>
      <c r="L21" s="0" t="str">
        <f aca="false">"1730"</f>
        <v>1730</v>
      </c>
      <c r="M21" s="0" t="s">
        <v>150</v>
      </c>
      <c r="O21" s="0" t="s">
        <v>408</v>
      </c>
      <c r="T21" s="0" t="s">
        <v>247</v>
      </c>
      <c r="U21" s="1" t="s">
        <v>409</v>
      </c>
      <c r="V21" s="1" t="s">
        <v>410</v>
      </c>
      <c r="AD21" s="0" t="s">
        <v>136</v>
      </c>
      <c r="AE21" s="0" t="s">
        <v>411</v>
      </c>
      <c r="AF21" s="0" t="s">
        <v>109</v>
      </c>
      <c r="AO21" s="0" t="s">
        <v>161</v>
      </c>
      <c r="AP21" s="0" t="s">
        <v>386</v>
      </c>
      <c r="AQ21" s="0" t="s">
        <v>412</v>
      </c>
      <c r="AT21" s="0" t="s">
        <v>139</v>
      </c>
      <c r="AU21" s="0" t="s">
        <v>112</v>
      </c>
      <c r="AV21" s="0" t="s">
        <v>113</v>
      </c>
      <c r="BD21" s="0" t="s">
        <v>140</v>
      </c>
      <c r="BE21" s="0" t="s">
        <v>413</v>
      </c>
      <c r="BF21" s="0" t="s">
        <v>414</v>
      </c>
      <c r="BJ21" s="0" t="s">
        <v>118</v>
      </c>
      <c r="BU21" s="1" t="s">
        <v>415</v>
      </c>
      <c r="BX21" s="0" t="s">
        <v>416</v>
      </c>
      <c r="CF21" s="1" t="s">
        <v>417</v>
      </c>
      <c r="CG21" s="0" t="s">
        <v>123</v>
      </c>
      <c r="CH21" s="0" t="s">
        <v>145</v>
      </c>
      <c r="CI21" s="0" t="s">
        <v>416</v>
      </c>
      <c r="CJ21" s="0" t="s">
        <v>418</v>
      </c>
      <c r="CL21" s="0" t="s">
        <v>419</v>
      </c>
      <c r="CM21" s="0" t="s">
        <v>419</v>
      </c>
      <c r="CO21" s="0" t="s">
        <v>405</v>
      </c>
      <c r="CR21" s="0" t="s">
        <v>420</v>
      </c>
    </row>
    <row r="22" customFormat="false" ht="12.8" hidden="false" customHeight="false" outlineLevel="0" collapsed="false">
      <c r="A22" s="0" t="s">
        <v>96</v>
      </c>
      <c r="B22" s="0" t="s">
        <v>421</v>
      </c>
      <c r="C22" s="0" t="s">
        <v>98</v>
      </c>
      <c r="D22" s="0" t="s">
        <v>99</v>
      </c>
      <c r="E22" s="0" t="s">
        <v>422</v>
      </c>
      <c r="F22" s="0" t="s">
        <v>131</v>
      </c>
      <c r="H22" s="0" t="s">
        <v>102</v>
      </c>
      <c r="K22" s="0" t="s">
        <v>423</v>
      </c>
      <c r="L22" s="0" t="str">
        <f aca="false">"1708"</f>
        <v>1708</v>
      </c>
      <c r="U22" s="0" t="s">
        <v>424</v>
      </c>
      <c r="V22" s="0" t="s">
        <v>425</v>
      </c>
      <c r="AD22" s="0" t="s">
        <v>155</v>
      </c>
      <c r="AE22" s="0" t="s">
        <v>426</v>
      </c>
      <c r="AF22" s="0" t="s">
        <v>109</v>
      </c>
      <c r="AO22" s="0" t="s">
        <v>161</v>
      </c>
      <c r="AT22" s="0" t="s">
        <v>139</v>
      </c>
      <c r="AU22" s="0" t="s">
        <v>112</v>
      </c>
      <c r="AV22" s="0" t="s">
        <v>113</v>
      </c>
      <c r="BU22" s="0" t="s">
        <v>427</v>
      </c>
      <c r="BX22" s="0" t="s">
        <v>428</v>
      </c>
      <c r="BY22" s="0" t="s">
        <v>429</v>
      </c>
      <c r="BZ22" s="0" t="s">
        <v>430</v>
      </c>
      <c r="CH22" s="0" t="s">
        <v>145</v>
      </c>
      <c r="CI22" s="0" t="s">
        <v>428</v>
      </c>
      <c r="CR22" s="0" t="s">
        <v>431</v>
      </c>
    </row>
    <row r="23" customFormat="false" ht="22.5" hidden="false" customHeight="false" outlineLevel="0" collapsed="false">
      <c r="A23" s="0" t="s">
        <v>96</v>
      </c>
      <c r="B23" s="0" t="s">
        <v>432</v>
      </c>
      <c r="C23" s="0" t="s">
        <v>98</v>
      </c>
      <c r="D23" s="0" t="s">
        <v>99</v>
      </c>
      <c r="E23" s="0" t="s">
        <v>433</v>
      </c>
      <c r="F23" s="1" t="s">
        <v>201</v>
      </c>
      <c r="H23" s="0" t="s">
        <v>102</v>
      </c>
      <c r="L23" s="0" t="str">
        <f aca="false">"1730"</f>
        <v>1730</v>
      </c>
      <c r="M23" s="1" t="s">
        <v>132</v>
      </c>
      <c r="O23" s="1" t="s">
        <v>434</v>
      </c>
      <c r="R23" s="0" t="s">
        <v>435</v>
      </c>
      <c r="T23" s="0" t="s">
        <v>247</v>
      </c>
      <c r="U23" s="0" t="s">
        <v>382</v>
      </c>
      <c r="V23" s="0" t="s">
        <v>436</v>
      </c>
      <c r="AD23" s="1" t="s">
        <v>285</v>
      </c>
      <c r="AE23" s="1" t="s">
        <v>437</v>
      </c>
      <c r="AF23" s="0" t="s">
        <v>109</v>
      </c>
      <c r="AO23" s="0" t="s">
        <v>161</v>
      </c>
      <c r="AP23" s="0" t="s">
        <v>386</v>
      </c>
      <c r="AQ23" s="0" t="s">
        <v>438</v>
      </c>
      <c r="AT23" s="0" t="s">
        <v>139</v>
      </c>
      <c r="AU23" s="0" t="s">
        <v>112</v>
      </c>
      <c r="AV23" s="0" t="s">
        <v>113</v>
      </c>
      <c r="BD23" s="0" t="s">
        <v>140</v>
      </c>
      <c r="BE23" s="1" t="s">
        <v>439</v>
      </c>
      <c r="BF23" s="0" t="s">
        <v>440</v>
      </c>
      <c r="BJ23" s="0" t="s">
        <v>118</v>
      </c>
      <c r="BU23" s="0" t="s">
        <v>441</v>
      </c>
      <c r="BX23" s="0" t="s">
        <v>442</v>
      </c>
      <c r="CH23" s="0" t="s">
        <v>145</v>
      </c>
      <c r="CI23" s="0" t="s">
        <v>442</v>
      </c>
      <c r="CJ23" s="0" t="s">
        <v>443</v>
      </c>
      <c r="CO23" s="0" t="s">
        <v>432</v>
      </c>
      <c r="CR23" s="0" t="s">
        <v>444</v>
      </c>
    </row>
    <row r="24" customFormat="false" ht="43.75" hidden="false" customHeight="false" outlineLevel="0" collapsed="false">
      <c r="A24" s="0" t="s">
        <v>445</v>
      </c>
      <c r="B24" s="0" t="s">
        <v>446</v>
      </c>
      <c r="C24" s="0" t="s">
        <v>98</v>
      </c>
      <c r="D24" s="0" t="s">
        <v>99</v>
      </c>
      <c r="E24" s="0" t="s">
        <v>447</v>
      </c>
      <c r="F24" s="0" t="s">
        <v>192</v>
      </c>
      <c r="H24" s="0" t="s">
        <v>102</v>
      </c>
      <c r="L24" s="0" t="str">
        <f aca="false">"06.05.1718"</f>
        <v>06.05.1718</v>
      </c>
      <c r="M24" s="0" t="s">
        <v>448</v>
      </c>
      <c r="O24" s="0" t="s">
        <v>449</v>
      </c>
      <c r="T24" s="0" t="s">
        <v>243</v>
      </c>
      <c r="AD24" s="0" t="s">
        <v>136</v>
      </c>
      <c r="AE24" s="0" t="s">
        <v>450</v>
      </c>
      <c r="AF24" s="0" t="s">
        <v>109</v>
      </c>
      <c r="AT24" s="0" t="s">
        <v>139</v>
      </c>
      <c r="AU24" s="0" t="s">
        <v>112</v>
      </c>
      <c r="AV24" s="0" t="s">
        <v>113</v>
      </c>
      <c r="AY24" s="0" t="s">
        <v>451</v>
      </c>
      <c r="BG24" s="0" t="s">
        <v>98</v>
      </c>
      <c r="BH24" s="0" t="s">
        <v>116</v>
      </c>
      <c r="BI24" s="0" t="s">
        <v>293</v>
      </c>
      <c r="BJ24" s="0" t="s">
        <v>185</v>
      </c>
      <c r="BU24" s="0" t="s">
        <v>452</v>
      </c>
      <c r="BX24" s="1" t="s">
        <v>453</v>
      </c>
      <c r="CH24" s="0" t="s">
        <v>454</v>
      </c>
      <c r="CI24" s="1" t="s">
        <v>453</v>
      </c>
      <c r="CR24" s="0" t="s">
        <v>455</v>
      </c>
    </row>
    <row r="25" customFormat="false" ht="65" hidden="false" customHeight="false" outlineLevel="0" collapsed="false">
      <c r="A25" s="0" t="s">
        <v>96</v>
      </c>
      <c r="B25" s="0" t="s">
        <v>456</v>
      </c>
      <c r="C25" s="0" t="s">
        <v>98</v>
      </c>
      <c r="D25" s="0" t="s">
        <v>99</v>
      </c>
      <c r="E25" s="0" t="s">
        <v>457</v>
      </c>
      <c r="F25" s="0" t="s">
        <v>131</v>
      </c>
      <c r="H25" s="0" t="s">
        <v>102</v>
      </c>
      <c r="L25" s="0" t="str">
        <f aca="false">"1730"</f>
        <v>1730</v>
      </c>
      <c r="M25" s="1" t="s">
        <v>458</v>
      </c>
      <c r="O25" s="1" t="s">
        <v>459</v>
      </c>
      <c r="T25" s="0" t="s">
        <v>247</v>
      </c>
      <c r="U25" s="1" t="s">
        <v>460</v>
      </c>
      <c r="V25" s="1" t="s">
        <v>461</v>
      </c>
      <c r="AA25" s="0" t="str">
        <f aca="false">"11979100"</f>
        <v>11979100</v>
      </c>
      <c r="AB25" s="0" t="s">
        <v>462</v>
      </c>
      <c r="AD25" s="1" t="s">
        <v>285</v>
      </c>
      <c r="AE25" s="1" t="s">
        <v>463</v>
      </c>
      <c r="AF25" s="0" t="s">
        <v>109</v>
      </c>
      <c r="AO25" s="0" t="s">
        <v>161</v>
      </c>
      <c r="AP25" s="0" t="s">
        <v>386</v>
      </c>
      <c r="AQ25" s="0" t="s">
        <v>464</v>
      </c>
      <c r="AT25" s="0" t="s">
        <v>139</v>
      </c>
      <c r="AU25" s="0" t="s">
        <v>112</v>
      </c>
      <c r="AV25" s="0" t="s">
        <v>113</v>
      </c>
      <c r="BD25" s="0" t="s">
        <v>140</v>
      </c>
      <c r="BE25" s="1" t="s">
        <v>465</v>
      </c>
      <c r="BF25" s="1" t="s">
        <v>466</v>
      </c>
      <c r="BG25" s="0" t="s">
        <v>98</v>
      </c>
      <c r="BH25" s="0" t="s">
        <v>116</v>
      </c>
      <c r="BI25" s="0" t="s">
        <v>228</v>
      </c>
      <c r="BJ25" s="1" t="s">
        <v>467</v>
      </c>
      <c r="BU25" s="1" t="s">
        <v>468</v>
      </c>
      <c r="BX25" s="0" t="s">
        <v>469</v>
      </c>
      <c r="CF25" s="0" t="s">
        <v>470</v>
      </c>
      <c r="CG25" s="0" t="s">
        <v>123</v>
      </c>
      <c r="CH25" s="0" t="s">
        <v>145</v>
      </c>
      <c r="CI25" s="0" t="s">
        <v>469</v>
      </c>
      <c r="CJ25" s="0" t="s">
        <v>471</v>
      </c>
      <c r="CL25" s="0" t="s">
        <v>472</v>
      </c>
      <c r="CM25" s="0" t="s">
        <v>472</v>
      </c>
      <c r="CO25" s="0" t="s">
        <v>456</v>
      </c>
      <c r="CR25" s="0" t="s">
        <v>473</v>
      </c>
    </row>
    <row r="26" customFormat="false" ht="33.1" hidden="false" customHeight="false" outlineLevel="0" collapsed="false">
      <c r="A26" s="0" t="s">
        <v>96</v>
      </c>
      <c r="B26" s="0" t="s">
        <v>474</v>
      </c>
      <c r="C26" s="0" t="s">
        <v>98</v>
      </c>
      <c r="D26" s="0" t="s">
        <v>99</v>
      </c>
      <c r="E26" s="0" t="s">
        <v>475</v>
      </c>
      <c r="F26" s="1" t="s">
        <v>476</v>
      </c>
      <c r="G26" s="1" t="s">
        <v>477</v>
      </c>
      <c r="H26" s="0" t="s">
        <v>102</v>
      </c>
      <c r="L26" s="0" t="str">
        <f aca="false">"1731"</f>
        <v>1731</v>
      </c>
      <c r="M26" s="1" t="s">
        <v>132</v>
      </c>
      <c r="O26" s="1" t="s">
        <v>478</v>
      </c>
      <c r="T26" s="0" t="s">
        <v>247</v>
      </c>
      <c r="U26" s="0" t="s">
        <v>382</v>
      </c>
      <c r="V26" s="0" t="s">
        <v>479</v>
      </c>
      <c r="AD26" s="1" t="s">
        <v>234</v>
      </c>
      <c r="AE26" s="1" t="s">
        <v>480</v>
      </c>
      <c r="AF26" s="0" t="s">
        <v>109</v>
      </c>
      <c r="AO26" s="0" t="s">
        <v>161</v>
      </c>
      <c r="AP26" s="0" t="s">
        <v>236</v>
      </c>
      <c r="AQ26" s="0" t="s">
        <v>481</v>
      </c>
      <c r="AT26" s="0" t="s">
        <v>139</v>
      </c>
      <c r="AU26" s="0" t="s">
        <v>112</v>
      </c>
      <c r="AV26" s="0" t="s">
        <v>113</v>
      </c>
      <c r="BG26" s="0" t="s">
        <v>98</v>
      </c>
      <c r="BH26" s="0" t="s">
        <v>116</v>
      </c>
      <c r="BI26" s="1" t="s">
        <v>184</v>
      </c>
      <c r="BJ26" s="0" t="s">
        <v>185</v>
      </c>
      <c r="BU26" s="0" t="s">
        <v>482</v>
      </c>
      <c r="BX26" s="0" t="s">
        <v>483</v>
      </c>
      <c r="CH26" s="0" t="s">
        <v>145</v>
      </c>
      <c r="CI26" s="0" t="s">
        <v>483</v>
      </c>
      <c r="CJ26" s="0" t="s">
        <v>484</v>
      </c>
      <c r="CO26" s="0" t="s">
        <v>474</v>
      </c>
      <c r="CR26" s="0" t="s">
        <v>485</v>
      </c>
    </row>
    <row r="27" customFormat="false" ht="22.5" hidden="false" customHeight="false" outlineLevel="0" collapsed="false">
      <c r="A27" s="0" t="s">
        <v>96</v>
      </c>
      <c r="B27" s="0" t="s">
        <v>486</v>
      </c>
      <c r="C27" s="0" t="s">
        <v>98</v>
      </c>
      <c r="D27" s="0" t="s">
        <v>99</v>
      </c>
      <c r="E27" s="0" t="s">
        <v>487</v>
      </c>
      <c r="F27" s="0" t="s">
        <v>131</v>
      </c>
      <c r="H27" s="0" t="s">
        <v>488</v>
      </c>
      <c r="L27" s="0" t="str">
        <f aca="false">"1730"</f>
        <v>1730</v>
      </c>
      <c r="M27" s="1" t="s">
        <v>489</v>
      </c>
      <c r="O27" s="0" t="s">
        <v>490</v>
      </c>
      <c r="T27" s="0" t="s">
        <v>247</v>
      </c>
      <c r="U27" s="0" t="s">
        <v>382</v>
      </c>
      <c r="V27" s="0" t="s">
        <v>491</v>
      </c>
      <c r="AD27" s="1" t="s">
        <v>234</v>
      </c>
      <c r="AE27" s="1" t="s">
        <v>492</v>
      </c>
      <c r="AF27" s="0" t="s">
        <v>109</v>
      </c>
      <c r="AO27" s="0" t="s">
        <v>161</v>
      </c>
      <c r="AT27" s="0" t="s">
        <v>139</v>
      </c>
      <c r="AU27" s="0" t="s">
        <v>112</v>
      </c>
      <c r="AV27" s="0" t="s">
        <v>113</v>
      </c>
      <c r="BU27" s="0" t="s">
        <v>493</v>
      </c>
      <c r="BX27" s="0" t="s">
        <v>494</v>
      </c>
      <c r="CH27" s="0" t="s">
        <v>145</v>
      </c>
      <c r="CI27" s="0" t="s">
        <v>494</v>
      </c>
      <c r="CJ27" s="0" t="s">
        <v>495</v>
      </c>
      <c r="CO27" s="0" t="s">
        <v>486</v>
      </c>
      <c r="CR27" s="0" t="s">
        <v>496</v>
      </c>
    </row>
    <row r="28" customFormat="false" ht="65" hidden="false" customHeight="false" outlineLevel="0" collapsed="false">
      <c r="A28" s="0" t="s">
        <v>96</v>
      </c>
      <c r="B28" s="0" t="s">
        <v>497</v>
      </c>
      <c r="C28" s="0" t="s">
        <v>98</v>
      </c>
      <c r="D28" s="0" t="s">
        <v>99</v>
      </c>
      <c r="E28" s="0" t="s">
        <v>498</v>
      </c>
      <c r="F28" s="0" t="s">
        <v>219</v>
      </c>
      <c r="H28" s="0" t="s">
        <v>102</v>
      </c>
      <c r="L28" s="0" t="str">
        <f aca="false">"1730"</f>
        <v>1730</v>
      </c>
      <c r="M28" s="1" t="s">
        <v>458</v>
      </c>
      <c r="O28" s="0" t="s">
        <v>499</v>
      </c>
      <c r="T28" s="0" t="s">
        <v>247</v>
      </c>
      <c r="AD28" s="0" t="s">
        <v>136</v>
      </c>
      <c r="AE28" s="0" t="s">
        <v>500</v>
      </c>
      <c r="AF28" s="0" t="s">
        <v>109</v>
      </c>
      <c r="AG28" s="0" t="s">
        <v>98</v>
      </c>
      <c r="AH28" s="0" t="s">
        <v>99</v>
      </c>
      <c r="AI28" s="0" t="s">
        <v>501</v>
      </c>
      <c r="AO28" s="0" t="s">
        <v>161</v>
      </c>
      <c r="AP28" s="0" t="s">
        <v>386</v>
      </c>
      <c r="AQ28" s="0" t="s">
        <v>502</v>
      </c>
      <c r="AT28" s="0" t="s">
        <v>139</v>
      </c>
      <c r="AU28" s="0" t="s">
        <v>112</v>
      </c>
      <c r="AV28" s="0" t="s">
        <v>113</v>
      </c>
      <c r="BD28" s="0" t="s">
        <v>140</v>
      </c>
      <c r="BE28" s="0" t="s">
        <v>503</v>
      </c>
      <c r="BF28" s="0" t="s">
        <v>207</v>
      </c>
      <c r="BG28" s="0" t="s">
        <v>98</v>
      </c>
      <c r="BH28" s="0" t="s">
        <v>116</v>
      </c>
      <c r="BI28" s="0" t="s">
        <v>293</v>
      </c>
      <c r="BJ28" s="1" t="s">
        <v>467</v>
      </c>
      <c r="BU28" s="1" t="s">
        <v>504</v>
      </c>
      <c r="BX28" s="0" t="s">
        <v>505</v>
      </c>
      <c r="CF28" s="1" t="s">
        <v>506</v>
      </c>
      <c r="CG28" s="0" t="s">
        <v>123</v>
      </c>
      <c r="CH28" s="0" t="s">
        <v>145</v>
      </c>
      <c r="CI28" s="0" t="s">
        <v>505</v>
      </c>
      <c r="CJ28" s="0" t="s">
        <v>507</v>
      </c>
      <c r="CL28" s="0" t="s">
        <v>508</v>
      </c>
      <c r="CM28" s="0" t="s">
        <v>508</v>
      </c>
      <c r="CO28" s="0" t="s">
        <v>497</v>
      </c>
      <c r="CR28" s="0" t="s">
        <v>509</v>
      </c>
    </row>
    <row r="29" customFormat="false" ht="22.5" hidden="false" customHeight="false" outlineLevel="0" collapsed="false">
      <c r="A29" s="0" t="s">
        <v>96</v>
      </c>
      <c r="B29" s="0" t="s">
        <v>510</v>
      </c>
      <c r="C29" s="0" t="s">
        <v>511</v>
      </c>
      <c r="D29" s="0" t="s">
        <v>512</v>
      </c>
      <c r="E29" s="0" t="s">
        <v>513</v>
      </c>
      <c r="F29" s="1" t="s">
        <v>149</v>
      </c>
      <c r="H29" s="0" t="s">
        <v>102</v>
      </c>
      <c r="I29" s="0" t="str">
        <f aca="false">"1630"</f>
        <v>1630</v>
      </c>
      <c r="J29" s="0" t="str">
        <f aca="false">"1640"</f>
        <v>1640</v>
      </c>
      <c r="M29" s="1" t="s">
        <v>132</v>
      </c>
      <c r="O29" s="1" t="s">
        <v>514</v>
      </c>
      <c r="T29" s="0" t="s">
        <v>512</v>
      </c>
      <c r="U29" s="1" t="s">
        <v>515</v>
      </c>
      <c r="V29" s="1" t="s">
        <v>516</v>
      </c>
      <c r="AD29" s="0" t="s">
        <v>155</v>
      </c>
      <c r="AE29" s="0" t="s">
        <v>517</v>
      </c>
      <c r="AF29" s="0" t="s">
        <v>518</v>
      </c>
      <c r="AO29" s="0" t="s">
        <v>161</v>
      </c>
      <c r="AT29" s="0" t="s">
        <v>139</v>
      </c>
      <c r="AU29" s="0" t="s">
        <v>112</v>
      </c>
      <c r="AV29" s="0" t="s">
        <v>113</v>
      </c>
      <c r="BA29" s="0" t="s">
        <v>317</v>
      </c>
      <c r="BB29" s="0" t="s">
        <v>519</v>
      </c>
      <c r="BD29" s="1" t="s">
        <v>520</v>
      </c>
      <c r="BE29" s="1" t="s">
        <v>521</v>
      </c>
      <c r="BF29" s="1" t="s">
        <v>466</v>
      </c>
      <c r="BJ29" s="0" t="s">
        <v>118</v>
      </c>
      <c r="BU29" s="0" t="s">
        <v>522</v>
      </c>
      <c r="BX29" s="0" t="s">
        <v>523</v>
      </c>
      <c r="BY29" s="0" t="s">
        <v>524</v>
      </c>
      <c r="BZ29" s="0" t="s">
        <v>430</v>
      </c>
      <c r="CH29" s="0" t="s">
        <v>145</v>
      </c>
      <c r="CI29" s="0" t="s">
        <v>523</v>
      </c>
      <c r="CQ29" s="0" t="s">
        <v>525</v>
      </c>
      <c r="CR29" s="0" t="s">
        <v>526</v>
      </c>
    </row>
    <row r="30" customFormat="false" ht="107.5" hidden="false" customHeight="false" outlineLevel="0" collapsed="false">
      <c r="A30" s="0" t="s">
        <v>527</v>
      </c>
      <c r="B30" s="0" t="s">
        <v>379</v>
      </c>
      <c r="C30" s="0" t="s">
        <v>528</v>
      </c>
      <c r="D30" s="0" t="s">
        <v>398</v>
      </c>
      <c r="E30" s="0" t="str">
        <f aca="false">"18206339"</f>
        <v>18206339</v>
      </c>
      <c r="F30" s="0" t="s">
        <v>255</v>
      </c>
      <c r="G30" s="0" t="s">
        <v>529</v>
      </c>
      <c r="L30" s="0" t="str">
        <f aca="false">"1730"</f>
        <v>1730</v>
      </c>
      <c r="M30" s="0" t="s">
        <v>257</v>
      </c>
      <c r="O30" s="0" t="s">
        <v>530</v>
      </c>
      <c r="S30" s="0" t="s">
        <v>531</v>
      </c>
      <c r="T30" s="0" t="s">
        <v>532</v>
      </c>
      <c r="U30" s="1" t="s">
        <v>533</v>
      </c>
      <c r="V30" s="1" t="s">
        <v>534</v>
      </c>
      <c r="AB30" s="0" t="s">
        <v>535</v>
      </c>
      <c r="AD30" s="1" t="s">
        <v>536</v>
      </c>
      <c r="AE30" s="0" t="s">
        <v>537</v>
      </c>
      <c r="AF30" s="1" t="s">
        <v>538</v>
      </c>
      <c r="AO30" s="0" t="s">
        <v>539</v>
      </c>
      <c r="AT30" s="0" t="s">
        <v>139</v>
      </c>
      <c r="AU30" s="0" t="s">
        <v>112</v>
      </c>
      <c r="BD30" s="0" t="s">
        <v>265</v>
      </c>
      <c r="BE30" s="0" t="s">
        <v>540</v>
      </c>
      <c r="BF30" s="0" t="s">
        <v>541</v>
      </c>
      <c r="BJ30" s="1" t="s">
        <v>229</v>
      </c>
      <c r="BK30" s="0" t="s">
        <v>542</v>
      </c>
      <c r="BL30" s="1" t="s">
        <v>543</v>
      </c>
      <c r="BN30" s="0" t="s">
        <v>544</v>
      </c>
      <c r="BO30" s="0" t="str">
        <f aca="false">"243"</f>
        <v>243</v>
      </c>
      <c r="BU30" s="0" t="s">
        <v>545</v>
      </c>
      <c r="BX30" s="1" t="s">
        <v>546</v>
      </c>
      <c r="CH30" s="0" t="s">
        <v>145</v>
      </c>
      <c r="CI30" s="1" t="s">
        <v>546</v>
      </c>
      <c r="CJ30" s="1" t="s">
        <v>547</v>
      </c>
      <c r="CO30" s="1" t="s">
        <v>548</v>
      </c>
      <c r="CR30" s="0" t="s">
        <v>549</v>
      </c>
    </row>
    <row r="31" customFormat="false" ht="43.75" hidden="false" customHeight="false" outlineLevel="0" collapsed="false">
      <c r="A31" s="0" t="s">
        <v>527</v>
      </c>
      <c r="B31" s="0" t="s">
        <v>550</v>
      </c>
      <c r="C31" s="0" t="s">
        <v>551</v>
      </c>
      <c r="D31" s="0" t="s">
        <v>99</v>
      </c>
      <c r="E31" s="0" t="s">
        <v>552</v>
      </c>
      <c r="F31" s="0" t="s">
        <v>255</v>
      </c>
      <c r="G31" s="0" t="s">
        <v>256</v>
      </c>
      <c r="L31" s="0" t="str">
        <f aca="false">"1730"</f>
        <v>1730</v>
      </c>
      <c r="M31" s="0" t="s">
        <v>553</v>
      </c>
      <c r="O31" s="0" t="s">
        <v>554</v>
      </c>
      <c r="T31" s="0" t="s">
        <v>99</v>
      </c>
      <c r="U31" s="1" t="s">
        <v>555</v>
      </c>
      <c r="V31" s="1" t="s">
        <v>556</v>
      </c>
      <c r="AD31" s="1" t="s">
        <v>557</v>
      </c>
      <c r="AE31" s="1" t="s">
        <v>558</v>
      </c>
      <c r="AF31" s="1" t="s">
        <v>263</v>
      </c>
      <c r="AO31" s="0" t="s">
        <v>539</v>
      </c>
      <c r="AT31" s="0" t="s">
        <v>139</v>
      </c>
      <c r="AU31" s="0" t="s">
        <v>112</v>
      </c>
      <c r="AV31" s="0" t="s">
        <v>113</v>
      </c>
      <c r="BD31" s="0" t="s">
        <v>265</v>
      </c>
      <c r="BE31" s="0" t="s">
        <v>559</v>
      </c>
      <c r="BF31" s="0" t="s">
        <v>560</v>
      </c>
      <c r="BJ31" s="1" t="s">
        <v>229</v>
      </c>
      <c r="BK31" s="1" t="s">
        <v>267</v>
      </c>
      <c r="BL31" s="1" t="s">
        <v>561</v>
      </c>
      <c r="BM31" s="1" t="s">
        <v>562</v>
      </c>
      <c r="BN31" s="0" t="s">
        <v>563</v>
      </c>
      <c r="BO31" s="0" t="s">
        <v>564</v>
      </c>
      <c r="BU31" s="0" t="s">
        <v>565</v>
      </c>
      <c r="BX31" s="1" t="s">
        <v>566</v>
      </c>
      <c r="CH31" s="0" t="s">
        <v>145</v>
      </c>
      <c r="CI31" s="1" t="s">
        <v>566</v>
      </c>
      <c r="CJ31" s="0" t="s">
        <v>567</v>
      </c>
      <c r="CO31" s="0" t="s">
        <v>568</v>
      </c>
      <c r="CR31" s="0" t="s">
        <v>569</v>
      </c>
    </row>
    <row r="32" customFormat="false" ht="65" hidden="false" customHeight="false" outlineLevel="0" collapsed="false">
      <c r="A32" s="0" t="s">
        <v>252</v>
      </c>
      <c r="B32" s="0" t="s">
        <v>570</v>
      </c>
      <c r="C32" s="0" t="s">
        <v>551</v>
      </c>
      <c r="D32" s="0" t="s">
        <v>99</v>
      </c>
      <c r="E32" s="0" t="s">
        <v>571</v>
      </c>
      <c r="F32" s="0" t="s">
        <v>255</v>
      </c>
      <c r="G32" s="0" t="s">
        <v>256</v>
      </c>
      <c r="L32" s="0" t="str">
        <f aca="false">"1730"</f>
        <v>1730</v>
      </c>
      <c r="M32" s="0" t="s">
        <v>553</v>
      </c>
      <c r="O32" s="0" t="s">
        <v>572</v>
      </c>
      <c r="T32" s="0" t="s">
        <v>99</v>
      </c>
      <c r="U32" s="1" t="s">
        <v>573</v>
      </c>
      <c r="V32" s="1" t="s">
        <v>574</v>
      </c>
      <c r="AD32" s="1" t="s">
        <v>261</v>
      </c>
      <c r="AE32" s="1" t="s">
        <v>575</v>
      </c>
      <c r="AF32" s="1" t="s">
        <v>263</v>
      </c>
      <c r="AO32" s="0" t="s">
        <v>264</v>
      </c>
      <c r="AT32" s="0" t="s">
        <v>139</v>
      </c>
      <c r="AU32" s="0" t="s">
        <v>112</v>
      </c>
      <c r="AV32" s="0" t="s">
        <v>113</v>
      </c>
      <c r="BD32" s="0" t="s">
        <v>265</v>
      </c>
      <c r="BE32" s="0" t="s">
        <v>576</v>
      </c>
      <c r="BF32" s="0" t="s">
        <v>560</v>
      </c>
      <c r="BJ32" s="1" t="s">
        <v>229</v>
      </c>
      <c r="BK32" s="1" t="s">
        <v>577</v>
      </c>
      <c r="BL32" s="1" t="s">
        <v>578</v>
      </c>
      <c r="BM32" s="1" t="s">
        <v>579</v>
      </c>
      <c r="BN32" s="0" t="s">
        <v>563</v>
      </c>
      <c r="BO32" s="0" t="s">
        <v>580</v>
      </c>
      <c r="BU32" s="0" t="s">
        <v>581</v>
      </c>
      <c r="BX32" s="1" t="s">
        <v>582</v>
      </c>
      <c r="CH32" s="0" t="s">
        <v>145</v>
      </c>
      <c r="CI32" s="1" t="s">
        <v>582</v>
      </c>
      <c r="CJ32" s="1" t="s">
        <v>583</v>
      </c>
      <c r="CO32" s="1" t="s">
        <v>584</v>
      </c>
      <c r="CR32" s="0" t="s">
        <v>585</v>
      </c>
    </row>
    <row r="33" customFormat="false" ht="43.75" hidden="false" customHeight="false" outlineLevel="0" collapsed="false">
      <c r="A33" s="0" t="s">
        <v>527</v>
      </c>
      <c r="B33" s="0" t="s">
        <v>570</v>
      </c>
      <c r="C33" s="0" t="s">
        <v>551</v>
      </c>
      <c r="D33" s="0" t="s">
        <v>99</v>
      </c>
      <c r="E33" s="0" t="s">
        <v>586</v>
      </c>
      <c r="F33" s="0" t="s">
        <v>255</v>
      </c>
      <c r="G33" s="0" t="s">
        <v>256</v>
      </c>
      <c r="L33" s="0" t="str">
        <f aca="false">"1730"</f>
        <v>1730</v>
      </c>
      <c r="M33" s="0" t="s">
        <v>553</v>
      </c>
      <c r="O33" s="1" t="s">
        <v>587</v>
      </c>
      <c r="T33" s="0" t="s">
        <v>99</v>
      </c>
      <c r="U33" s="1" t="s">
        <v>588</v>
      </c>
      <c r="V33" s="1" t="s">
        <v>589</v>
      </c>
      <c r="AD33" s="1" t="s">
        <v>557</v>
      </c>
      <c r="AE33" s="1" t="s">
        <v>590</v>
      </c>
      <c r="AF33" s="1" t="s">
        <v>263</v>
      </c>
      <c r="AO33" s="0" t="s">
        <v>539</v>
      </c>
      <c r="AT33" s="0" t="s">
        <v>139</v>
      </c>
      <c r="AU33" s="0" t="s">
        <v>112</v>
      </c>
      <c r="AV33" s="0" t="s">
        <v>113</v>
      </c>
      <c r="BD33" s="0" t="s">
        <v>265</v>
      </c>
      <c r="BE33" s="1" t="s">
        <v>591</v>
      </c>
      <c r="BF33" s="0" t="s">
        <v>142</v>
      </c>
      <c r="BJ33" s="1" t="s">
        <v>467</v>
      </c>
      <c r="BK33" s="1" t="s">
        <v>592</v>
      </c>
      <c r="BL33" s="1" t="s">
        <v>593</v>
      </c>
      <c r="BM33" s="1" t="s">
        <v>594</v>
      </c>
      <c r="BN33" s="0" t="s">
        <v>563</v>
      </c>
      <c r="BO33" s="0" t="s">
        <v>580</v>
      </c>
      <c r="BU33" s="0" t="s">
        <v>595</v>
      </c>
      <c r="BX33" s="1" t="s">
        <v>596</v>
      </c>
      <c r="CH33" s="0" t="s">
        <v>145</v>
      </c>
      <c r="CI33" s="1" t="s">
        <v>596</v>
      </c>
      <c r="CJ33" s="1" t="s">
        <v>597</v>
      </c>
      <c r="CO33" s="1" t="s">
        <v>584</v>
      </c>
      <c r="CR33" s="0" t="s">
        <v>598</v>
      </c>
    </row>
    <row r="34" customFormat="false" ht="107.5" hidden="false" customHeight="false" outlineLevel="0" collapsed="false">
      <c r="A34" s="0" t="s">
        <v>527</v>
      </c>
      <c r="B34" s="0" t="s">
        <v>570</v>
      </c>
      <c r="C34" s="0" t="s">
        <v>98</v>
      </c>
      <c r="D34" s="0" t="s">
        <v>99</v>
      </c>
      <c r="E34" s="0" t="s">
        <v>599</v>
      </c>
      <c r="F34" s="0" t="s">
        <v>255</v>
      </c>
      <c r="G34" s="0" t="s">
        <v>256</v>
      </c>
      <c r="L34" s="0" t="str">
        <f aca="false">"1730"</f>
        <v>1730</v>
      </c>
      <c r="M34" s="0" t="s">
        <v>553</v>
      </c>
      <c r="O34" s="0" t="s">
        <v>600</v>
      </c>
      <c r="U34" s="1" t="s">
        <v>601</v>
      </c>
      <c r="V34" s="1" t="s">
        <v>602</v>
      </c>
      <c r="AD34" s="1" t="s">
        <v>557</v>
      </c>
      <c r="AE34" s="1" t="s">
        <v>603</v>
      </c>
      <c r="AF34" s="1" t="s">
        <v>263</v>
      </c>
      <c r="AO34" s="0" t="s">
        <v>539</v>
      </c>
      <c r="AT34" s="0" t="s">
        <v>139</v>
      </c>
      <c r="AU34" s="0" t="s">
        <v>112</v>
      </c>
      <c r="AV34" s="0" t="s">
        <v>113</v>
      </c>
      <c r="BD34" s="0" t="s">
        <v>140</v>
      </c>
      <c r="BE34" s="0" t="s">
        <v>604</v>
      </c>
      <c r="BJ34" s="1" t="s">
        <v>229</v>
      </c>
      <c r="BK34" s="1" t="s">
        <v>267</v>
      </c>
      <c r="BL34" s="1" t="s">
        <v>605</v>
      </c>
      <c r="BM34" s="1" t="s">
        <v>579</v>
      </c>
      <c r="BN34" s="1" t="s">
        <v>606</v>
      </c>
      <c r="BO34" s="1" t="s">
        <v>607</v>
      </c>
      <c r="BX34" s="1" t="s">
        <v>608</v>
      </c>
      <c r="CF34" s="0" t="s">
        <v>609</v>
      </c>
      <c r="CG34" s="0" t="s">
        <v>123</v>
      </c>
      <c r="CH34" s="0" t="s">
        <v>145</v>
      </c>
      <c r="CI34" s="1" t="s">
        <v>608</v>
      </c>
      <c r="CJ34" s="1" t="s">
        <v>610</v>
      </c>
      <c r="CL34" s="1" t="s">
        <v>611</v>
      </c>
      <c r="CM34" s="1" t="s">
        <v>611</v>
      </c>
      <c r="CO34" s="1" t="s">
        <v>584</v>
      </c>
      <c r="CR34" s="0" t="s">
        <v>612</v>
      </c>
    </row>
    <row r="35" customFormat="false" ht="96.85" hidden="false" customHeight="false" outlineLevel="0" collapsed="false">
      <c r="A35" s="0" t="s">
        <v>527</v>
      </c>
      <c r="B35" s="0" t="s">
        <v>613</v>
      </c>
      <c r="C35" s="0" t="s">
        <v>98</v>
      </c>
      <c r="D35" s="0" t="s">
        <v>99</v>
      </c>
      <c r="E35" s="0" t="s">
        <v>614</v>
      </c>
      <c r="F35" s="0" t="s">
        <v>255</v>
      </c>
      <c r="G35" s="0" t="s">
        <v>256</v>
      </c>
      <c r="L35" s="0" t="str">
        <f aca="false">"1636"</f>
        <v>1636</v>
      </c>
      <c r="M35" s="0" t="s">
        <v>553</v>
      </c>
      <c r="O35" s="0" t="s">
        <v>615</v>
      </c>
      <c r="U35" s="1" t="s">
        <v>616</v>
      </c>
      <c r="V35" s="1" t="s">
        <v>617</v>
      </c>
      <c r="AD35" s="1" t="s">
        <v>557</v>
      </c>
      <c r="AE35" s="1" t="s">
        <v>618</v>
      </c>
      <c r="AF35" s="1" t="s">
        <v>263</v>
      </c>
      <c r="AG35" s="0" t="s">
        <v>98</v>
      </c>
      <c r="AH35" s="0" t="s">
        <v>99</v>
      </c>
      <c r="AI35" s="0" t="s">
        <v>619</v>
      </c>
      <c r="AO35" s="0" t="s">
        <v>539</v>
      </c>
      <c r="AT35" s="0" t="s">
        <v>139</v>
      </c>
      <c r="AU35" s="0" t="s">
        <v>112</v>
      </c>
      <c r="AV35" s="0" t="s">
        <v>113</v>
      </c>
      <c r="BD35" s="0" t="s">
        <v>265</v>
      </c>
      <c r="BE35" s="0" t="s">
        <v>620</v>
      </c>
      <c r="BF35" s="0" t="s">
        <v>142</v>
      </c>
      <c r="BJ35" s="1" t="s">
        <v>229</v>
      </c>
      <c r="BK35" s="0" t="s">
        <v>542</v>
      </c>
      <c r="BL35" s="1" t="s">
        <v>621</v>
      </c>
      <c r="BN35" s="1" t="s">
        <v>270</v>
      </c>
      <c r="BO35" s="1" t="s">
        <v>622</v>
      </c>
      <c r="BU35" s="0" t="s">
        <v>623</v>
      </c>
      <c r="BX35" s="1" t="s">
        <v>624</v>
      </c>
      <c r="CH35" s="0" t="s">
        <v>625</v>
      </c>
      <c r="CI35" s="1" t="s">
        <v>624</v>
      </c>
      <c r="CJ35" s="1" t="s">
        <v>626</v>
      </c>
      <c r="CO35" s="1" t="s">
        <v>627</v>
      </c>
      <c r="CR35" s="0" t="s">
        <v>628</v>
      </c>
    </row>
    <row r="36" customFormat="false" ht="118.1" hidden="false" customHeight="false" outlineLevel="0" collapsed="false">
      <c r="A36" s="0" t="s">
        <v>527</v>
      </c>
      <c r="B36" s="0" t="s">
        <v>629</v>
      </c>
      <c r="C36" s="0" t="s">
        <v>98</v>
      </c>
      <c r="D36" s="0" t="s">
        <v>99</v>
      </c>
      <c r="E36" s="0" t="s">
        <v>630</v>
      </c>
      <c r="F36" s="0" t="s">
        <v>255</v>
      </c>
      <c r="G36" s="0" t="s">
        <v>256</v>
      </c>
      <c r="L36" s="0" t="str">
        <f aca="false">"1650"</f>
        <v>1650</v>
      </c>
      <c r="M36" s="0" t="s">
        <v>553</v>
      </c>
      <c r="O36" s="0" t="s">
        <v>631</v>
      </c>
      <c r="T36" s="0" t="s">
        <v>632</v>
      </c>
      <c r="U36" s="1" t="s">
        <v>633</v>
      </c>
      <c r="V36" s="1" t="s">
        <v>634</v>
      </c>
      <c r="AD36" s="1" t="s">
        <v>557</v>
      </c>
      <c r="AE36" s="1" t="s">
        <v>635</v>
      </c>
      <c r="AF36" s="1" t="s">
        <v>263</v>
      </c>
      <c r="AO36" s="0" t="s">
        <v>539</v>
      </c>
      <c r="AT36" s="0" t="s">
        <v>139</v>
      </c>
      <c r="AU36" s="0" t="s">
        <v>112</v>
      </c>
      <c r="AV36" s="0" t="s">
        <v>113</v>
      </c>
      <c r="BD36" s="0" t="s">
        <v>265</v>
      </c>
      <c r="BE36" s="0" t="s">
        <v>636</v>
      </c>
      <c r="BF36" s="0" t="s">
        <v>142</v>
      </c>
      <c r="BJ36" s="1" t="s">
        <v>229</v>
      </c>
      <c r="BK36" s="1" t="s">
        <v>267</v>
      </c>
      <c r="BL36" s="1" t="s">
        <v>637</v>
      </c>
      <c r="BM36" s="0" t="s">
        <v>560</v>
      </c>
      <c r="BN36" s="1" t="s">
        <v>270</v>
      </c>
      <c r="BO36" s="1" t="s">
        <v>638</v>
      </c>
      <c r="BU36" s="1" t="s">
        <v>639</v>
      </c>
      <c r="BX36" s="1" t="s">
        <v>640</v>
      </c>
      <c r="CE36" s="0" t="s">
        <v>641</v>
      </c>
      <c r="CF36" s="0" t="s">
        <v>642</v>
      </c>
      <c r="CG36" s="0" t="s">
        <v>123</v>
      </c>
      <c r="CH36" s="0" t="s">
        <v>454</v>
      </c>
      <c r="CI36" s="1" t="s">
        <v>640</v>
      </c>
      <c r="CJ36" s="1" t="s">
        <v>643</v>
      </c>
      <c r="CL36" s="1" t="s">
        <v>644</v>
      </c>
      <c r="CM36" s="1" t="s">
        <v>644</v>
      </c>
      <c r="CO36" s="1" t="s">
        <v>645</v>
      </c>
      <c r="CR36" s="0" t="s">
        <v>646</v>
      </c>
    </row>
    <row r="37" customFormat="false" ht="54.35" hidden="false" customHeight="false" outlineLevel="0" collapsed="false">
      <c r="A37" s="0" t="s">
        <v>527</v>
      </c>
      <c r="B37" s="0" t="s">
        <v>647</v>
      </c>
      <c r="C37" s="0" t="s">
        <v>511</v>
      </c>
      <c r="D37" s="0" t="s">
        <v>512</v>
      </c>
      <c r="E37" s="0" t="s">
        <v>648</v>
      </c>
      <c r="F37" s="0" t="s">
        <v>255</v>
      </c>
      <c r="G37" s="0" t="s">
        <v>256</v>
      </c>
      <c r="L37" s="0" t="str">
        <f aca="false">"1697"</f>
        <v>1697</v>
      </c>
      <c r="M37" s="0" t="s">
        <v>553</v>
      </c>
      <c r="O37" s="0" t="s">
        <v>649</v>
      </c>
      <c r="T37" s="0" t="s">
        <v>512</v>
      </c>
      <c r="U37" s="1" t="s">
        <v>650</v>
      </c>
      <c r="V37" s="1" t="s">
        <v>651</v>
      </c>
      <c r="AD37" s="1" t="s">
        <v>557</v>
      </c>
      <c r="AE37" s="1" t="s">
        <v>652</v>
      </c>
      <c r="AF37" s="1" t="s">
        <v>653</v>
      </c>
      <c r="AO37" s="0" t="s">
        <v>539</v>
      </c>
      <c r="AT37" s="0" t="s">
        <v>139</v>
      </c>
      <c r="AU37" s="0" t="s">
        <v>112</v>
      </c>
      <c r="AV37" s="0" t="s">
        <v>113</v>
      </c>
      <c r="BD37" s="0" t="s">
        <v>140</v>
      </c>
      <c r="BE37" s="0" t="s">
        <v>654</v>
      </c>
      <c r="BF37" s="0" t="s">
        <v>655</v>
      </c>
      <c r="BJ37" s="1" t="s">
        <v>229</v>
      </c>
      <c r="BK37" s="1" t="s">
        <v>267</v>
      </c>
      <c r="BL37" s="1" t="s">
        <v>656</v>
      </c>
      <c r="BM37" s="0" t="s">
        <v>541</v>
      </c>
      <c r="BV37" s="0" t="s">
        <v>657</v>
      </c>
      <c r="BX37" s="1" t="s">
        <v>658</v>
      </c>
      <c r="CI37" s="1" t="s">
        <v>658</v>
      </c>
      <c r="CJ37" s="1" t="s">
        <v>659</v>
      </c>
      <c r="CO37" s="1" t="s">
        <v>660</v>
      </c>
      <c r="CR37" s="0" t="s">
        <v>661</v>
      </c>
    </row>
    <row r="38" customFormat="false" ht="203.1" hidden="false" customHeight="false" outlineLevel="0" collapsed="false">
      <c r="A38" s="0" t="s">
        <v>527</v>
      </c>
      <c r="B38" s="0" t="s">
        <v>662</v>
      </c>
      <c r="C38" s="0" t="s">
        <v>98</v>
      </c>
      <c r="D38" s="0" t="s">
        <v>99</v>
      </c>
      <c r="E38" s="0" t="s">
        <v>663</v>
      </c>
      <c r="F38" s="0" t="s">
        <v>664</v>
      </c>
      <c r="G38" s="0" t="s">
        <v>665</v>
      </c>
      <c r="L38" s="0" t="str">
        <f aca="false">"1648"</f>
        <v>1648</v>
      </c>
      <c r="U38" s="1" t="s">
        <v>666</v>
      </c>
      <c r="V38" s="1" t="s">
        <v>667</v>
      </c>
      <c r="AD38" s="1" t="s">
        <v>557</v>
      </c>
      <c r="AE38" s="1" t="s">
        <v>668</v>
      </c>
      <c r="AF38" s="1" t="s">
        <v>263</v>
      </c>
      <c r="AG38" s="0" t="s">
        <v>669</v>
      </c>
      <c r="AH38" s="0" t="s">
        <v>670</v>
      </c>
      <c r="AI38" s="0" t="s">
        <v>671</v>
      </c>
      <c r="AJ38" s="0" t="s">
        <v>672</v>
      </c>
      <c r="AO38" s="0" t="s">
        <v>539</v>
      </c>
      <c r="AT38" s="0" t="s">
        <v>139</v>
      </c>
      <c r="AU38" s="0" t="s">
        <v>112</v>
      </c>
      <c r="AV38" s="0" t="s">
        <v>113</v>
      </c>
      <c r="BJ38" s="1" t="s">
        <v>229</v>
      </c>
      <c r="BK38" s="1" t="s">
        <v>267</v>
      </c>
      <c r="BL38" s="1" t="s">
        <v>673</v>
      </c>
      <c r="BM38" s="0" t="s">
        <v>674</v>
      </c>
      <c r="BN38" s="1" t="s">
        <v>270</v>
      </c>
      <c r="BO38" s="1" t="s">
        <v>675</v>
      </c>
      <c r="BU38" s="0" t="s">
        <v>676</v>
      </c>
      <c r="BX38" s="1" t="s">
        <v>677</v>
      </c>
      <c r="CH38" s="0" t="s">
        <v>342</v>
      </c>
      <c r="CI38" s="1" t="s">
        <v>677</v>
      </c>
      <c r="CJ38" s="1" t="s">
        <v>678</v>
      </c>
      <c r="CO38" s="1" t="s">
        <v>679</v>
      </c>
      <c r="CR38" s="0" t="s">
        <v>680</v>
      </c>
      <c r="CS38" s="0" t="s">
        <v>681</v>
      </c>
    </row>
    <row r="39" customFormat="false" ht="54.35" hidden="false" customHeight="false" outlineLevel="0" collapsed="false">
      <c r="A39" s="0" t="s">
        <v>527</v>
      </c>
      <c r="B39" s="0" t="s">
        <v>682</v>
      </c>
      <c r="C39" s="0" t="s">
        <v>551</v>
      </c>
      <c r="D39" s="0" t="s">
        <v>99</v>
      </c>
      <c r="E39" s="0" t="s">
        <v>683</v>
      </c>
      <c r="G39" s="1" t="s">
        <v>684</v>
      </c>
      <c r="L39" s="0" t="str">
        <f aca="false">"1671"</f>
        <v>1671</v>
      </c>
      <c r="M39" s="0" t="s">
        <v>685</v>
      </c>
      <c r="O39" s="0" t="s">
        <v>686</v>
      </c>
      <c r="T39" s="0" t="s">
        <v>99</v>
      </c>
      <c r="U39" s="1" t="s">
        <v>687</v>
      </c>
      <c r="V39" s="1" t="s">
        <v>688</v>
      </c>
      <c r="AD39" s="1" t="s">
        <v>557</v>
      </c>
      <c r="AE39" s="1" t="s">
        <v>689</v>
      </c>
      <c r="AF39" s="1" t="s">
        <v>263</v>
      </c>
      <c r="AO39" s="0" t="s">
        <v>539</v>
      </c>
      <c r="AT39" s="0" t="s">
        <v>139</v>
      </c>
      <c r="AU39" s="0" t="s">
        <v>112</v>
      </c>
      <c r="AV39" s="0" t="s">
        <v>113</v>
      </c>
      <c r="BD39" s="0" t="s">
        <v>265</v>
      </c>
      <c r="BE39" s="0" t="s">
        <v>690</v>
      </c>
      <c r="BF39" s="0" t="s">
        <v>142</v>
      </c>
      <c r="BJ39" s="1" t="s">
        <v>467</v>
      </c>
      <c r="BK39" s="1" t="s">
        <v>267</v>
      </c>
      <c r="BL39" s="1" t="s">
        <v>691</v>
      </c>
      <c r="BM39" s="0" t="s">
        <v>560</v>
      </c>
      <c r="BN39" s="0" t="s">
        <v>563</v>
      </c>
      <c r="BO39" s="0" t="s">
        <v>580</v>
      </c>
      <c r="BU39" s="0" t="s">
        <v>692</v>
      </c>
      <c r="BX39" s="1" t="s">
        <v>693</v>
      </c>
      <c r="CH39" s="0" t="s">
        <v>124</v>
      </c>
      <c r="CI39" s="1" t="s">
        <v>693</v>
      </c>
      <c r="CJ39" s="1" t="s">
        <v>694</v>
      </c>
      <c r="CO39" s="1" t="s">
        <v>695</v>
      </c>
      <c r="CR39" s="0" t="s">
        <v>696</v>
      </c>
    </row>
    <row r="40" customFormat="false" ht="86.25" hidden="false" customHeight="false" outlineLevel="0" collapsed="false">
      <c r="A40" s="0" t="s">
        <v>96</v>
      </c>
      <c r="B40" s="0" t="s">
        <v>697</v>
      </c>
      <c r="C40" s="0" t="s">
        <v>98</v>
      </c>
      <c r="D40" s="0" t="s">
        <v>99</v>
      </c>
      <c r="E40" s="0" t="s">
        <v>698</v>
      </c>
      <c r="F40" s="0" t="s">
        <v>219</v>
      </c>
      <c r="H40" s="0" t="s">
        <v>102</v>
      </c>
      <c r="L40" s="0" t="str">
        <f aca="false">"1648"</f>
        <v>1648</v>
      </c>
      <c r="M40" s="1" t="s">
        <v>354</v>
      </c>
      <c r="O40" s="0" t="s">
        <v>699</v>
      </c>
      <c r="T40" s="0" t="s">
        <v>700</v>
      </c>
      <c r="U40" s="1" t="s">
        <v>701</v>
      </c>
      <c r="V40" s="1" t="s">
        <v>702</v>
      </c>
      <c r="AD40" s="0" t="s">
        <v>136</v>
      </c>
      <c r="AE40" s="0" t="s">
        <v>703</v>
      </c>
      <c r="AF40" s="0" t="s">
        <v>109</v>
      </c>
      <c r="AO40" s="0" t="s">
        <v>161</v>
      </c>
      <c r="AT40" s="0" t="s">
        <v>139</v>
      </c>
      <c r="AU40" s="0" t="s">
        <v>112</v>
      </c>
      <c r="AV40" s="0" t="s">
        <v>704</v>
      </c>
      <c r="AY40" s="0" t="s">
        <v>705</v>
      </c>
      <c r="BA40" s="0" t="s">
        <v>317</v>
      </c>
      <c r="BB40" s="0" t="s">
        <v>706</v>
      </c>
      <c r="BD40" s="0" t="s">
        <v>140</v>
      </c>
      <c r="BE40" s="0" t="s">
        <v>707</v>
      </c>
      <c r="BJ40" s="0" t="s">
        <v>118</v>
      </c>
      <c r="BU40" s="0" t="s">
        <v>708</v>
      </c>
      <c r="BX40" s="0" t="s">
        <v>709</v>
      </c>
      <c r="CI40" s="0" t="s">
        <v>709</v>
      </c>
      <c r="CJ40" s="0" t="s">
        <v>710</v>
      </c>
      <c r="CO40" s="0" t="s">
        <v>697</v>
      </c>
      <c r="CR40" s="0" t="s">
        <v>711</v>
      </c>
    </row>
    <row r="41" customFormat="false" ht="33.1" hidden="false" customHeight="false" outlineLevel="0" collapsed="false">
      <c r="A41" s="0" t="s">
        <v>96</v>
      </c>
      <c r="B41" s="0" t="s">
        <v>712</v>
      </c>
      <c r="C41" s="0" t="s">
        <v>98</v>
      </c>
      <c r="D41" s="0" t="s">
        <v>99</v>
      </c>
      <c r="E41" s="0" t="s">
        <v>713</v>
      </c>
      <c r="F41" s="1" t="s">
        <v>714</v>
      </c>
      <c r="H41" s="0" t="s">
        <v>102</v>
      </c>
      <c r="L41" s="0" t="str">
        <f aca="false">"1609"</f>
        <v>1609</v>
      </c>
      <c r="M41" s="0" t="s">
        <v>715</v>
      </c>
      <c r="O41" s="0" t="s">
        <v>716</v>
      </c>
      <c r="T41" s="0" t="s">
        <v>103</v>
      </c>
      <c r="U41" s="1" t="s">
        <v>717</v>
      </c>
      <c r="V41" s="1" t="s">
        <v>718</v>
      </c>
      <c r="AD41" s="0" t="s">
        <v>107</v>
      </c>
      <c r="AE41" s="0" t="s">
        <v>719</v>
      </c>
      <c r="AF41" s="0" t="s">
        <v>109</v>
      </c>
      <c r="AO41" s="0" t="s">
        <v>161</v>
      </c>
      <c r="AT41" s="0" t="s">
        <v>139</v>
      </c>
      <c r="AU41" s="0" t="s">
        <v>112</v>
      </c>
      <c r="AV41" s="0" t="s">
        <v>113</v>
      </c>
      <c r="BG41" s="1" t="s">
        <v>720</v>
      </c>
      <c r="BH41" s="0" t="s">
        <v>116</v>
      </c>
      <c r="BI41" s="1" t="s">
        <v>721</v>
      </c>
      <c r="BJ41" s="0" t="s">
        <v>185</v>
      </c>
      <c r="BU41" s="0" t="s">
        <v>722</v>
      </c>
      <c r="BX41" s="0" t="s">
        <v>723</v>
      </c>
      <c r="CI41" s="0" t="s">
        <v>723</v>
      </c>
      <c r="CJ41" s="0" t="s">
        <v>724</v>
      </c>
      <c r="CO41" s="0" t="s">
        <v>725</v>
      </c>
      <c r="CR41" s="0" t="s">
        <v>726</v>
      </c>
    </row>
    <row r="42" customFormat="false" ht="54.35" hidden="false" customHeight="false" outlineLevel="0" collapsed="false">
      <c r="A42" s="0" t="s">
        <v>96</v>
      </c>
      <c r="B42" s="0" t="s">
        <v>727</v>
      </c>
      <c r="C42" s="0" t="s">
        <v>511</v>
      </c>
      <c r="D42" s="0" t="s">
        <v>512</v>
      </c>
      <c r="E42" s="0" t="s">
        <v>728</v>
      </c>
      <c r="F42" s="0" t="s">
        <v>219</v>
      </c>
      <c r="H42" s="0" t="s">
        <v>102</v>
      </c>
      <c r="L42" s="0" t="str">
        <f aca="false">"1648"</f>
        <v>1648</v>
      </c>
      <c r="M42" s="1" t="s">
        <v>729</v>
      </c>
      <c r="O42" s="1" t="s">
        <v>730</v>
      </c>
      <c r="T42" s="0" t="s">
        <v>700</v>
      </c>
      <c r="U42" s="1" t="s">
        <v>731</v>
      </c>
      <c r="V42" s="1" t="s">
        <v>732</v>
      </c>
      <c r="AE42" s="0" t="s">
        <v>733</v>
      </c>
      <c r="AF42" s="0" t="s">
        <v>518</v>
      </c>
      <c r="AO42" s="0" t="s">
        <v>161</v>
      </c>
      <c r="AT42" s="0" t="s">
        <v>139</v>
      </c>
      <c r="AU42" s="0" t="s">
        <v>112</v>
      </c>
      <c r="AV42" s="0" t="s">
        <v>113</v>
      </c>
      <c r="BA42" s="0" t="s">
        <v>734</v>
      </c>
      <c r="BB42" s="0" t="s">
        <v>735</v>
      </c>
      <c r="BU42" s="0" t="s">
        <v>736</v>
      </c>
      <c r="BV42" s="0" t="s">
        <v>737</v>
      </c>
      <c r="BX42" s="0" t="s">
        <v>738</v>
      </c>
      <c r="CI42" s="0" t="s">
        <v>738</v>
      </c>
      <c r="CJ42" s="0" t="s">
        <v>739</v>
      </c>
      <c r="CO42" s="0" t="s">
        <v>727</v>
      </c>
    </row>
    <row r="43" customFormat="false" ht="33.1" hidden="false" customHeight="false" outlineLevel="0" collapsed="false">
      <c r="A43" s="0" t="s">
        <v>96</v>
      </c>
      <c r="B43" s="0" t="s">
        <v>740</v>
      </c>
      <c r="C43" s="0" t="s">
        <v>511</v>
      </c>
      <c r="D43" s="0" t="s">
        <v>512</v>
      </c>
      <c r="E43" s="0" t="s">
        <v>741</v>
      </c>
      <c r="F43" s="1" t="s">
        <v>149</v>
      </c>
      <c r="H43" s="0" t="s">
        <v>102</v>
      </c>
      <c r="L43" s="0" t="str">
        <f aca="false">"1748"</f>
        <v>1748</v>
      </c>
      <c r="M43" s="1" t="s">
        <v>729</v>
      </c>
      <c r="O43" s="1" t="s">
        <v>742</v>
      </c>
      <c r="R43" s="0" t="s">
        <v>743</v>
      </c>
      <c r="T43" s="0" t="s">
        <v>512</v>
      </c>
      <c r="U43" s="1" t="s">
        <v>744</v>
      </c>
      <c r="V43" s="1" t="s">
        <v>745</v>
      </c>
      <c r="AD43" s="0" t="s">
        <v>136</v>
      </c>
      <c r="AE43" s="0" t="s">
        <v>746</v>
      </c>
      <c r="AF43" s="0" t="s">
        <v>518</v>
      </c>
      <c r="AO43" s="0" t="s">
        <v>138</v>
      </c>
      <c r="AT43" s="0" t="s">
        <v>139</v>
      </c>
      <c r="AU43" s="0" t="s">
        <v>112</v>
      </c>
      <c r="AV43" s="0" t="s">
        <v>113</v>
      </c>
      <c r="BD43" s="0" t="s">
        <v>140</v>
      </c>
      <c r="BE43" s="1" t="s">
        <v>747</v>
      </c>
      <c r="BF43" s="1" t="s">
        <v>163</v>
      </c>
      <c r="BG43" s="0" t="s">
        <v>511</v>
      </c>
      <c r="BH43" s="0" t="s">
        <v>116</v>
      </c>
      <c r="BI43" s="0" t="s">
        <v>748</v>
      </c>
      <c r="BJ43" s="1" t="s">
        <v>229</v>
      </c>
      <c r="BU43" s="0" t="s">
        <v>749</v>
      </c>
      <c r="BV43" s="1" t="s">
        <v>750</v>
      </c>
      <c r="BX43" s="0" t="s">
        <v>751</v>
      </c>
      <c r="BZ43" s="0" t="s">
        <v>167</v>
      </c>
      <c r="CI43" s="0" t="s">
        <v>751</v>
      </c>
      <c r="CJ43" s="0" t="s">
        <v>752</v>
      </c>
      <c r="CO43" s="0" t="s">
        <v>740</v>
      </c>
    </row>
    <row r="44" customFormat="false" ht="54.35" hidden="false" customHeight="false" outlineLevel="0" collapsed="false">
      <c r="A44" s="0" t="s">
        <v>190</v>
      </c>
      <c r="C44" s="0" t="s">
        <v>753</v>
      </c>
      <c r="D44" s="0" t="s">
        <v>754</v>
      </c>
      <c r="E44" s="0" t="s">
        <v>755</v>
      </c>
      <c r="F44" s="0" t="s">
        <v>192</v>
      </c>
      <c r="H44" s="0" t="s">
        <v>102</v>
      </c>
      <c r="L44" s="0" t="str">
        <f aca="false">"1748"</f>
        <v>1748</v>
      </c>
      <c r="M44" s="1" t="s">
        <v>756</v>
      </c>
      <c r="N44" s="1" t="s">
        <v>757</v>
      </c>
      <c r="O44" s="1" t="s">
        <v>758</v>
      </c>
      <c r="T44" s="0" t="s">
        <v>512</v>
      </c>
      <c r="U44" s="0" t="s">
        <v>759</v>
      </c>
      <c r="V44" s="0" t="s">
        <v>760</v>
      </c>
      <c r="AG44" s="1" t="s">
        <v>761</v>
      </c>
      <c r="AH44" s="1" t="s">
        <v>762</v>
      </c>
      <c r="AI44" s="1" t="s">
        <v>763</v>
      </c>
      <c r="AK44" s="1" t="s">
        <v>764</v>
      </c>
      <c r="AO44" s="0" t="s">
        <v>765</v>
      </c>
      <c r="AT44" s="0" t="s">
        <v>139</v>
      </c>
      <c r="AU44" s="0" t="s">
        <v>112</v>
      </c>
      <c r="BV44" s="0" t="s">
        <v>766</v>
      </c>
      <c r="BX44" s="0" t="s">
        <v>767</v>
      </c>
      <c r="CI44" s="0" t="s">
        <v>767</v>
      </c>
      <c r="CP44" s="0" t="s">
        <v>768</v>
      </c>
    </row>
    <row r="45" customFormat="false" ht="43.75" hidden="false" customHeight="false" outlineLevel="0" collapsed="false">
      <c r="A45" s="0" t="s">
        <v>96</v>
      </c>
      <c r="B45" s="0" t="s">
        <v>129</v>
      </c>
      <c r="C45" s="0" t="s">
        <v>359</v>
      </c>
      <c r="D45" s="0" t="s">
        <v>360</v>
      </c>
      <c r="E45" s="0" t="s">
        <v>769</v>
      </c>
      <c r="F45" s="1" t="s">
        <v>770</v>
      </c>
      <c r="G45" s="0" t="s">
        <v>771</v>
      </c>
      <c r="H45" s="0" t="s">
        <v>772</v>
      </c>
      <c r="K45" s="0" t="s">
        <v>773</v>
      </c>
      <c r="L45" s="0" t="str">
        <f aca="false">"1763"</f>
        <v>1763</v>
      </c>
      <c r="M45" s="1" t="s">
        <v>354</v>
      </c>
      <c r="O45" s="1" t="s">
        <v>774</v>
      </c>
      <c r="U45" s="1" t="s">
        <v>775</v>
      </c>
      <c r="V45" s="1" t="s">
        <v>776</v>
      </c>
      <c r="AD45" s="0" t="s">
        <v>136</v>
      </c>
      <c r="AE45" s="0" t="s">
        <v>777</v>
      </c>
      <c r="AF45" s="0" t="s">
        <v>109</v>
      </c>
      <c r="AO45" s="0" t="s">
        <v>161</v>
      </c>
      <c r="AT45" s="0" t="s">
        <v>139</v>
      </c>
      <c r="AU45" s="0" t="s">
        <v>112</v>
      </c>
      <c r="BU45" s="0" t="s">
        <v>778</v>
      </c>
      <c r="BV45" s="0" t="s">
        <v>779</v>
      </c>
      <c r="BW45" s="0" t="s">
        <v>780</v>
      </c>
      <c r="BX45" s="0" t="s">
        <v>781</v>
      </c>
      <c r="CH45" s="0" t="s">
        <v>145</v>
      </c>
      <c r="CI45" s="0" t="s">
        <v>781</v>
      </c>
      <c r="CJ45" s="1" t="s">
        <v>782</v>
      </c>
      <c r="CO45" s="1" t="s">
        <v>783</v>
      </c>
      <c r="CR45" s="0" t="s">
        <v>784</v>
      </c>
    </row>
    <row r="46" customFormat="false" ht="160.6" hidden="false" customHeight="false" outlineLevel="0" collapsed="false">
      <c r="A46" s="0" t="s">
        <v>527</v>
      </c>
      <c r="B46" s="0" t="s">
        <v>785</v>
      </c>
      <c r="C46" s="0" t="s">
        <v>551</v>
      </c>
      <c r="D46" s="0" t="s">
        <v>99</v>
      </c>
      <c r="E46" s="0" t="s">
        <v>786</v>
      </c>
      <c r="F46" s="0" t="s">
        <v>255</v>
      </c>
      <c r="G46" s="0" t="s">
        <v>256</v>
      </c>
      <c r="L46" s="0" t="str">
        <f aca="false">"1755"</f>
        <v>1755</v>
      </c>
      <c r="M46" s="1" t="s">
        <v>787</v>
      </c>
      <c r="O46" s="1" t="s">
        <v>788</v>
      </c>
      <c r="T46" s="0" t="s">
        <v>99</v>
      </c>
      <c r="U46" s="1" t="s">
        <v>789</v>
      </c>
      <c r="V46" s="1" t="s">
        <v>790</v>
      </c>
      <c r="AD46" s="1" t="s">
        <v>557</v>
      </c>
      <c r="AE46" s="1" t="s">
        <v>791</v>
      </c>
      <c r="AF46" s="1" t="s">
        <v>263</v>
      </c>
      <c r="AO46" s="0" t="s">
        <v>792</v>
      </c>
      <c r="AT46" s="0" t="s">
        <v>139</v>
      </c>
      <c r="AU46" s="0" t="s">
        <v>112</v>
      </c>
      <c r="AV46" s="0" t="s">
        <v>113</v>
      </c>
      <c r="BD46" s="0" t="s">
        <v>265</v>
      </c>
      <c r="BE46" s="0" t="s">
        <v>793</v>
      </c>
      <c r="BF46" s="0" t="s">
        <v>541</v>
      </c>
      <c r="BJ46" s="1" t="s">
        <v>229</v>
      </c>
      <c r="BK46" s="1" t="s">
        <v>267</v>
      </c>
      <c r="BL46" s="1" t="s">
        <v>794</v>
      </c>
      <c r="BM46" s="1" t="s">
        <v>579</v>
      </c>
      <c r="BN46" s="1" t="s">
        <v>270</v>
      </c>
      <c r="BO46" s="1" t="s">
        <v>795</v>
      </c>
      <c r="BU46" s="0" t="s">
        <v>796</v>
      </c>
      <c r="BX46" s="1" t="s">
        <v>797</v>
      </c>
      <c r="CH46" s="0" t="s">
        <v>145</v>
      </c>
      <c r="CI46" s="1" t="s">
        <v>797</v>
      </c>
      <c r="CJ46" s="1" t="s">
        <v>798</v>
      </c>
      <c r="CO46" s="1" t="s">
        <v>799</v>
      </c>
      <c r="CR46" s="0" t="s">
        <v>800</v>
      </c>
    </row>
    <row r="47" customFormat="false" ht="96.85" hidden="false" customHeight="false" outlineLevel="0" collapsed="false">
      <c r="A47" s="0" t="s">
        <v>527</v>
      </c>
      <c r="B47" s="0" t="s">
        <v>801</v>
      </c>
      <c r="C47" s="0" t="s">
        <v>98</v>
      </c>
      <c r="D47" s="0" t="s">
        <v>99</v>
      </c>
      <c r="E47" s="0" t="s">
        <v>802</v>
      </c>
      <c r="F47" s="0" t="s">
        <v>255</v>
      </c>
      <c r="G47" s="0" t="s">
        <v>256</v>
      </c>
      <c r="L47" s="0" t="str">
        <f aca="false">"1630"</f>
        <v>1630</v>
      </c>
      <c r="M47" s="0" t="s">
        <v>553</v>
      </c>
      <c r="O47" s="0" t="s">
        <v>615</v>
      </c>
      <c r="U47" s="1" t="s">
        <v>803</v>
      </c>
      <c r="V47" s="1" t="s">
        <v>804</v>
      </c>
      <c r="AD47" s="1" t="s">
        <v>557</v>
      </c>
      <c r="AE47" s="1" t="s">
        <v>805</v>
      </c>
      <c r="AF47" s="1" t="s">
        <v>263</v>
      </c>
      <c r="AG47" s="0" t="s">
        <v>98</v>
      </c>
      <c r="AH47" s="0" t="s">
        <v>99</v>
      </c>
      <c r="AI47" s="0" t="s">
        <v>806</v>
      </c>
      <c r="AJ47" s="0" t="s">
        <v>807</v>
      </c>
      <c r="AO47" s="0" t="s">
        <v>792</v>
      </c>
      <c r="AT47" s="0" t="s">
        <v>139</v>
      </c>
      <c r="AU47" s="0" t="s">
        <v>112</v>
      </c>
      <c r="AV47" s="0" t="s">
        <v>113</v>
      </c>
      <c r="BD47" s="0" t="s">
        <v>265</v>
      </c>
      <c r="BE47" s="0" t="s">
        <v>808</v>
      </c>
      <c r="BF47" s="0" t="s">
        <v>142</v>
      </c>
      <c r="BJ47" s="1" t="s">
        <v>229</v>
      </c>
      <c r="BK47" s="1" t="s">
        <v>809</v>
      </c>
      <c r="BL47" s="1" t="s">
        <v>810</v>
      </c>
      <c r="BM47" s="0" t="s">
        <v>674</v>
      </c>
      <c r="BN47" s="1" t="s">
        <v>270</v>
      </c>
      <c r="BO47" s="1" t="s">
        <v>811</v>
      </c>
      <c r="BU47" s="0" t="s">
        <v>812</v>
      </c>
      <c r="BX47" s="1" t="s">
        <v>813</v>
      </c>
      <c r="CH47" s="0" t="s">
        <v>145</v>
      </c>
      <c r="CI47" s="1" t="s">
        <v>813</v>
      </c>
      <c r="CJ47" s="1" t="s">
        <v>814</v>
      </c>
      <c r="CO47" s="1" t="s">
        <v>815</v>
      </c>
      <c r="CR47" s="0" t="s">
        <v>816</v>
      </c>
    </row>
    <row r="48" customFormat="false" ht="128.75" hidden="false" customHeight="false" outlineLevel="0" collapsed="false">
      <c r="A48" s="0" t="s">
        <v>527</v>
      </c>
      <c r="B48" s="0" t="s">
        <v>817</v>
      </c>
      <c r="C48" s="0" t="s">
        <v>551</v>
      </c>
      <c r="D48" s="0" t="s">
        <v>99</v>
      </c>
      <c r="E48" s="0" t="s">
        <v>818</v>
      </c>
      <c r="F48" s="0" t="s">
        <v>255</v>
      </c>
      <c r="G48" s="1" t="s">
        <v>684</v>
      </c>
      <c r="L48" s="0" t="str">
        <f aca="false">"1755"</f>
        <v>1755</v>
      </c>
      <c r="M48" s="1" t="s">
        <v>787</v>
      </c>
      <c r="O48" s="1" t="s">
        <v>788</v>
      </c>
      <c r="T48" s="0" t="s">
        <v>99</v>
      </c>
      <c r="U48" s="1" t="s">
        <v>819</v>
      </c>
      <c r="V48" s="1" t="s">
        <v>820</v>
      </c>
      <c r="AD48" s="1" t="s">
        <v>557</v>
      </c>
      <c r="AE48" s="1" t="s">
        <v>821</v>
      </c>
      <c r="AF48" s="1" t="s">
        <v>263</v>
      </c>
      <c r="AG48" s="0" t="s">
        <v>98</v>
      </c>
      <c r="AH48" s="0" t="s">
        <v>99</v>
      </c>
      <c r="AI48" s="0" t="s">
        <v>822</v>
      </c>
      <c r="AJ48" s="0" t="s">
        <v>823</v>
      </c>
      <c r="AK48" s="1" t="s">
        <v>270</v>
      </c>
      <c r="AL48" s="1" t="s">
        <v>824</v>
      </c>
      <c r="AO48" s="0" t="s">
        <v>792</v>
      </c>
      <c r="AT48" s="0" t="s">
        <v>139</v>
      </c>
      <c r="AU48" s="0" t="s">
        <v>112</v>
      </c>
      <c r="AV48" s="0" t="s">
        <v>113</v>
      </c>
      <c r="BD48" s="0" t="s">
        <v>265</v>
      </c>
      <c r="BE48" s="0" t="s">
        <v>825</v>
      </c>
      <c r="BF48" s="0" t="s">
        <v>560</v>
      </c>
      <c r="BJ48" s="1" t="s">
        <v>229</v>
      </c>
      <c r="BK48" s="1" t="s">
        <v>267</v>
      </c>
      <c r="BL48" s="1" t="s">
        <v>826</v>
      </c>
      <c r="BM48" s="1" t="s">
        <v>579</v>
      </c>
      <c r="BN48" s="0" t="s">
        <v>563</v>
      </c>
      <c r="BO48" s="0" t="s">
        <v>827</v>
      </c>
      <c r="BU48" s="0" t="s">
        <v>828</v>
      </c>
      <c r="BX48" s="1" t="s">
        <v>829</v>
      </c>
      <c r="BY48" s="0" t="s">
        <v>830</v>
      </c>
      <c r="BZ48" s="0" t="s">
        <v>831</v>
      </c>
      <c r="CH48" s="0" t="s">
        <v>169</v>
      </c>
      <c r="CI48" s="1" t="s">
        <v>829</v>
      </c>
      <c r="CJ48" s="1" t="s">
        <v>832</v>
      </c>
      <c r="CO48" s="1" t="s">
        <v>833</v>
      </c>
      <c r="CQ48" s="0" t="s">
        <v>834</v>
      </c>
      <c r="CR48" s="0" t="s">
        <v>835</v>
      </c>
    </row>
    <row r="49" customFormat="false" ht="86.25" hidden="false" customHeight="false" outlineLevel="0" collapsed="false">
      <c r="A49" s="0" t="s">
        <v>252</v>
      </c>
      <c r="B49" s="0" t="s">
        <v>836</v>
      </c>
      <c r="C49" s="0" t="s">
        <v>98</v>
      </c>
      <c r="D49" s="0" t="s">
        <v>99</v>
      </c>
      <c r="E49" s="0" t="s">
        <v>837</v>
      </c>
      <c r="F49" s="0" t="s">
        <v>255</v>
      </c>
      <c r="G49" s="0" t="s">
        <v>256</v>
      </c>
      <c r="L49" s="0" t="str">
        <f aca="false">"1650"</f>
        <v>1650</v>
      </c>
      <c r="T49" s="0" t="s">
        <v>99</v>
      </c>
      <c r="U49" s="1" t="s">
        <v>838</v>
      </c>
      <c r="V49" s="1" t="s">
        <v>839</v>
      </c>
      <c r="AD49" s="1" t="s">
        <v>261</v>
      </c>
      <c r="AE49" s="1" t="s">
        <v>840</v>
      </c>
      <c r="AF49" s="1" t="s">
        <v>263</v>
      </c>
      <c r="AO49" s="0" t="s">
        <v>264</v>
      </c>
      <c r="AT49" s="0" t="s">
        <v>139</v>
      </c>
      <c r="AU49" s="0" t="s">
        <v>112</v>
      </c>
      <c r="AV49" s="0" t="s">
        <v>113</v>
      </c>
      <c r="BJ49" s="1" t="s">
        <v>229</v>
      </c>
      <c r="BK49" s="1" t="s">
        <v>592</v>
      </c>
      <c r="BL49" s="1" t="s">
        <v>841</v>
      </c>
      <c r="BM49" s="1" t="s">
        <v>842</v>
      </c>
      <c r="BN49" s="1" t="s">
        <v>270</v>
      </c>
      <c r="BO49" s="1" t="s">
        <v>843</v>
      </c>
      <c r="BU49" s="1" t="s">
        <v>844</v>
      </c>
      <c r="BX49" s="1" t="s">
        <v>845</v>
      </c>
      <c r="CE49" s="0" t="s">
        <v>641</v>
      </c>
      <c r="CF49" s="0" t="s">
        <v>846</v>
      </c>
      <c r="CG49" s="0" t="s">
        <v>123</v>
      </c>
      <c r="CH49" s="0" t="s">
        <v>124</v>
      </c>
      <c r="CI49" s="1" t="s">
        <v>845</v>
      </c>
      <c r="CJ49" s="1" t="s">
        <v>847</v>
      </c>
      <c r="CL49" s="1" t="s">
        <v>848</v>
      </c>
      <c r="CM49" s="1" t="s">
        <v>848</v>
      </c>
      <c r="CO49" s="1" t="s">
        <v>849</v>
      </c>
      <c r="CR49" s="0" t="s">
        <v>850</v>
      </c>
    </row>
    <row r="50" customFormat="false" ht="75.6" hidden="false" customHeight="false" outlineLevel="0" collapsed="false">
      <c r="A50" s="0" t="s">
        <v>527</v>
      </c>
      <c r="B50" s="0" t="s">
        <v>817</v>
      </c>
      <c r="C50" s="0" t="s">
        <v>98</v>
      </c>
      <c r="D50" s="0" t="s">
        <v>99</v>
      </c>
      <c r="E50" s="0" t="s">
        <v>851</v>
      </c>
      <c r="F50" s="0" t="s">
        <v>255</v>
      </c>
      <c r="G50" s="0" t="s">
        <v>256</v>
      </c>
      <c r="L50" s="0" t="str">
        <f aca="false">"1755"</f>
        <v>1755</v>
      </c>
      <c r="M50" s="0" t="s">
        <v>553</v>
      </c>
      <c r="O50" s="0" t="s">
        <v>852</v>
      </c>
      <c r="S50" s="0" t="s">
        <v>247</v>
      </c>
      <c r="U50" s="1" t="s">
        <v>853</v>
      </c>
      <c r="V50" s="1" t="s">
        <v>854</v>
      </c>
      <c r="AD50" s="1" t="s">
        <v>557</v>
      </c>
      <c r="AE50" s="1" t="s">
        <v>855</v>
      </c>
      <c r="AF50" s="1" t="s">
        <v>263</v>
      </c>
      <c r="AG50" s="0" t="s">
        <v>98</v>
      </c>
      <c r="AH50" s="0" t="s">
        <v>99</v>
      </c>
      <c r="AI50" s="0" t="s">
        <v>856</v>
      </c>
      <c r="AJ50" s="0" t="s">
        <v>857</v>
      </c>
      <c r="AK50" s="1" t="s">
        <v>270</v>
      </c>
      <c r="AL50" s="1" t="s">
        <v>843</v>
      </c>
      <c r="AO50" s="0" t="s">
        <v>792</v>
      </c>
      <c r="AT50" s="0" t="s">
        <v>139</v>
      </c>
      <c r="AU50" s="0" t="s">
        <v>112</v>
      </c>
      <c r="AV50" s="0" t="s">
        <v>113</v>
      </c>
      <c r="BD50" s="0" t="s">
        <v>265</v>
      </c>
      <c r="BE50" s="0" t="s">
        <v>858</v>
      </c>
      <c r="BF50" s="0" t="s">
        <v>560</v>
      </c>
      <c r="BJ50" s="1" t="s">
        <v>229</v>
      </c>
      <c r="BK50" s="1" t="s">
        <v>267</v>
      </c>
      <c r="BL50" s="1" t="s">
        <v>859</v>
      </c>
      <c r="BM50" s="0" t="s">
        <v>541</v>
      </c>
      <c r="BN50" s="1" t="s">
        <v>270</v>
      </c>
      <c r="BO50" s="1" t="s">
        <v>860</v>
      </c>
      <c r="BU50" s="0" t="s">
        <v>861</v>
      </c>
      <c r="BX50" s="1" t="s">
        <v>862</v>
      </c>
      <c r="CE50" s="0" t="s">
        <v>641</v>
      </c>
      <c r="CH50" s="0" t="s">
        <v>145</v>
      </c>
      <c r="CI50" s="1" t="s">
        <v>862</v>
      </c>
      <c r="CJ50" s="1" t="s">
        <v>863</v>
      </c>
      <c r="CO50" s="1" t="s">
        <v>833</v>
      </c>
      <c r="CR50" s="0" t="s">
        <v>864</v>
      </c>
    </row>
    <row r="51" customFormat="false" ht="192.5" hidden="false" customHeight="false" outlineLevel="0" collapsed="false">
      <c r="A51" s="0" t="s">
        <v>865</v>
      </c>
      <c r="B51" s="0" t="s">
        <v>866</v>
      </c>
      <c r="C51" s="0" t="s">
        <v>867</v>
      </c>
      <c r="D51" s="0" t="s">
        <v>868</v>
      </c>
      <c r="E51" s="0" t="s">
        <v>869</v>
      </c>
      <c r="H51" s="0" t="s">
        <v>102</v>
      </c>
      <c r="L51" s="0" t="str">
        <f aca="false">"04.01.1698"</f>
        <v>04.01.1698</v>
      </c>
      <c r="M51" s="0" t="s">
        <v>870</v>
      </c>
      <c r="O51" s="0" t="s">
        <v>871</v>
      </c>
      <c r="T51" s="0" t="s">
        <v>868</v>
      </c>
      <c r="AT51" s="0" t="s">
        <v>338</v>
      </c>
      <c r="AU51" s="0" t="s">
        <v>872</v>
      </c>
      <c r="BD51" s="0" t="s">
        <v>873</v>
      </c>
      <c r="BE51" s="0" t="s">
        <v>874</v>
      </c>
      <c r="BX51" s="0" t="s">
        <v>875</v>
      </c>
      <c r="CF51" s="1" t="s">
        <v>876</v>
      </c>
      <c r="CG51" s="0" t="s">
        <v>123</v>
      </c>
      <c r="CH51" s="1" t="s">
        <v>877</v>
      </c>
      <c r="CI51" s="0" t="s">
        <v>875</v>
      </c>
      <c r="CL51" s="0" t="s">
        <v>878</v>
      </c>
      <c r="CM51" s="0" t="s">
        <v>878</v>
      </c>
      <c r="CR51" s="0" t="s">
        <v>879</v>
      </c>
    </row>
    <row r="52" customFormat="false" ht="12.8" hidden="false" customHeight="false" outlineLevel="0" collapsed="false">
      <c r="A52" s="0" t="s">
        <v>880</v>
      </c>
      <c r="B52" s="0" t="s">
        <v>881</v>
      </c>
      <c r="C52" s="0" t="s">
        <v>882</v>
      </c>
      <c r="D52" s="0" t="s">
        <v>670</v>
      </c>
      <c r="E52" s="0" t="s">
        <v>883</v>
      </c>
      <c r="F52" s="0" t="s">
        <v>884</v>
      </c>
      <c r="H52" s="0" t="s">
        <v>102</v>
      </c>
      <c r="I52" s="0" t="str">
        <f aca="false">"1697"</f>
        <v>1697</v>
      </c>
      <c r="J52" s="0" t="str">
        <f aca="false">"1700"</f>
        <v>1700</v>
      </c>
      <c r="O52" s="0" t="s">
        <v>885</v>
      </c>
      <c r="T52" s="0" t="s">
        <v>868</v>
      </c>
      <c r="W52" s="0" t="s">
        <v>886</v>
      </c>
      <c r="AO52" s="0" t="s">
        <v>887</v>
      </c>
      <c r="AP52" s="0" t="s">
        <v>888</v>
      </c>
      <c r="AT52" s="0" t="s">
        <v>338</v>
      </c>
      <c r="AU52" s="0" t="s">
        <v>872</v>
      </c>
      <c r="CJ52" s="0" t="s">
        <v>889</v>
      </c>
      <c r="CO52" s="0" t="s">
        <v>881</v>
      </c>
    </row>
    <row r="53" customFormat="false" ht="12.8" hidden="false" customHeight="false" outlineLevel="0" collapsed="false">
      <c r="A53" s="0" t="s">
        <v>880</v>
      </c>
      <c r="B53" s="0" t="s">
        <v>888</v>
      </c>
      <c r="C53" s="0" t="s">
        <v>882</v>
      </c>
      <c r="D53" s="0" t="s">
        <v>670</v>
      </c>
      <c r="E53" s="0" t="s">
        <v>890</v>
      </c>
      <c r="F53" s="0" t="s">
        <v>884</v>
      </c>
      <c r="I53" s="0" t="str">
        <f aca="false">"1601"</f>
        <v>1601</v>
      </c>
      <c r="J53" s="0" t="str">
        <f aca="false">"1799"</f>
        <v>1799</v>
      </c>
      <c r="W53" s="0" t="s">
        <v>891</v>
      </c>
      <c r="AT53" s="0" t="s">
        <v>338</v>
      </c>
      <c r="AU53" s="0" t="s">
        <v>892</v>
      </c>
      <c r="CP53" s="0" t="s">
        <v>893</v>
      </c>
    </row>
    <row r="54" customFormat="false" ht="65" hidden="false" customHeight="false" outlineLevel="0" collapsed="false">
      <c r="A54" s="0" t="s">
        <v>190</v>
      </c>
      <c r="B54" s="0" t="s">
        <v>894</v>
      </c>
      <c r="C54" s="0" t="s">
        <v>895</v>
      </c>
      <c r="D54" s="0" t="s">
        <v>896</v>
      </c>
      <c r="E54" s="0" t="s">
        <v>897</v>
      </c>
      <c r="L54" s="0" t="str">
        <f aca="false">"1648"</f>
        <v>1648</v>
      </c>
      <c r="M54" s="1" t="s">
        <v>898</v>
      </c>
      <c r="O54" s="1" t="s">
        <v>899</v>
      </c>
      <c r="U54" s="0" t="s">
        <v>900</v>
      </c>
      <c r="V54" s="0" t="s">
        <v>901</v>
      </c>
      <c r="Z54" s="0" t="s">
        <v>902</v>
      </c>
      <c r="AB54" s="0" t="s">
        <v>903</v>
      </c>
      <c r="AG54" s="0" t="s">
        <v>224</v>
      </c>
      <c r="AH54" s="0" t="s">
        <v>225</v>
      </c>
      <c r="AI54" s="0" t="s">
        <v>904</v>
      </c>
      <c r="AS54" s="0" t="s">
        <v>905</v>
      </c>
      <c r="AT54" s="0" t="s">
        <v>906</v>
      </c>
      <c r="AU54" s="0" t="s">
        <v>112</v>
      </c>
      <c r="AV54" s="0" t="s">
        <v>113</v>
      </c>
      <c r="AW54" s="0" t="s">
        <v>907</v>
      </c>
      <c r="AY54" s="0" t="s">
        <v>908</v>
      </c>
      <c r="BC54" s="0" t="str">
        <f aca="false">"134756746"</f>
        <v>134756746</v>
      </c>
      <c r="BV54" s="1" t="s">
        <v>909</v>
      </c>
      <c r="BX54" s="1" t="s">
        <v>910</v>
      </c>
      <c r="CF54" s="1" t="s">
        <v>911</v>
      </c>
      <c r="CG54" s="0" t="s">
        <v>123</v>
      </c>
      <c r="CH54" s="0" t="s">
        <v>124</v>
      </c>
      <c r="CI54" s="1" t="s">
        <v>910</v>
      </c>
      <c r="CJ54" s="0" t="s">
        <v>912</v>
      </c>
      <c r="CL54" s="0" t="s">
        <v>913</v>
      </c>
      <c r="CM54" s="0" t="s">
        <v>913</v>
      </c>
      <c r="CO54" s="0" t="s">
        <v>914</v>
      </c>
      <c r="CR54" s="0" t="s">
        <v>915</v>
      </c>
    </row>
    <row r="55" customFormat="false" ht="65" hidden="false" customHeight="false" outlineLevel="0" collapsed="false">
      <c r="A55" s="0" t="s">
        <v>527</v>
      </c>
      <c r="B55" s="0" t="s">
        <v>379</v>
      </c>
      <c r="C55" s="0" t="s">
        <v>98</v>
      </c>
      <c r="D55" s="0" t="s">
        <v>99</v>
      </c>
      <c r="E55" s="0" t="s">
        <v>916</v>
      </c>
      <c r="F55" s="0" t="s">
        <v>255</v>
      </c>
      <c r="G55" s="0" t="s">
        <v>256</v>
      </c>
      <c r="L55" s="0" t="str">
        <f aca="false">"1730"</f>
        <v>1730</v>
      </c>
      <c r="U55" s="1" t="s">
        <v>917</v>
      </c>
      <c r="V55" s="1" t="s">
        <v>918</v>
      </c>
      <c r="AD55" s="1" t="s">
        <v>557</v>
      </c>
      <c r="AE55" s="1" t="s">
        <v>919</v>
      </c>
      <c r="AF55" s="1" t="s">
        <v>263</v>
      </c>
      <c r="AO55" s="0" t="s">
        <v>539</v>
      </c>
      <c r="AT55" s="0" t="s">
        <v>139</v>
      </c>
      <c r="AU55" s="0" t="s">
        <v>112</v>
      </c>
      <c r="AV55" s="0" t="s">
        <v>113</v>
      </c>
      <c r="BJ55" s="1" t="s">
        <v>229</v>
      </c>
      <c r="BK55" s="1" t="s">
        <v>592</v>
      </c>
      <c r="BL55" s="1" t="s">
        <v>920</v>
      </c>
      <c r="BM55" s="1" t="s">
        <v>579</v>
      </c>
      <c r="BN55" s="1" t="s">
        <v>270</v>
      </c>
      <c r="BO55" s="1" t="s">
        <v>921</v>
      </c>
      <c r="BU55" s="0" t="s">
        <v>922</v>
      </c>
      <c r="BX55" s="1" t="s">
        <v>923</v>
      </c>
      <c r="CH55" s="0" t="s">
        <v>145</v>
      </c>
      <c r="CI55" s="1" t="s">
        <v>923</v>
      </c>
      <c r="CJ55" s="1" t="s">
        <v>924</v>
      </c>
      <c r="CO55" s="1" t="s">
        <v>925</v>
      </c>
      <c r="CR55" s="0" t="s">
        <v>926</v>
      </c>
    </row>
    <row r="56" customFormat="false" ht="86.25" hidden="false" customHeight="false" outlineLevel="0" collapsed="false">
      <c r="A56" s="0" t="s">
        <v>527</v>
      </c>
      <c r="B56" s="0" t="s">
        <v>927</v>
      </c>
      <c r="C56" s="0" t="s">
        <v>98</v>
      </c>
      <c r="D56" s="0" t="s">
        <v>99</v>
      </c>
      <c r="E56" s="0" t="s">
        <v>928</v>
      </c>
      <c r="F56" s="0" t="s">
        <v>255</v>
      </c>
      <c r="G56" s="0" t="s">
        <v>256</v>
      </c>
      <c r="L56" s="0" t="str">
        <f aca="false">"1763"</f>
        <v>1763</v>
      </c>
      <c r="M56" s="0" t="s">
        <v>553</v>
      </c>
      <c r="O56" s="0" t="s">
        <v>929</v>
      </c>
      <c r="T56" s="0" t="s">
        <v>930</v>
      </c>
      <c r="U56" s="1" t="s">
        <v>931</v>
      </c>
      <c r="V56" s="1" t="s">
        <v>932</v>
      </c>
      <c r="AD56" s="1" t="s">
        <v>557</v>
      </c>
      <c r="AE56" s="1" t="s">
        <v>933</v>
      </c>
      <c r="AF56" s="1" t="s">
        <v>263</v>
      </c>
      <c r="AG56" s="0" t="s">
        <v>528</v>
      </c>
      <c r="AH56" s="0" t="s">
        <v>398</v>
      </c>
      <c r="AI56" s="1" t="s">
        <v>934</v>
      </c>
      <c r="AJ56" s="1" t="s">
        <v>935</v>
      </c>
      <c r="AO56" s="0" t="s">
        <v>539</v>
      </c>
      <c r="AT56" s="0" t="s">
        <v>139</v>
      </c>
      <c r="AU56" s="0" t="s">
        <v>112</v>
      </c>
      <c r="AV56" s="0" t="s">
        <v>113</v>
      </c>
      <c r="BD56" s="1" t="s">
        <v>267</v>
      </c>
      <c r="BE56" s="1" t="s">
        <v>936</v>
      </c>
      <c r="BF56" s="1" t="s">
        <v>579</v>
      </c>
      <c r="BJ56" s="1" t="s">
        <v>467</v>
      </c>
      <c r="BK56" s="0" t="s">
        <v>265</v>
      </c>
      <c r="BL56" s="0" t="s">
        <v>937</v>
      </c>
      <c r="BM56" s="0" t="s">
        <v>541</v>
      </c>
      <c r="BN56" s="1" t="s">
        <v>270</v>
      </c>
      <c r="BO56" s="1" t="s">
        <v>938</v>
      </c>
      <c r="BU56" s="1" t="s">
        <v>939</v>
      </c>
      <c r="BV56" s="1" t="s">
        <v>940</v>
      </c>
      <c r="BX56" s="1" t="s">
        <v>941</v>
      </c>
      <c r="CF56" s="1" t="s">
        <v>942</v>
      </c>
      <c r="CG56" s="0" t="s">
        <v>123</v>
      </c>
      <c r="CH56" s="0" t="s">
        <v>124</v>
      </c>
      <c r="CI56" s="1" t="s">
        <v>941</v>
      </c>
      <c r="CJ56" s="1" t="s">
        <v>943</v>
      </c>
      <c r="CL56" s="1" t="s">
        <v>944</v>
      </c>
      <c r="CM56" s="1" t="s">
        <v>944</v>
      </c>
      <c r="CO56" s="1" t="s">
        <v>945</v>
      </c>
      <c r="CR56" s="0" t="s">
        <v>946</v>
      </c>
    </row>
    <row r="57" customFormat="false" ht="65" hidden="false" customHeight="false" outlineLevel="0" collapsed="false">
      <c r="A57" s="0" t="s">
        <v>527</v>
      </c>
      <c r="B57" s="0" t="s">
        <v>947</v>
      </c>
      <c r="C57" s="0" t="s">
        <v>98</v>
      </c>
      <c r="D57" s="0" t="s">
        <v>99</v>
      </c>
      <c r="E57" s="0" t="s">
        <v>948</v>
      </c>
      <c r="F57" s="0" t="s">
        <v>255</v>
      </c>
      <c r="G57" s="0" t="s">
        <v>256</v>
      </c>
      <c r="L57" s="0" t="str">
        <f aca="false">"1763"</f>
        <v>1763</v>
      </c>
      <c r="U57" s="1" t="s">
        <v>949</v>
      </c>
      <c r="V57" s="1" t="s">
        <v>950</v>
      </c>
      <c r="AD57" s="1" t="s">
        <v>951</v>
      </c>
      <c r="AE57" s="1" t="s">
        <v>952</v>
      </c>
      <c r="AF57" s="1" t="s">
        <v>953</v>
      </c>
      <c r="AG57" s="0" t="s">
        <v>528</v>
      </c>
      <c r="AH57" s="0" t="s">
        <v>398</v>
      </c>
      <c r="AO57" s="0" t="s">
        <v>539</v>
      </c>
      <c r="AT57" s="0" t="s">
        <v>139</v>
      </c>
      <c r="AU57" s="0" t="s">
        <v>112</v>
      </c>
      <c r="AV57" s="0" t="s">
        <v>113</v>
      </c>
      <c r="BJ57" s="1" t="s">
        <v>229</v>
      </c>
      <c r="BK57" s="1" t="s">
        <v>267</v>
      </c>
      <c r="BL57" s="1" t="s">
        <v>954</v>
      </c>
      <c r="BM57" s="1" t="s">
        <v>955</v>
      </c>
      <c r="BN57" s="1" t="s">
        <v>270</v>
      </c>
      <c r="BO57" s="1" t="s">
        <v>956</v>
      </c>
      <c r="BU57" s="0" t="s">
        <v>957</v>
      </c>
      <c r="BX57" s="1" t="s">
        <v>958</v>
      </c>
      <c r="CI57" s="1" t="s">
        <v>958</v>
      </c>
      <c r="CJ57" s="1" t="s">
        <v>959</v>
      </c>
      <c r="CO57" s="1" t="s">
        <v>960</v>
      </c>
      <c r="CR57" s="0" t="s">
        <v>961</v>
      </c>
    </row>
    <row r="58" customFormat="false" ht="86.25" hidden="false" customHeight="false" outlineLevel="0" collapsed="false">
      <c r="A58" s="0" t="s">
        <v>527</v>
      </c>
      <c r="B58" s="0" t="s">
        <v>927</v>
      </c>
      <c r="C58" s="0" t="s">
        <v>98</v>
      </c>
      <c r="D58" s="0" t="s">
        <v>99</v>
      </c>
      <c r="E58" s="0" t="s">
        <v>962</v>
      </c>
      <c r="F58" s="0" t="s">
        <v>255</v>
      </c>
      <c r="G58" s="0" t="s">
        <v>256</v>
      </c>
      <c r="L58" s="0" t="str">
        <f aca="false">"1763"</f>
        <v>1763</v>
      </c>
      <c r="M58" s="0" t="s">
        <v>553</v>
      </c>
      <c r="U58" s="1" t="s">
        <v>963</v>
      </c>
      <c r="V58" s="1" t="s">
        <v>964</v>
      </c>
      <c r="AD58" s="1" t="s">
        <v>951</v>
      </c>
      <c r="AE58" s="1" t="s">
        <v>965</v>
      </c>
      <c r="AF58" s="1" t="s">
        <v>953</v>
      </c>
      <c r="AG58" s="0" t="s">
        <v>528</v>
      </c>
      <c r="AH58" s="0" t="s">
        <v>398</v>
      </c>
      <c r="AI58" s="0" t="str">
        <f aca="false">"35088"</f>
        <v>35088</v>
      </c>
      <c r="AO58" s="0" t="s">
        <v>539</v>
      </c>
      <c r="AT58" s="0" t="s">
        <v>139</v>
      </c>
      <c r="AU58" s="0" t="s">
        <v>112</v>
      </c>
      <c r="AV58" s="0" t="s">
        <v>113</v>
      </c>
      <c r="BD58" s="0" t="s">
        <v>966</v>
      </c>
      <c r="BE58" s="0" t="s">
        <v>967</v>
      </c>
      <c r="BF58" s="0" t="s">
        <v>655</v>
      </c>
      <c r="BJ58" s="1" t="s">
        <v>229</v>
      </c>
      <c r="BK58" s="1" t="s">
        <v>592</v>
      </c>
      <c r="BL58" s="1" t="s">
        <v>968</v>
      </c>
      <c r="BM58" s="1" t="s">
        <v>969</v>
      </c>
      <c r="BN58" s="1" t="s">
        <v>270</v>
      </c>
      <c r="BO58" s="1" t="s">
        <v>956</v>
      </c>
      <c r="BU58" s="1" t="s">
        <v>970</v>
      </c>
      <c r="BX58" s="1" t="s">
        <v>971</v>
      </c>
      <c r="BY58" s="0" t="s">
        <v>972</v>
      </c>
      <c r="BZ58" s="0" t="s">
        <v>831</v>
      </c>
      <c r="CF58" s="1" t="s">
        <v>973</v>
      </c>
      <c r="CG58" s="0" t="s">
        <v>123</v>
      </c>
      <c r="CH58" s="0" t="s">
        <v>342</v>
      </c>
      <c r="CI58" s="1" t="s">
        <v>971</v>
      </c>
      <c r="CJ58" s="1" t="s">
        <v>974</v>
      </c>
      <c r="CL58" s="1" t="s">
        <v>975</v>
      </c>
      <c r="CM58" s="1" t="s">
        <v>975</v>
      </c>
      <c r="CO58" s="1" t="s">
        <v>976</v>
      </c>
      <c r="CQ58" s="0" t="s">
        <v>977</v>
      </c>
      <c r="CR58" s="0" t="s">
        <v>978</v>
      </c>
    </row>
    <row r="59" customFormat="false" ht="43.75" hidden="false" customHeight="false" outlineLevel="0" collapsed="false">
      <c r="A59" s="0" t="s">
        <v>527</v>
      </c>
      <c r="B59" s="0" t="s">
        <v>979</v>
      </c>
      <c r="C59" s="0" t="s">
        <v>98</v>
      </c>
      <c r="D59" s="0" t="s">
        <v>99</v>
      </c>
      <c r="E59" s="0" t="s">
        <v>980</v>
      </c>
      <c r="F59" s="0" t="s">
        <v>255</v>
      </c>
      <c r="G59" s="0" t="s">
        <v>256</v>
      </c>
      <c r="L59" s="0" t="str">
        <f aca="false">"1742"</f>
        <v>1742</v>
      </c>
      <c r="M59" s="0" t="s">
        <v>553</v>
      </c>
      <c r="O59" s="0" t="s">
        <v>981</v>
      </c>
      <c r="U59" s="1" t="s">
        <v>982</v>
      </c>
      <c r="V59" s="1" t="s">
        <v>983</v>
      </c>
      <c r="AD59" s="1" t="s">
        <v>557</v>
      </c>
      <c r="AE59" s="1" t="s">
        <v>984</v>
      </c>
      <c r="AF59" s="1" t="s">
        <v>263</v>
      </c>
      <c r="AO59" s="0" t="s">
        <v>539</v>
      </c>
      <c r="AT59" s="0" t="s">
        <v>139</v>
      </c>
      <c r="AU59" s="0" t="s">
        <v>112</v>
      </c>
      <c r="AV59" s="0" t="s">
        <v>113</v>
      </c>
      <c r="BD59" s="0" t="s">
        <v>140</v>
      </c>
      <c r="BE59" s="0" t="s">
        <v>985</v>
      </c>
      <c r="BF59" s="0" t="s">
        <v>142</v>
      </c>
      <c r="BJ59" s="1" t="s">
        <v>229</v>
      </c>
      <c r="BK59" s="1" t="s">
        <v>267</v>
      </c>
      <c r="BL59" s="1" t="s">
        <v>986</v>
      </c>
      <c r="BM59" s="0" t="s">
        <v>560</v>
      </c>
      <c r="BN59" s="1" t="s">
        <v>606</v>
      </c>
      <c r="BO59" s="1" t="s">
        <v>987</v>
      </c>
      <c r="BU59" s="0" t="s">
        <v>988</v>
      </c>
      <c r="BV59" s="0" t="s">
        <v>989</v>
      </c>
      <c r="BX59" s="1" t="s">
        <v>990</v>
      </c>
      <c r="CI59" s="1" t="s">
        <v>990</v>
      </c>
      <c r="CJ59" s="1" t="s">
        <v>991</v>
      </c>
      <c r="CO59" s="1" t="s">
        <v>992</v>
      </c>
      <c r="CR59" s="0" t="s">
        <v>993</v>
      </c>
    </row>
    <row r="60" customFormat="false" ht="54.35" hidden="false" customHeight="false" outlineLevel="0" collapsed="false">
      <c r="A60" s="0" t="s">
        <v>527</v>
      </c>
      <c r="B60" s="0" t="s">
        <v>994</v>
      </c>
      <c r="C60" s="0" t="s">
        <v>98</v>
      </c>
      <c r="D60" s="0" t="s">
        <v>99</v>
      </c>
      <c r="E60" s="0" t="s">
        <v>995</v>
      </c>
      <c r="F60" s="0" t="s">
        <v>255</v>
      </c>
      <c r="G60" s="0" t="s">
        <v>256</v>
      </c>
      <c r="L60" s="0" t="str">
        <f aca="false">"1742"</f>
        <v>1742</v>
      </c>
      <c r="M60" s="0" t="s">
        <v>553</v>
      </c>
      <c r="O60" s="0" t="s">
        <v>600</v>
      </c>
      <c r="T60" s="0" t="s">
        <v>512</v>
      </c>
      <c r="U60" s="1" t="s">
        <v>996</v>
      </c>
      <c r="V60" s="1" t="s">
        <v>997</v>
      </c>
      <c r="AD60" s="1" t="s">
        <v>951</v>
      </c>
      <c r="AE60" s="1" t="s">
        <v>998</v>
      </c>
      <c r="AF60" s="1" t="s">
        <v>953</v>
      </c>
      <c r="AO60" s="0" t="s">
        <v>539</v>
      </c>
      <c r="AT60" s="0" t="s">
        <v>139</v>
      </c>
      <c r="AU60" s="0" t="s">
        <v>112</v>
      </c>
      <c r="AV60" s="0" t="s">
        <v>113</v>
      </c>
      <c r="BD60" s="1" t="s">
        <v>999</v>
      </c>
      <c r="BE60" s="1" t="s">
        <v>1000</v>
      </c>
      <c r="BF60" s="1" t="s">
        <v>1001</v>
      </c>
      <c r="BJ60" s="1" t="s">
        <v>229</v>
      </c>
      <c r="BK60" s="1" t="s">
        <v>267</v>
      </c>
      <c r="BL60" s="1" t="s">
        <v>1002</v>
      </c>
      <c r="BM60" s="0" t="s">
        <v>560</v>
      </c>
      <c r="BN60" s="1" t="s">
        <v>270</v>
      </c>
      <c r="BO60" s="1" t="s">
        <v>956</v>
      </c>
      <c r="BU60" s="0" t="s">
        <v>1003</v>
      </c>
      <c r="BX60" s="1" t="s">
        <v>1004</v>
      </c>
      <c r="CH60" s="0" t="s">
        <v>625</v>
      </c>
      <c r="CI60" s="1" t="s">
        <v>1004</v>
      </c>
      <c r="CJ60" s="1" t="s">
        <v>1005</v>
      </c>
      <c r="CO60" s="1" t="s">
        <v>1006</v>
      </c>
      <c r="CR60" s="0" t="s">
        <v>1007</v>
      </c>
    </row>
    <row r="61" customFormat="false" ht="43.75" hidden="false" customHeight="false" outlineLevel="0" collapsed="false">
      <c r="A61" s="0" t="s">
        <v>527</v>
      </c>
      <c r="B61" s="0" t="s">
        <v>1008</v>
      </c>
      <c r="C61" s="0" t="s">
        <v>98</v>
      </c>
      <c r="D61" s="0" t="s">
        <v>99</v>
      </c>
      <c r="E61" s="0" t="s">
        <v>1009</v>
      </c>
      <c r="F61" s="0" t="s">
        <v>255</v>
      </c>
      <c r="G61" s="1" t="s">
        <v>684</v>
      </c>
      <c r="L61" s="0" t="str">
        <f aca="false">"1748"</f>
        <v>1748</v>
      </c>
      <c r="U61" s="1" t="s">
        <v>1010</v>
      </c>
      <c r="V61" s="1" t="s">
        <v>1011</v>
      </c>
      <c r="AD61" s="1" t="s">
        <v>557</v>
      </c>
      <c r="AE61" s="1" t="s">
        <v>1012</v>
      </c>
      <c r="AF61" s="1" t="s">
        <v>263</v>
      </c>
      <c r="AO61" s="0" t="s">
        <v>539</v>
      </c>
      <c r="AT61" s="0" t="s">
        <v>139</v>
      </c>
      <c r="AU61" s="0" t="s">
        <v>112</v>
      </c>
      <c r="AV61" s="0" t="s">
        <v>113</v>
      </c>
      <c r="BJ61" s="1" t="s">
        <v>467</v>
      </c>
      <c r="BK61" s="1" t="s">
        <v>267</v>
      </c>
      <c r="BL61" s="1" t="s">
        <v>1013</v>
      </c>
      <c r="BM61" s="1" t="s">
        <v>1014</v>
      </c>
      <c r="BN61" s="1" t="s">
        <v>270</v>
      </c>
      <c r="BO61" s="1" t="s">
        <v>1015</v>
      </c>
      <c r="BU61" s="0" t="s">
        <v>1016</v>
      </c>
      <c r="BV61" s="0" t="s">
        <v>1017</v>
      </c>
      <c r="BX61" s="1" t="s">
        <v>1018</v>
      </c>
      <c r="CI61" s="1" t="s">
        <v>1018</v>
      </c>
      <c r="CJ61" s="1" t="s">
        <v>1019</v>
      </c>
      <c r="CO61" s="1" t="s">
        <v>1020</v>
      </c>
      <c r="CR61" s="0" t="s">
        <v>1021</v>
      </c>
    </row>
    <row r="62" customFormat="false" ht="33.1" hidden="false" customHeight="false" outlineLevel="0" collapsed="false">
      <c r="A62" s="0" t="s">
        <v>445</v>
      </c>
      <c r="B62" s="0" t="s">
        <v>1022</v>
      </c>
      <c r="C62" s="0" t="s">
        <v>224</v>
      </c>
      <c r="D62" s="0" t="s">
        <v>225</v>
      </c>
      <c r="E62" s="0" t="s">
        <v>1023</v>
      </c>
      <c r="F62" s="0" t="s">
        <v>192</v>
      </c>
      <c r="H62" s="0" t="s">
        <v>102</v>
      </c>
      <c r="L62" s="0" t="str">
        <f aca="false">"1633"</f>
        <v>1633</v>
      </c>
      <c r="M62" s="1" t="s">
        <v>1024</v>
      </c>
      <c r="O62" s="1" t="s">
        <v>1025</v>
      </c>
      <c r="T62" s="1" t="s">
        <v>1026</v>
      </c>
      <c r="U62" s="1" t="s">
        <v>1027</v>
      </c>
      <c r="V62" s="0" t="s">
        <v>1028</v>
      </c>
      <c r="Z62" s="0" t="s">
        <v>1029</v>
      </c>
      <c r="AB62" s="0" t="s">
        <v>1030</v>
      </c>
      <c r="AS62" s="0" t="s">
        <v>1031</v>
      </c>
      <c r="AT62" s="0" t="s">
        <v>906</v>
      </c>
      <c r="AU62" s="0" t="s">
        <v>112</v>
      </c>
      <c r="BC62" s="0" t="str">
        <f aca="false">"134737407"</f>
        <v>134737407</v>
      </c>
      <c r="BD62" s="0" t="s">
        <v>873</v>
      </c>
      <c r="BE62" s="0" t="s">
        <v>1032</v>
      </c>
      <c r="BJ62" s="0" t="s">
        <v>118</v>
      </c>
      <c r="BX62" s="0" t="s">
        <v>1033</v>
      </c>
      <c r="CI62" s="0" t="s">
        <v>1033</v>
      </c>
      <c r="CJ62" s="0" t="s">
        <v>1034</v>
      </c>
      <c r="CO62" s="0" t="s">
        <v>1022</v>
      </c>
    </row>
    <row r="63" customFormat="false" ht="33.1" hidden="false" customHeight="false" outlineLevel="0" collapsed="false">
      <c r="A63" s="0" t="s">
        <v>96</v>
      </c>
      <c r="B63" s="0" t="s">
        <v>379</v>
      </c>
      <c r="C63" s="0" t="s">
        <v>98</v>
      </c>
      <c r="D63" s="0" t="s">
        <v>99</v>
      </c>
      <c r="E63" s="0" t="s">
        <v>429</v>
      </c>
      <c r="F63" s="0" t="s">
        <v>219</v>
      </c>
      <c r="H63" s="0" t="s">
        <v>102</v>
      </c>
      <c r="L63" s="0" t="str">
        <f aca="false">"1730"</f>
        <v>1730</v>
      </c>
      <c r="M63" s="0" t="s">
        <v>715</v>
      </c>
      <c r="O63" s="0" t="s">
        <v>1035</v>
      </c>
      <c r="T63" s="0" t="s">
        <v>247</v>
      </c>
      <c r="U63" s="1" t="s">
        <v>1036</v>
      </c>
      <c r="V63" s="1" t="s">
        <v>1037</v>
      </c>
      <c r="AD63" s="0" t="s">
        <v>155</v>
      </c>
      <c r="AE63" s="0" t="s">
        <v>1038</v>
      </c>
      <c r="AF63" s="0" t="s">
        <v>109</v>
      </c>
      <c r="AG63" s="0" t="s">
        <v>224</v>
      </c>
      <c r="AH63" s="0" t="s">
        <v>225</v>
      </c>
      <c r="AI63" s="0" t="s">
        <v>1039</v>
      </c>
      <c r="AO63" s="0" t="s">
        <v>161</v>
      </c>
      <c r="AT63" s="0" t="s">
        <v>139</v>
      </c>
      <c r="AU63" s="0" t="s">
        <v>112</v>
      </c>
      <c r="AV63" s="0" t="s">
        <v>113</v>
      </c>
      <c r="BA63" s="0" t="s">
        <v>317</v>
      </c>
      <c r="BB63" s="0" t="s">
        <v>1040</v>
      </c>
      <c r="BD63" s="0" t="s">
        <v>140</v>
      </c>
      <c r="BE63" s="0" t="s">
        <v>1041</v>
      </c>
      <c r="BF63" s="0" t="s">
        <v>207</v>
      </c>
      <c r="BG63" s="0" t="s">
        <v>98</v>
      </c>
      <c r="BH63" s="0" t="s">
        <v>116</v>
      </c>
      <c r="BI63" s="0" t="s">
        <v>228</v>
      </c>
      <c r="BJ63" s="1" t="s">
        <v>229</v>
      </c>
      <c r="BU63" s="0" t="s">
        <v>1042</v>
      </c>
      <c r="BX63" s="0" t="s">
        <v>1043</v>
      </c>
      <c r="BY63" s="0" t="s">
        <v>524</v>
      </c>
      <c r="BZ63" s="0" t="s">
        <v>430</v>
      </c>
      <c r="CH63" s="0" t="s">
        <v>145</v>
      </c>
      <c r="CI63" s="0" t="s">
        <v>1043</v>
      </c>
      <c r="CQ63" s="1" t="s">
        <v>1044</v>
      </c>
      <c r="CR63" s="0" t="s">
        <v>1045</v>
      </c>
    </row>
    <row r="64" customFormat="false" ht="54.35" hidden="false" customHeight="false" outlineLevel="0" collapsed="false">
      <c r="A64" s="0" t="s">
        <v>96</v>
      </c>
      <c r="B64" s="0" t="s">
        <v>1046</v>
      </c>
      <c r="C64" s="0" t="s">
        <v>224</v>
      </c>
      <c r="D64" s="0" t="s">
        <v>225</v>
      </c>
      <c r="E64" s="0" t="s">
        <v>1047</v>
      </c>
      <c r="F64" s="0" t="s">
        <v>131</v>
      </c>
      <c r="H64" s="0" t="s">
        <v>102</v>
      </c>
      <c r="L64" s="0" t="str">
        <f aca="false">"1650"</f>
        <v>1650</v>
      </c>
      <c r="M64" s="1" t="s">
        <v>1048</v>
      </c>
      <c r="O64" s="1" t="s">
        <v>1049</v>
      </c>
      <c r="T64" s="0" t="s">
        <v>1050</v>
      </c>
      <c r="U64" s="1" t="s">
        <v>1051</v>
      </c>
      <c r="V64" s="1" t="s">
        <v>1052</v>
      </c>
      <c r="Y64" s="0" t="s">
        <v>1053</v>
      </c>
      <c r="AB64" s="0" t="s">
        <v>1054</v>
      </c>
      <c r="AD64" s="0" t="s">
        <v>107</v>
      </c>
      <c r="AE64" s="0" t="s">
        <v>1055</v>
      </c>
      <c r="AF64" s="0" t="s">
        <v>109</v>
      </c>
      <c r="AG64" s="0" t="s">
        <v>1056</v>
      </c>
      <c r="AH64" s="0" t="s">
        <v>1057</v>
      </c>
      <c r="AI64" s="0" t="s">
        <v>1058</v>
      </c>
      <c r="AO64" s="0" t="s">
        <v>539</v>
      </c>
      <c r="AT64" s="0" t="s">
        <v>139</v>
      </c>
      <c r="AU64" s="0" t="s">
        <v>112</v>
      </c>
      <c r="AY64" s="0" t="s">
        <v>1059</v>
      </c>
      <c r="BA64" s="0" t="s">
        <v>317</v>
      </c>
      <c r="BB64" s="0" t="str">
        <f aca="false">"2"</f>
        <v>2</v>
      </c>
      <c r="BD64" s="1" t="s">
        <v>1060</v>
      </c>
      <c r="BE64" s="1" t="s">
        <v>1061</v>
      </c>
      <c r="BF64" s="1" t="s">
        <v>1062</v>
      </c>
      <c r="BJ64" s="0" t="s">
        <v>118</v>
      </c>
      <c r="BU64" s="0" t="s">
        <v>1063</v>
      </c>
      <c r="BX64" s="1" t="s">
        <v>1064</v>
      </c>
      <c r="CH64" s="0" t="s">
        <v>454</v>
      </c>
      <c r="CI64" s="1" t="s">
        <v>1064</v>
      </c>
      <c r="CJ64" s="1" t="s">
        <v>1065</v>
      </c>
      <c r="CO64" s="1" t="s">
        <v>1066</v>
      </c>
      <c r="CR64" s="0" t="s">
        <v>1067</v>
      </c>
      <c r="CS64" s="0" t="s">
        <v>1068</v>
      </c>
    </row>
    <row r="65" customFormat="false" ht="75.6" hidden="false" customHeight="false" outlineLevel="0" collapsed="false">
      <c r="A65" s="0" t="s">
        <v>527</v>
      </c>
      <c r="B65" s="0" t="s">
        <v>801</v>
      </c>
      <c r="C65" s="0" t="s">
        <v>98</v>
      </c>
      <c r="D65" s="0" t="s">
        <v>99</v>
      </c>
      <c r="E65" s="0" t="s">
        <v>1069</v>
      </c>
      <c r="F65" s="0" t="s">
        <v>255</v>
      </c>
      <c r="G65" s="0" t="s">
        <v>256</v>
      </c>
      <c r="L65" s="0" t="str">
        <f aca="false">"1630"</f>
        <v>1630</v>
      </c>
      <c r="M65" s="1" t="s">
        <v>1070</v>
      </c>
      <c r="O65" s="1" t="s">
        <v>1071</v>
      </c>
      <c r="T65" s="0" t="s">
        <v>243</v>
      </c>
      <c r="U65" s="1" t="s">
        <v>1072</v>
      </c>
      <c r="V65" s="1" t="s">
        <v>1073</v>
      </c>
      <c r="AD65" s="1" t="s">
        <v>557</v>
      </c>
      <c r="AE65" s="1" t="s">
        <v>1074</v>
      </c>
      <c r="AF65" s="1" t="s">
        <v>263</v>
      </c>
      <c r="AO65" s="0" t="s">
        <v>792</v>
      </c>
      <c r="AT65" s="0" t="s">
        <v>139</v>
      </c>
      <c r="AU65" s="0" t="s">
        <v>112</v>
      </c>
      <c r="AV65" s="0" t="s">
        <v>113</v>
      </c>
      <c r="BD65" s="0" t="s">
        <v>265</v>
      </c>
      <c r="BE65" s="0" t="s">
        <v>620</v>
      </c>
      <c r="BF65" s="0" t="s">
        <v>142</v>
      </c>
      <c r="BJ65" s="1" t="s">
        <v>229</v>
      </c>
      <c r="BK65" s="1" t="s">
        <v>267</v>
      </c>
      <c r="BL65" s="1" t="s">
        <v>1075</v>
      </c>
      <c r="BM65" s="0" t="s">
        <v>674</v>
      </c>
      <c r="BN65" s="0" t="s">
        <v>1076</v>
      </c>
      <c r="BO65" s="0" t="str">
        <f aca="false">"118"</f>
        <v>118</v>
      </c>
      <c r="BU65" s="0" t="s">
        <v>1077</v>
      </c>
      <c r="BX65" s="1" t="s">
        <v>1078</v>
      </c>
      <c r="CH65" s="0" t="s">
        <v>145</v>
      </c>
      <c r="CI65" s="1" t="s">
        <v>1078</v>
      </c>
      <c r="CJ65" s="0" t="s">
        <v>1079</v>
      </c>
      <c r="CO65" s="0" t="s">
        <v>1080</v>
      </c>
      <c r="CR65" s="0" t="s">
        <v>1081</v>
      </c>
    </row>
    <row r="66" customFormat="false" ht="118.1" hidden="false" customHeight="false" outlineLevel="0" collapsed="false">
      <c r="A66" s="0" t="s">
        <v>96</v>
      </c>
      <c r="B66" s="0" t="s">
        <v>1082</v>
      </c>
      <c r="C66" s="0" t="s">
        <v>511</v>
      </c>
      <c r="D66" s="0" t="s">
        <v>512</v>
      </c>
      <c r="E66" s="0" t="s">
        <v>1083</v>
      </c>
      <c r="F66" s="0" t="s">
        <v>131</v>
      </c>
      <c r="H66" s="0" t="s">
        <v>102</v>
      </c>
      <c r="K66" s="0" t="s">
        <v>1084</v>
      </c>
      <c r="L66" s="0" t="str">
        <f aca="false">"1565"</f>
        <v>1565</v>
      </c>
      <c r="M66" s="1" t="s">
        <v>1085</v>
      </c>
      <c r="O66" s="1" t="s">
        <v>1086</v>
      </c>
      <c r="T66" s="0" t="s">
        <v>700</v>
      </c>
      <c r="U66" s="1" t="s">
        <v>1087</v>
      </c>
      <c r="V66" s="1" t="s">
        <v>1088</v>
      </c>
      <c r="AD66" s="0" t="s">
        <v>136</v>
      </c>
      <c r="AE66" s="0" t="s">
        <v>1089</v>
      </c>
      <c r="AF66" s="0" t="s">
        <v>518</v>
      </c>
      <c r="AO66" s="0" t="s">
        <v>1090</v>
      </c>
      <c r="AT66" s="0" t="s">
        <v>139</v>
      </c>
      <c r="AU66" s="0" t="s">
        <v>112</v>
      </c>
      <c r="BA66" s="0" t="s">
        <v>317</v>
      </c>
      <c r="BB66" s="0" t="s">
        <v>1091</v>
      </c>
      <c r="BD66" s="0" t="s">
        <v>140</v>
      </c>
      <c r="BE66" s="1" t="s">
        <v>1092</v>
      </c>
      <c r="BF66" s="0" t="s">
        <v>1093</v>
      </c>
      <c r="BJ66" s="0" t="s">
        <v>118</v>
      </c>
      <c r="BP66" s="0" t="s">
        <v>1094</v>
      </c>
      <c r="BQ66" s="0" t="str">
        <f aca="false">"9"</f>
        <v>9</v>
      </c>
      <c r="BR66" s="0" t="str">
        <f aca="false">"8"</f>
        <v>8</v>
      </c>
      <c r="BX66" s="0" t="s">
        <v>1095</v>
      </c>
      <c r="CI66" s="0" t="s">
        <v>1095</v>
      </c>
      <c r="CJ66" s="0" t="s">
        <v>1096</v>
      </c>
      <c r="CO66" s="0" t="s">
        <v>1097</v>
      </c>
    </row>
    <row r="67" customFormat="false" ht="65" hidden="false" customHeight="false" outlineLevel="0" collapsed="false">
      <c r="A67" s="0" t="s">
        <v>527</v>
      </c>
      <c r="B67" s="0" t="s">
        <v>994</v>
      </c>
      <c r="C67" s="0" t="s">
        <v>98</v>
      </c>
      <c r="D67" s="0" t="s">
        <v>99</v>
      </c>
      <c r="E67" s="0" t="s">
        <v>1098</v>
      </c>
      <c r="F67" s="0" t="s">
        <v>255</v>
      </c>
      <c r="G67" s="0" t="s">
        <v>256</v>
      </c>
      <c r="L67" s="0" t="str">
        <f aca="false">"1742"</f>
        <v>1742</v>
      </c>
      <c r="M67" s="0" t="s">
        <v>553</v>
      </c>
      <c r="O67" s="0" t="s">
        <v>600</v>
      </c>
      <c r="T67" s="0" t="s">
        <v>512</v>
      </c>
      <c r="U67" s="1" t="s">
        <v>1099</v>
      </c>
      <c r="V67" s="1" t="s">
        <v>1100</v>
      </c>
      <c r="AD67" s="1" t="s">
        <v>951</v>
      </c>
      <c r="AE67" s="1" t="s">
        <v>1101</v>
      </c>
      <c r="AF67" s="0" t="s">
        <v>518</v>
      </c>
      <c r="AO67" s="0" t="s">
        <v>539</v>
      </c>
      <c r="AT67" s="0" t="s">
        <v>139</v>
      </c>
      <c r="AU67" s="0" t="s">
        <v>112</v>
      </c>
      <c r="AV67" s="0" t="s">
        <v>113</v>
      </c>
      <c r="BD67" s="1" t="s">
        <v>999</v>
      </c>
      <c r="BE67" s="1" t="s">
        <v>1102</v>
      </c>
      <c r="BF67" s="1" t="s">
        <v>1103</v>
      </c>
      <c r="BJ67" s="1" t="s">
        <v>229</v>
      </c>
      <c r="BK67" s="1" t="s">
        <v>267</v>
      </c>
      <c r="BL67" s="1" t="s">
        <v>1104</v>
      </c>
      <c r="BM67" s="0" t="s">
        <v>560</v>
      </c>
      <c r="BN67" s="1" t="s">
        <v>270</v>
      </c>
      <c r="BO67" s="1" t="s">
        <v>1105</v>
      </c>
      <c r="BU67" s="0" t="s">
        <v>1106</v>
      </c>
      <c r="BX67" s="1" t="s">
        <v>1107</v>
      </c>
      <c r="CH67" s="0" t="s">
        <v>625</v>
      </c>
      <c r="CI67" s="1" t="s">
        <v>1107</v>
      </c>
      <c r="CJ67" s="1" t="s">
        <v>1108</v>
      </c>
      <c r="CO67" s="1" t="s">
        <v>1006</v>
      </c>
      <c r="CR67" s="0" t="s">
        <v>1109</v>
      </c>
    </row>
    <row r="68" customFormat="false" ht="12.8" hidden="false" customHeight="false" outlineLevel="0" collapsed="false">
      <c r="A68" s="0" t="s">
        <v>445</v>
      </c>
      <c r="B68" s="0" t="s">
        <v>1110</v>
      </c>
      <c r="C68" s="0" t="s">
        <v>224</v>
      </c>
      <c r="D68" s="0" t="s">
        <v>225</v>
      </c>
      <c r="E68" s="0" t="s">
        <v>1111</v>
      </c>
      <c r="F68" s="0" t="s">
        <v>192</v>
      </c>
      <c r="H68" s="0" t="s">
        <v>102</v>
      </c>
      <c r="L68" s="0" t="str">
        <f aca="false">"1611"</f>
        <v>1611</v>
      </c>
      <c r="M68" s="0" t="s">
        <v>448</v>
      </c>
      <c r="O68" s="0" t="s">
        <v>1112</v>
      </c>
      <c r="T68" s="0" t="s">
        <v>1113</v>
      </c>
      <c r="Z68" s="0" t="s">
        <v>1114</v>
      </c>
      <c r="AB68" s="0" t="s">
        <v>1115</v>
      </c>
      <c r="AS68" s="0" t="s">
        <v>1116</v>
      </c>
      <c r="AT68" s="0" t="s">
        <v>906</v>
      </c>
      <c r="AU68" s="0" t="s">
        <v>112</v>
      </c>
      <c r="AV68" s="0" t="s">
        <v>113</v>
      </c>
      <c r="BC68" s="0" t="str">
        <f aca="false">"561163626"</f>
        <v>561163626</v>
      </c>
      <c r="BD68" s="0" t="s">
        <v>1117</v>
      </c>
      <c r="BE68" s="0" t="s">
        <v>1118</v>
      </c>
      <c r="BJ68" s="0" t="s">
        <v>118</v>
      </c>
      <c r="BU68" s="0" t="s">
        <v>1119</v>
      </c>
      <c r="BX68" s="0" t="s">
        <v>1120</v>
      </c>
      <c r="CI68" s="0" t="s">
        <v>1120</v>
      </c>
      <c r="CJ68" s="0" t="s">
        <v>1121</v>
      </c>
      <c r="CO68" s="0" t="s">
        <v>1122</v>
      </c>
    </row>
    <row r="69" customFormat="false" ht="12.8" hidden="false" customHeight="false" outlineLevel="0" collapsed="false">
      <c r="A69" s="0" t="s">
        <v>190</v>
      </c>
      <c r="B69" s="0" t="s">
        <v>1123</v>
      </c>
      <c r="C69" s="0" t="s">
        <v>224</v>
      </c>
      <c r="D69" s="0" t="s">
        <v>225</v>
      </c>
      <c r="E69" s="0" t="s">
        <v>1124</v>
      </c>
      <c r="K69" s="2" t="s">
        <v>1125</v>
      </c>
      <c r="Z69" s="0" t="s">
        <v>1126</v>
      </c>
      <c r="AS69" s="0" t="s">
        <v>1116</v>
      </c>
      <c r="AT69" s="0" t="s">
        <v>906</v>
      </c>
      <c r="AU69" s="0" t="s">
        <v>892</v>
      </c>
      <c r="AY69" s="0" t="s">
        <v>1127</v>
      </c>
      <c r="BC69" s="0" t="e">
        <f aca="false">"</f>
        <v>#NAME?</v>
      </c>
      <c r="BD69" s="0" t="s">
        <v>1128</v>
      </c>
      <c r="BW69" s="0" t="s">
        <v>1129</v>
      </c>
      <c r="CK69" s="0" t="s">
        <v>1130</v>
      </c>
      <c r="CP69" s="0" t="s">
        <v>1131</v>
      </c>
    </row>
    <row r="70" customFormat="false" ht="12.8" hidden="false" customHeight="false" outlineLevel="0" collapsed="false">
      <c r="A70" s="0" t="s">
        <v>445</v>
      </c>
      <c r="B70" s="0" t="s">
        <v>1132</v>
      </c>
      <c r="C70" s="0" t="s">
        <v>224</v>
      </c>
      <c r="D70" s="0" t="s">
        <v>225</v>
      </c>
      <c r="E70" s="0" t="s">
        <v>1133</v>
      </c>
      <c r="L70" s="0" t="str">
        <f aca="false">"1639"</f>
        <v>1639</v>
      </c>
      <c r="U70" s="0" t="s">
        <v>1134</v>
      </c>
      <c r="V70" s="0" t="s">
        <v>1135</v>
      </c>
      <c r="Z70" s="0" t="s">
        <v>1136</v>
      </c>
      <c r="AB70" s="0" t="s">
        <v>1137</v>
      </c>
      <c r="AG70" s="0" t="s">
        <v>224</v>
      </c>
      <c r="AH70" s="0" t="s">
        <v>225</v>
      </c>
      <c r="AI70" s="0" t="s">
        <v>1138</v>
      </c>
      <c r="AS70" s="0" t="s">
        <v>1139</v>
      </c>
      <c r="AT70" s="0" t="s">
        <v>906</v>
      </c>
      <c r="AU70" s="0" t="s">
        <v>112</v>
      </c>
      <c r="AY70" s="0" t="s">
        <v>1140</v>
      </c>
      <c r="BC70" s="0" t="e">
        <f aca="false">"</f>
        <v>#NAME?</v>
      </c>
      <c r="BD70" s="0" t="s">
        <v>1141</v>
      </c>
      <c r="BV70" s="0" t="s">
        <v>1142</v>
      </c>
      <c r="BY70" s="0" t="s">
        <v>1143</v>
      </c>
      <c r="CJ70" s="0" t="s">
        <v>1143</v>
      </c>
      <c r="CK70" s="0" t="s">
        <v>1144</v>
      </c>
      <c r="CP70" s="0" t="s">
        <v>1145</v>
      </c>
    </row>
    <row r="71" customFormat="false" ht="22.5" hidden="false" customHeight="false" outlineLevel="0" collapsed="false">
      <c r="A71" s="0" t="s">
        <v>445</v>
      </c>
      <c r="B71" s="0" t="s">
        <v>1146</v>
      </c>
      <c r="C71" s="0" t="s">
        <v>224</v>
      </c>
      <c r="D71" s="0" t="s">
        <v>225</v>
      </c>
      <c r="E71" s="0" t="s">
        <v>1147</v>
      </c>
      <c r="F71" s="0" t="s">
        <v>192</v>
      </c>
      <c r="H71" s="0" t="s">
        <v>102</v>
      </c>
      <c r="L71" s="0" t="str">
        <f aca="false">"1639"</f>
        <v>1639</v>
      </c>
      <c r="M71" s="1" t="s">
        <v>1148</v>
      </c>
      <c r="O71" s="1" t="s">
        <v>1149</v>
      </c>
      <c r="T71" s="0" t="s">
        <v>1150</v>
      </c>
      <c r="U71" s="1" t="s">
        <v>1151</v>
      </c>
      <c r="Z71" s="0" t="s">
        <v>1152</v>
      </c>
      <c r="AB71" s="1" t="s">
        <v>1153</v>
      </c>
      <c r="AG71" s="0" t="s">
        <v>224</v>
      </c>
      <c r="AH71" s="0" t="s">
        <v>225</v>
      </c>
      <c r="AI71" s="0" t="s">
        <v>1154</v>
      </c>
      <c r="AS71" s="0" t="s">
        <v>1155</v>
      </c>
      <c r="AT71" s="0" t="s">
        <v>906</v>
      </c>
      <c r="AU71" s="0" t="s">
        <v>112</v>
      </c>
      <c r="AV71" s="0" t="s">
        <v>113</v>
      </c>
      <c r="BC71" s="0" t="str">
        <f aca="false">"  538716711"</f>
        <v>  538716711</v>
      </c>
      <c r="BD71" s="0" t="s">
        <v>1117</v>
      </c>
      <c r="BE71" s="0" t="s">
        <v>1156</v>
      </c>
      <c r="BJ71" s="0" t="s">
        <v>118</v>
      </c>
      <c r="BU71" s="0" t="s">
        <v>1157</v>
      </c>
      <c r="BV71" s="0" t="s">
        <v>1158</v>
      </c>
      <c r="BX71" s="0" t="s">
        <v>1159</v>
      </c>
      <c r="CI71" s="0" t="s">
        <v>1159</v>
      </c>
      <c r="CJ71" s="0" t="s">
        <v>1160</v>
      </c>
      <c r="CO71" s="0" t="s">
        <v>1146</v>
      </c>
    </row>
    <row r="72" customFormat="false" ht="22.5" hidden="false" customHeight="false" outlineLevel="0" collapsed="false">
      <c r="A72" s="0" t="s">
        <v>96</v>
      </c>
      <c r="B72" s="0" t="s">
        <v>1161</v>
      </c>
      <c r="C72" s="0" t="s">
        <v>224</v>
      </c>
      <c r="D72" s="0" t="s">
        <v>225</v>
      </c>
      <c r="E72" s="0" t="s">
        <v>1162</v>
      </c>
      <c r="L72" s="0" t="str">
        <f aca="false">"1642"</f>
        <v>1642</v>
      </c>
      <c r="M72" s="1" t="s">
        <v>1148</v>
      </c>
      <c r="O72" s="1" t="s">
        <v>1163</v>
      </c>
      <c r="T72" s="0" t="s">
        <v>1164</v>
      </c>
      <c r="U72" s="0" t="s">
        <v>1165</v>
      </c>
      <c r="Z72" s="0" t="s">
        <v>1166</v>
      </c>
      <c r="AB72" s="0" t="s">
        <v>1167</v>
      </c>
      <c r="AD72" s="0" t="s">
        <v>136</v>
      </c>
      <c r="AE72" s="0" t="s">
        <v>1168</v>
      </c>
      <c r="AF72" s="0" t="s">
        <v>109</v>
      </c>
      <c r="AG72" s="0" t="s">
        <v>224</v>
      </c>
      <c r="AH72" s="0" t="s">
        <v>225</v>
      </c>
      <c r="AI72" s="0" t="s">
        <v>1169</v>
      </c>
      <c r="AS72" s="0" t="s">
        <v>1170</v>
      </c>
      <c r="AT72" s="0" t="s">
        <v>906</v>
      </c>
      <c r="AU72" s="0" t="s">
        <v>112</v>
      </c>
      <c r="AV72" s="0" t="s">
        <v>113</v>
      </c>
      <c r="AY72" s="0" t="s">
        <v>1171</v>
      </c>
      <c r="BC72" s="0" t="s">
        <v>1172</v>
      </c>
      <c r="BD72" s="0" t="s">
        <v>873</v>
      </c>
      <c r="BE72" s="0" t="s">
        <v>1173</v>
      </c>
      <c r="BJ72" s="0" t="s">
        <v>118</v>
      </c>
      <c r="BU72" s="0" t="s">
        <v>1174</v>
      </c>
      <c r="BX72" s="0" t="s">
        <v>1175</v>
      </c>
      <c r="CH72" s="0" t="s">
        <v>342</v>
      </c>
      <c r="CI72" s="0" t="s">
        <v>1175</v>
      </c>
      <c r="CJ72" s="0" t="s">
        <v>1176</v>
      </c>
      <c r="CO72" s="0" t="s">
        <v>1177</v>
      </c>
    </row>
    <row r="73" customFormat="false" ht="65" hidden="false" customHeight="false" outlineLevel="0" collapsed="false">
      <c r="A73" s="0" t="s">
        <v>445</v>
      </c>
      <c r="B73" s="0" t="s">
        <v>1178</v>
      </c>
      <c r="C73" s="0" t="s">
        <v>224</v>
      </c>
      <c r="D73" s="0" t="s">
        <v>225</v>
      </c>
      <c r="E73" s="0" t="s">
        <v>1179</v>
      </c>
      <c r="L73" s="0" t="str">
        <f aca="false">"1642"</f>
        <v>1642</v>
      </c>
      <c r="M73" s="1" t="s">
        <v>370</v>
      </c>
      <c r="O73" s="1" t="s">
        <v>1180</v>
      </c>
      <c r="T73" s="0" t="s">
        <v>225</v>
      </c>
      <c r="U73" s="1" t="s">
        <v>1181</v>
      </c>
      <c r="Z73" s="0" t="s">
        <v>1182</v>
      </c>
      <c r="AB73" s="0" t="s">
        <v>1183</v>
      </c>
      <c r="AS73" s="0" t="s">
        <v>1184</v>
      </c>
      <c r="AT73" s="0" t="s">
        <v>906</v>
      </c>
      <c r="AU73" s="0" t="s">
        <v>112</v>
      </c>
      <c r="AV73" s="0" t="s">
        <v>113</v>
      </c>
      <c r="AY73" s="0" t="s">
        <v>1185</v>
      </c>
      <c r="BC73" s="0" t="str">
        <f aca="false">"150190549"</f>
        <v>150190549</v>
      </c>
      <c r="BU73" s="1" t="s">
        <v>1186</v>
      </c>
      <c r="BV73" s="1" t="s">
        <v>1187</v>
      </c>
      <c r="BX73" s="1" t="s">
        <v>1188</v>
      </c>
      <c r="CF73" s="1" t="s">
        <v>1189</v>
      </c>
      <c r="CG73" s="0" t="s">
        <v>123</v>
      </c>
      <c r="CH73" s="0" t="s">
        <v>454</v>
      </c>
      <c r="CI73" s="1" t="s">
        <v>1188</v>
      </c>
      <c r="CJ73" s="0" t="s">
        <v>1190</v>
      </c>
      <c r="CL73" s="0" t="s">
        <v>1191</v>
      </c>
      <c r="CM73" s="0" t="s">
        <v>1191</v>
      </c>
      <c r="CO73" s="0" t="s">
        <v>1192</v>
      </c>
      <c r="CR73" s="0" t="s">
        <v>1193</v>
      </c>
    </row>
    <row r="74" customFormat="false" ht="12.8" hidden="false" customHeight="false" outlineLevel="0" collapsed="false">
      <c r="A74" s="0" t="s">
        <v>445</v>
      </c>
      <c r="B74" s="0" t="s">
        <v>1194</v>
      </c>
      <c r="C74" s="0" t="s">
        <v>224</v>
      </c>
      <c r="D74" s="0" t="s">
        <v>225</v>
      </c>
      <c r="E74" s="0" t="s">
        <v>1195</v>
      </c>
      <c r="L74" s="0" t="str">
        <f aca="false">"1645"</f>
        <v>1645</v>
      </c>
      <c r="M74" s="0" t="s">
        <v>448</v>
      </c>
      <c r="O74" s="0" t="s">
        <v>1196</v>
      </c>
      <c r="Z74" s="0" t="s">
        <v>1197</v>
      </c>
      <c r="AB74" s="0" t="s">
        <v>1198</v>
      </c>
      <c r="AS74" s="0" t="s">
        <v>1199</v>
      </c>
      <c r="AT74" s="0" t="s">
        <v>1200</v>
      </c>
      <c r="AU74" s="0" t="s">
        <v>112</v>
      </c>
      <c r="AY74" s="0" t="s">
        <v>1201</v>
      </c>
      <c r="BC74" s="0" t="str">
        <f aca="false">"150356544"</f>
        <v>150356544</v>
      </c>
      <c r="BU74" s="0" t="s">
        <v>1202</v>
      </c>
      <c r="BX74" s="0" t="s">
        <v>1203</v>
      </c>
      <c r="CI74" s="0" t="s">
        <v>1203</v>
      </c>
      <c r="CJ74" s="0" t="s">
        <v>1204</v>
      </c>
      <c r="CO74" s="0" t="s">
        <v>1205</v>
      </c>
    </row>
    <row r="75" customFormat="false" ht="107.5" hidden="false" customHeight="false" outlineLevel="0" collapsed="false">
      <c r="A75" s="0" t="s">
        <v>96</v>
      </c>
      <c r="B75" s="0" t="s">
        <v>1206</v>
      </c>
      <c r="C75" s="0" t="s">
        <v>98</v>
      </c>
      <c r="D75" s="0" t="s">
        <v>99</v>
      </c>
      <c r="E75" s="0" t="s">
        <v>1207</v>
      </c>
      <c r="F75" s="1" t="s">
        <v>714</v>
      </c>
      <c r="H75" s="0" t="s">
        <v>102</v>
      </c>
      <c r="L75" s="0" t="str">
        <f aca="false">"1645"</f>
        <v>1645</v>
      </c>
      <c r="M75" s="0" t="s">
        <v>150</v>
      </c>
      <c r="O75" s="0" t="s">
        <v>1208</v>
      </c>
      <c r="T75" s="0" t="s">
        <v>1209</v>
      </c>
      <c r="U75" s="1" t="s">
        <v>1210</v>
      </c>
      <c r="V75" s="1" t="s">
        <v>1211</v>
      </c>
      <c r="AD75" s="0" t="s">
        <v>107</v>
      </c>
      <c r="AE75" s="0" t="s">
        <v>1212</v>
      </c>
      <c r="AF75" s="0" t="s">
        <v>109</v>
      </c>
      <c r="AG75" s="0" t="s">
        <v>1213</v>
      </c>
      <c r="AH75" s="0" t="s">
        <v>1214</v>
      </c>
      <c r="AI75" s="0" t="s">
        <v>1215</v>
      </c>
      <c r="AJ75" s="0" t="s">
        <v>1216</v>
      </c>
      <c r="AO75" s="0" t="s">
        <v>161</v>
      </c>
      <c r="AT75" s="0" t="s">
        <v>111</v>
      </c>
      <c r="AU75" s="0" t="s">
        <v>112</v>
      </c>
      <c r="AV75" s="0" t="s">
        <v>113</v>
      </c>
      <c r="AY75" s="0" t="s">
        <v>1217</v>
      </c>
      <c r="BD75" s="0" t="s">
        <v>265</v>
      </c>
      <c r="BE75" s="0" t="s">
        <v>1218</v>
      </c>
      <c r="BF75" s="0" t="s">
        <v>1219</v>
      </c>
      <c r="BG75" s="0" t="s">
        <v>98</v>
      </c>
      <c r="BH75" s="0" t="s">
        <v>116</v>
      </c>
      <c r="BI75" s="1" t="s">
        <v>1220</v>
      </c>
      <c r="BJ75" s="1" t="s">
        <v>229</v>
      </c>
      <c r="BU75" s="1" t="s">
        <v>1221</v>
      </c>
      <c r="BX75" s="1" t="s">
        <v>1222</v>
      </c>
      <c r="CF75" s="1" t="s">
        <v>1223</v>
      </c>
      <c r="CG75" s="0" t="s">
        <v>123</v>
      </c>
      <c r="CH75" s="0" t="s">
        <v>298</v>
      </c>
      <c r="CI75" s="1" t="s">
        <v>1222</v>
      </c>
      <c r="CJ75" s="1" t="s">
        <v>1224</v>
      </c>
      <c r="CL75" s="0" t="s">
        <v>1225</v>
      </c>
      <c r="CM75" s="0" t="s">
        <v>1225</v>
      </c>
      <c r="CO75" s="1" t="s">
        <v>1226</v>
      </c>
      <c r="CR75" s="0" t="s">
        <v>1227</v>
      </c>
    </row>
    <row r="76" customFormat="false" ht="43.75" hidden="false" customHeight="false" outlineLevel="0" collapsed="false">
      <c r="A76" s="0" t="s">
        <v>96</v>
      </c>
      <c r="B76" s="0" t="s">
        <v>1228</v>
      </c>
      <c r="C76" s="0" t="s">
        <v>224</v>
      </c>
      <c r="D76" s="0" t="s">
        <v>225</v>
      </c>
      <c r="E76" s="0" t="s">
        <v>1229</v>
      </c>
      <c r="L76" s="0" t="str">
        <f aca="false">"1648"</f>
        <v>1648</v>
      </c>
      <c r="Z76" s="0" t="s">
        <v>1230</v>
      </c>
      <c r="AB76" s="0" t="s">
        <v>1231</v>
      </c>
      <c r="AD76" s="0" t="s">
        <v>136</v>
      </c>
      <c r="AE76" s="0" t="s">
        <v>1232</v>
      </c>
      <c r="AF76" s="0" t="s">
        <v>109</v>
      </c>
      <c r="AS76" s="0" t="s">
        <v>1170</v>
      </c>
      <c r="AT76" s="0" t="s">
        <v>906</v>
      </c>
      <c r="AU76" s="0" t="s">
        <v>112</v>
      </c>
      <c r="AV76" s="0" t="s">
        <v>113</v>
      </c>
      <c r="AY76" s="0" t="s">
        <v>1233</v>
      </c>
      <c r="BV76" s="1" t="s">
        <v>1234</v>
      </c>
      <c r="BX76" s="0" t="s">
        <v>1235</v>
      </c>
      <c r="CF76" s="1" t="s">
        <v>1236</v>
      </c>
      <c r="CG76" s="0" t="s">
        <v>123</v>
      </c>
      <c r="CH76" s="0" t="s">
        <v>454</v>
      </c>
      <c r="CI76" s="0" t="s">
        <v>1235</v>
      </c>
      <c r="CJ76" s="0" t="s">
        <v>1237</v>
      </c>
      <c r="CL76" s="0" t="s">
        <v>1238</v>
      </c>
      <c r="CM76" s="0" t="s">
        <v>1238</v>
      </c>
      <c r="CO76" s="0" t="s">
        <v>1239</v>
      </c>
      <c r="CR76" s="0" t="s">
        <v>1240</v>
      </c>
    </row>
    <row r="77" customFormat="false" ht="107.5" hidden="false" customHeight="false" outlineLevel="0" collapsed="false">
      <c r="A77" s="0" t="s">
        <v>96</v>
      </c>
      <c r="B77" s="0" t="s">
        <v>1241</v>
      </c>
      <c r="C77" s="0" t="s">
        <v>98</v>
      </c>
      <c r="D77" s="0" t="s">
        <v>99</v>
      </c>
      <c r="E77" s="0" t="s">
        <v>1242</v>
      </c>
      <c r="F77" s="1" t="s">
        <v>714</v>
      </c>
      <c r="I77" s="0" t="str">
        <f aca="false">"1621"</f>
        <v>1621</v>
      </c>
      <c r="J77" s="0" t="str">
        <f aca="false">"1625"</f>
        <v>1625</v>
      </c>
      <c r="M77" s="0" t="s">
        <v>1243</v>
      </c>
      <c r="U77" s="1" t="s">
        <v>1244</v>
      </c>
      <c r="V77" s="1" t="s">
        <v>1245</v>
      </c>
      <c r="AD77" s="0" t="s">
        <v>107</v>
      </c>
      <c r="AE77" s="0" t="s">
        <v>1246</v>
      </c>
      <c r="AF77" s="0" t="s">
        <v>109</v>
      </c>
      <c r="AO77" s="0" t="s">
        <v>161</v>
      </c>
      <c r="AT77" s="0" t="s">
        <v>139</v>
      </c>
      <c r="AU77" s="0" t="s">
        <v>112</v>
      </c>
      <c r="AV77" s="0" t="s">
        <v>113</v>
      </c>
      <c r="AY77" s="0" t="s">
        <v>1247</v>
      </c>
      <c r="BG77" s="0" t="s">
        <v>98</v>
      </c>
      <c r="BH77" s="0" t="s">
        <v>116</v>
      </c>
      <c r="BI77" s="0" t="s">
        <v>228</v>
      </c>
      <c r="BJ77" s="0" t="s">
        <v>185</v>
      </c>
      <c r="BU77" s="1" t="s">
        <v>1248</v>
      </c>
      <c r="BX77" s="0" t="s">
        <v>1249</v>
      </c>
      <c r="CF77" s="0" t="s">
        <v>1250</v>
      </c>
      <c r="CG77" s="0" t="s">
        <v>123</v>
      </c>
      <c r="CH77" s="0" t="s">
        <v>454</v>
      </c>
      <c r="CI77" s="0" t="s">
        <v>1249</v>
      </c>
      <c r="CJ77" s="0" t="s">
        <v>1251</v>
      </c>
      <c r="CL77" s="0" t="s">
        <v>1252</v>
      </c>
      <c r="CM77" s="0" t="s">
        <v>1252</v>
      </c>
      <c r="CO77" s="0" t="s">
        <v>1253</v>
      </c>
      <c r="CR77" s="0" t="s">
        <v>1254</v>
      </c>
    </row>
    <row r="78" customFormat="false" ht="43.75" hidden="false" customHeight="false" outlineLevel="0" collapsed="false">
      <c r="A78" s="0" t="s">
        <v>96</v>
      </c>
      <c r="B78" s="0" t="s">
        <v>1255</v>
      </c>
      <c r="C78" s="0" t="s">
        <v>98</v>
      </c>
      <c r="D78" s="0" t="s">
        <v>99</v>
      </c>
      <c r="E78" s="0" t="s">
        <v>1256</v>
      </c>
      <c r="F78" s="1" t="s">
        <v>149</v>
      </c>
      <c r="H78" s="0" t="s">
        <v>102</v>
      </c>
      <c r="I78" s="0" t="str">
        <f aca="false">"1648"</f>
        <v>1648</v>
      </c>
      <c r="J78" s="0" t="str">
        <f aca="false">"1649"</f>
        <v>1649</v>
      </c>
      <c r="M78" s="0" t="s">
        <v>150</v>
      </c>
      <c r="O78" s="0" t="s">
        <v>1257</v>
      </c>
      <c r="U78" s="1" t="s">
        <v>1258</v>
      </c>
      <c r="V78" s="1" t="s">
        <v>1259</v>
      </c>
      <c r="AD78" s="1" t="s">
        <v>1260</v>
      </c>
      <c r="AE78" s="1" t="s">
        <v>1261</v>
      </c>
      <c r="AF78" s="0" t="s">
        <v>109</v>
      </c>
      <c r="AO78" s="0" t="s">
        <v>161</v>
      </c>
      <c r="AT78" s="0" t="s">
        <v>139</v>
      </c>
      <c r="AU78" s="0" t="s">
        <v>112</v>
      </c>
      <c r="AV78" s="0" t="s">
        <v>113</v>
      </c>
      <c r="AY78" s="0" t="s">
        <v>1262</v>
      </c>
      <c r="BG78" s="0" t="s">
        <v>98</v>
      </c>
      <c r="BH78" s="0" t="s">
        <v>116</v>
      </c>
      <c r="BI78" s="0" t="s">
        <v>293</v>
      </c>
      <c r="BJ78" s="0" t="s">
        <v>185</v>
      </c>
      <c r="BU78" s="0" t="s">
        <v>1263</v>
      </c>
      <c r="BX78" s="0" t="s">
        <v>1264</v>
      </c>
      <c r="CH78" s="0" t="s">
        <v>1265</v>
      </c>
      <c r="CI78" s="0" t="s">
        <v>1264</v>
      </c>
      <c r="CJ78" s="1" t="s">
        <v>1266</v>
      </c>
      <c r="CO78" s="1" t="s">
        <v>1267</v>
      </c>
      <c r="CR78" s="0" t="s">
        <v>1268</v>
      </c>
    </row>
    <row r="79" customFormat="false" ht="107.5" hidden="false" customHeight="false" outlineLevel="0" collapsed="false">
      <c r="A79" s="0" t="s">
        <v>96</v>
      </c>
      <c r="B79" s="0" t="s">
        <v>1269</v>
      </c>
      <c r="C79" s="0" t="s">
        <v>98</v>
      </c>
      <c r="D79" s="0" t="s">
        <v>99</v>
      </c>
      <c r="E79" s="0" t="s">
        <v>1270</v>
      </c>
      <c r="F79" s="1" t="s">
        <v>149</v>
      </c>
      <c r="H79" s="0" t="s">
        <v>102</v>
      </c>
      <c r="K79" s="0" t="s">
        <v>1271</v>
      </c>
      <c r="L79" s="0" t="str">
        <f aca="false">"1648"</f>
        <v>1648</v>
      </c>
      <c r="M79" s="1" t="s">
        <v>370</v>
      </c>
      <c r="O79" s="1" t="s">
        <v>1272</v>
      </c>
      <c r="T79" s="0" t="s">
        <v>1273</v>
      </c>
      <c r="U79" s="1" t="s">
        <v>1274</v>
      </c>
      <c r="V79" s="1" t="s">
        <v>1275</v>
      </c>
      <c r="AD79" s="0" t="s">
        <v>107</v>
      </c>
      <c r="AE79" s="0" t="s">
        <v>1276</v>
      </c>
      <c r="AF79" s="0" t="s">
        <v>109</v>
      </c>
      <c r="AG79" s="0" t="s">
        <v>98</v>
      </c>
      <c r="AH79" s="0" t="s">
        <v>99</v>
      </c>
      <c r="AI79" s="0" t="s">
        <v>1277</v>
      </c>
      <c r="AO79" s="0" t="s">
        <v>161</v>
      </c>
      <c r="AT79" s="0" t="s">
        <v>139</v>
      </c>
      <c r="AU79" s="0" t="s">
        <v>112</v>
      </c>
      <c r="AV79" s="0" t="s">
        <v>113</v>
      </c>
      <c r="AZ79" s="0" t="s">
        <v>1278</v>
      </c>
      <c r="BG79" s="0" t="s">
        <v>98</v>
      </c>
      <c r="BH79" s="0" t="s">
        <v>116</v>
      </c>
      <c r="BI79" s="0" t="s">
        <v>228</v>
      </c>
      <c r="BJ79" s="0" t="s">
        <v>185</v>
      </c>
      <c r="BU79" s="1" t="s">
        <v>1279</v>
      </c>
      <c r="BX79" s="1" t="s">
        <v>1280</v>
      </c>
      <c r="CF79" s="0" t="s">
        <v>1281</v>
      </c>
      <c r="CG79" s="0" t="s">
        <v>123</v>
      </c>
      <c r="CH79" s="0" t="s">
        <v>454</v>
      </c>
      <c r="CI79" s="1" t="s">
        <v>1280</v>
      </c>
      <c r="CJ79" s="1" t="s">
        <v>1282</v>
      </c>
      <c r="CL79" s="0" t="s">
        <v>1283</v>
      </c>
      <c r="CM79" s="0" t="s">
        <v>1283</v>
      </c>
      <c r="CO79" s="1" t="s">
        <v>1284</v>
      </c>
      <c r="CR79" s="0" t="s">
        <v>1285</v>
      </c>
    </row>
    <row r="80" customFormat="false" ht="43.75" hidden="false" customHeight="false" outlineLevel="0" collapsed="false">
      <c r="A80" s="0" t="s">
        <v>190</v>
      </c>
      <c r="B80" s="0" t="s">
        <v>1286</v>
      </c>
      <c r="C80" s="0" t="s">
        <v>1287</v>
      </c>
      <c r="D80" s="0" t="s">
        <v>1288</v>
      </c>
      <c r="E80" s="0" t="s">
        <v>1289</v>
      </c>
      <c r="F80" s="0" t="s">
        <v>192</v>
      </c>
      <c r="H80" s="0" t="s">
        <v>102</v>
      </c>
      <c r="L80" s="0" t="str">
        <f aca="false">"1748"</f>
        <v>1748</v>
      </c>
      <c r="M80" s="1" t="s">
        <v>1290</v>
      </c>
      <c r="O80" s="1" t="s">
        <v>1291</v>
      </c>
      <c r="T80" s="0" t="s">
        <v>512</v>
      </c>
      <c r="U80" s="0" t="s">
        <v>759</v>
      </c>
      <c r="V80" s="0" t="s">
        <v>1292</v>
      </c>
      <c r="AG80" s="0" t="s">
        <v>1287</v>
      </c>
      <c r="AH80" s="0" t="s">
        <v>1288</v>
      </c>
      <c r="AI80" s="0" t="s">
        <v>1293</v>
      </c>
      <c r="AO80" s="0" t="s">
        <v>765</v>
      </c>
      <c r="AT80" s="0" t="s">
        <v>139</v>
      </c>
      <c r="AU80" s="0" t="s">
        <v>112</v>
      </c>
      <c r="AY80" s="0" t="s">
        <v>1294</v>
      </c>
      <c r="BX80" s="0" t="s">
        <v>1295</v>
      </c>
      <c r="CI80" s="0" t="s">
        <v>1295</v>
      </c>
      <c r="CP80" s="0" t="s">
        <v>1296</v>
      </c>
    </row>
    <row r="81" customFormat="false" ht="43.75" hidden="false" customHeight="false" outlineLevel="0" collapsed="false">
      <c r="A81" s="0" t="s">
        <v>96</v>
      </c>
      <c r="B81" s="0" t="s">
        <v>1297</v>
      </c>
      <c r="C81" s="0" t="s">
        <v>511</v>
      </c>
      <c r="D81" s="0" t="s">
        <v>512</v>
      </c>
      <c r="E81" s="0" t="s">
        <v>1298</v>
      </c>
      <c r="F81" s="1" t="s">
        <v>149</v>
      </c>
      <c r="H81" s="0" t="s">
        <v>102</v>
      </c>
      <c r="L81" s="0" t="str">
        <f aca="false">"1748"</f>
        <v>1748</v>
      </c>
      <c r="M81" s="1" t="s">
        <v>132</v>
      </c>
      <c r="O81" s="1" t="s">
        <v>1299</v>
      </c>
      <c r="T81" s="0" t="s">
        <v>512</v>
      </c>
      <c r="U81" s="1" t="s">
        <v>1300</v>
      </c>
      <c r="V81" s="1" t="s">
        <v>1301</v>
      </c>
      <c r="AD81" s="0" t="s">
        <v>155</v>
      </c>
      <c r="AE81" s="0" t="s">
        <v>1302</v>
      </c>
      <c r="AF81" s="0" t="s">
        <v>518</v>
      </c>
      <c r="AO81" s="0" t="s">
        <v>138</v>
      </c>
      <c r="AP81" s="0" t="s">
        <v>1286</v>
      </c>
      <c r="AT81" s="0" t="s">
        <v>139</v>
      </c>
      <c r="AU81" s="0" t="s">
        <v>112</v>
      </c>
      <c r="BD81" s="0" t="s">
        <v>140</v>
      </c>
      <c r="BE81" s="1" t="s">
        <v>1303</v>
      </c>
      <c r="BF81" s="1" t="s">
        <v>163</v>
      </c>
      <c r="BV81" s="1" t="s">
        <v>1304</v>
      </c>
      <c r="BX81" s="1" t="s">
        <v>1305</v>
      </c>
      <c r="CI81" s="1" t="s">
        <v>1305</v>
      </c>
      <c r="CJ81" s="0" t="s">
        <v>1306</v>
      </c>
      <c r="CO81" s="0" t="s">
        <v>1297</v>
      </c>
    </row>
    <row r="82" customFormat="false" ht="12.8" hidden="false" customHeight="false" outlineLevel="0" collapsed="false">
      <c r="A82" s="0" t="s">
        <v>190</v>
      </c>
      <c r="B82" s="0" t="s">
        <v>1307</v>
      </c>
      <c r="C82" s="0" t="s">
        <v>98</v>
      </c>
      <c r="D82" s="0" t="s">
        <v>99</v>
      </c>
      <c r="E82" s="0" t="s">
        <v>1308</v>
      </c>
      <c r="F82" s="0" t="s">
        <v>192</v>
      </c>
      <c r="Z82" s="0" t="s">
        <v>1309</v>
      </c>
      <c r="AO82" s="0" t="s">
        <v>765</v>
      </c>
      <c r="AT82" s="0" t="s">
        <v>139</v>
      </c>
      <c r="AU82" s="0" t="s">
        <v>112</v>
      </c>
      <c r="AV82" s="0" t="s">
        <v>113</v>
      </c>
      <c r="CP82" s="0" t="s">
        <v>1310</v>
      </c>
    </row>
    <row r="83" customFormat="false" ht="33.1" hidden="false" customHeight="false" outlineLevel="0" collapsed="false">
      <c r="A83" s="0" t="s">
        <v>190</v>
      </c>
      <c r="B83" s="0" t="s">
        <v>1311</v>
      </c>
      <c r="C83" s="0" t="s">
        <v>98</v>
      </c>
      <c r="D83" s="0" t="s">
        <v>99</v>
      </c>
      <c r="E83" s="0" t="s">
        <v>1312</v>
      </c>
      <c r="F83" s="1" t="s">
        <v>201</v>
      </c>
      <c r="L83" s="0" t="str">
        <f aca="false">"1650"</f>
        <v>1650</v>
      </c>
      <c r="M83" s="1" t="s">
        <v>193</v>
      </c>
      <c r="O83" s="1" t="s">
        <v>1313</v>
      </c>
      <c r="T83" s="0" t="s">
        <v>99</v>
      </c>
      <c r="Z83" s="0" t="s">
        <v>1314</v>
      </c>
      <c r="AB83" s="0" t="s">
        <v>1315</v>
      </c>
      <c r="AG83" s="1" t="s">
        <v>1316</v>
      </c>
      <c r="AH83" s="1" t="s">
        <v>1317</v>
      </c>
      <c r="AI83" s="1" t="s">
        <v>1318</v>
      </c>
      <c r="AJ83" s="0" t="s">
        <v>1319</v>
      </c>
      <c r="AP83" s="0" t="s">
        <v>1307</v>
      </c>
      <c r="AS83" s="0" t="s">
        <v>1320</v>
      </c>
      <c r="AT83" s="0" t="s">
        <v>1321</v>
      </c>
      <c r="AU83" s="0" t="s">
        <v>872</v>
      </c>
      <c r="AY83" s="0" t="s">
        <v>1322</v>
      </c>
      <c r="BC83" s="0" t="str">
        <f aca="false">"625878620"</f>
        <v>625878620</v>
      </c>
      <c r="BX83" s="1" t="s">
        <v>1323</v>
      </c>
      <c r="CI83" s="1" t="s">
        <v>1323</v>
      </c>
      <c r="CJ83" s="0" t="s">
        <v>1324</v>
      </c>
      <c r="CO83" s="0" t="s">
        <v>1325</v>
      </c>
    </row>
    <row r="84" customFormat="false" ht="54.35" hidden="false" customHeight="false" outlineLevel="0" collapsed="false">
      <c r="A84" s="0" t="s">
        <v>96</v>
      </c>
      <c r="B84" s="0" t="s">
        <v>1326</v>
      </c>
      <c r="C84" s="0" t="s">
        <v>98</v>
      </c>
      <c r="D84" s="0" t="s">
        <v>99</v>
      </c>
      <c r="E84" s="0" t="s">
        <v>1327</v>
      </c>
      <c r="F84" s="1" t="s">
        <v>714</v>
      </c>
      <c r="H84" s="0" t="s">
        <v>102</v>
      </c>
      <c r="L84" s="0" t="str">
        <f aca="false">"1648"</f>
        <v>1648</v>
      </c>
      <c r="M84" s="0" t="s">
        <v>150</v>
      </c>
      <c r="O84" s="0" t="s">
        <v>1328</v>
      </c>
      <c r="T84" s="0" t="s">
        <v>247</v>
      </c>
      <c r="U84" s="1" t="s">
        <v>1329</v>
      </c>
      <c r="V84" s="1" t="s">
        <v>1330</v>
      </c>
      <c r="Z84" s="0" t="s">
        <v>1331</v>
      </c>
      <c r="AD84" s="0" t="s">
        <v>136</v>
      </c>
      <c r="AE84" s="0" t="s">
        <v>1332</v>
      </c>
      <c r="AF84" s="0" t="s">
        <v>109</v>
      </c>
      <c r="AG84" s="0" t="s">
        <v>397</v>
      </c>
      <c r="AH84" s="0" t="s">
        <v>398</v>
      </c>
      <c r="AI84" s="0" t="s">
        <v>1333</v>
      </c>
      <c r="AO84" s="0" t="s">
        <v>161</v>
      </c>
      <c r="AT84" s="0" t="s">
        <v>111</v>
      </c>
      <c r="AU84" s="0" t="s">
        <v>112</v>
      </c>
      <c r="AV84" s="0" t="s">
        <v>113</v>
      </c>
      <c r="AY84" s="0" t="s">
        <v>1334</v>
      </c>
      <c r="BE84" s="0" t="s">
        <v>1335</v>
      </c>
      <c r="BF84" s="0" t="s">
        <v>142</v>
      </c>
      <c r="BG84" s="0" t="s">
        <v>98</v>
      </c>
      <c r="BH84" s="0" t="s">
        <v>116</v>
      </c>
      <c r="BI84" s="0" t="s">
        <v>228</v>
      </c>
      <c r="BJ84" s="1" t="s">
        <v>229</v>
      </c>
      <c r="BU84" s="0" t="s">
        <v>1336</v>
      </c>
      <c r="BX84" s="0" t="s">
        <v>1337</v>
      </c>
      <c r="CH84" s="0" t="s">
        <v>454</v>
      </c>
      <c r="CI84" s="0" t="s">
        <v>1337</v>
      </c>
      <c r="CJ84" s="1" t="s">
        <v>1338</v>
      </c>
      <c r="CO84" s="1" t="s">
        <v>1339</v>
      </c>
      <c r="CR84" s="0" t="s">
        <v>1340</v>
      </c>
    </row>
    <row r="85" customFormat="false" ht="43.75" hidden="false" customHeight="false" outlineLevel="0" collapsed="false">
      <c r="A85" s="0" t="s">
        <v>96</v>
      </c>
      <c r="B85" s="0" t="s">
        <v>1341</v>
      </c>
      <c r="C85" s="0" t="s">
        <v>98</v>
      </c>
      <c r="D85" s="0" t="s">
        <v>99</v>
      </c>
      <c r="E85" s="0" t="s">
        <v>1342</v>
      </c>
      <c r="F85" s="0" t="s">
        <v>219</v>
      </c>
      <c r="H85" s="0" t="s">
        <v>102</v>
      </c>
      <c r="L85" s="0" t="str">
        <f aca="false">"1652"</f>
        <v>1652</v>
      </c>
      <c r="M85" s="0" t="s">
        <v>150</v>
      </c>
      <c r="N85" s="0" t="s">
        <v>1343</v>
      </c>
      <c r="O85" s="0" t="s">
        <v>1344</v>
      </c>
      <c r="R85" s="0" t="s">
        <v>1345</v>
      </c>
      <c r="T85" s="0" t="s">
        <v>1346</v>
      </c>
      <c r="U85" s="1" t="s">
        <v>1347</v>
      </c>
      <c r="V85" s="1" t="s">
        <v>1348</v>
      </c>
      <c r="AD85" s="0" t="s">
        <v>136</v>
      </c>
      <c r="AE85" s="0" t="s">
        <v>1349</v>
      </c>
      <c r="AF85" s="0" t="s">
        <v>109</v>
      </c>
      <c r="AO85" s="0" t="s">
        <v>161</v>
      </c>
      <c r="AP85" s="0" t="s">
        <v>1350</v>
      </c>
      <c r="AQ85" s="0" t="s">
        <v>1351</v>
      </c>
      <c r="AT85" s="0" t="s">
        <v>1352</v>
      </c>
      <c r="AU85" s="0" t="s">
        <v>112</v>
      </c>
      <c r="AV85" s="0" t="s">
        <v>113</v>
      </c>
      <c r="BG85" s="1" t="s">
        <v>720</v>
      </c>
      <c r="BH85" s="0" t="s">
        <v>116</v>
      </c>
      <c r="BI85" s="1" t="s">
        <v>721</v>
      </c>
      <c r="BJ85" s="0" t="s">
        <v>185</v>
      </c>
      <c r="BU85" s="0" t="s">
        <v>1353</v>
      </c>
      <c r="BW85" s="0" t="s">
        <v>1354</v>
      </c>
      <c r="BX85" s="0" t="s">
        <v>1355</v>
      </c>
      <c r="CI85" s="0" t="s">
        <v>1355</v>
      </c>
      <c r="CJ85" s="0" t="s">
        <v>1356</v>
      </c>
      <c r="CO85" s="0" t="s">
        <v>1357</v>
      </c>
      <c r="CR85" s="0" t="s">
        <v>1358</v>
      </c>
    </row>
    <row r="86" customFormat="false" ht="43.75" hidden="false" customHeight="false" outlineLevel="0" collapsed="false">
      <c r="A86" s="0" t="s">
        <v>190</v>
      </c>
      <c r="B86" s="0" t="s">
        <v>1350</v>
      </c>
      <c r="C86" s="0" t="s">
        <v>98</v>
      </c>
      <c r="D86" s="0" t="s">
        <v>99</v>
      </c>
      <c r="E86" s="0" t="s">
        <v>1359</v>
      </c>
      <c r="F86" s="0" t="s">
        <v>192</v>
      </c>
      <c r="H86" s="0" t="s">
        <v>102</v>
      </c>
      <c r="L86" s="0" t="str">
        <f aca="false">"1652"</f>
        <v>1652</v>
      </c>
      <c r="M86" s="1" t="s">
        <v>370</v>
      </c>
      <c r="O86" s="1" t="s">
        <v>1360</v>
      </c>
      <c r="R86" s="0" t="s">
        <v>1361</v>
      </c>
      <c r="T86" s="0" t="s">
        <v>1346</v>
      </c>
      <c r="Z86" s="0" t="s">
        <v>1362</v>
      </c>
      <c r="AG86" s="0" t="s">
        <v>1213</v>
      </c>
      <c r="AH86" s="0" t="s">
        <v>1214</v>
      </c>
      <c r="AI86" s="0" t="s">
        <v>1363</v>
      </c>
      <c r="AJ86" s="0" t="s">
        <v>1364</v>
      </c>
      <c r="AO86" s="0" t="s">
        <v>1365</v>
      </c>
      <c r="AT86" s="0" t="s">
        <v>139</v>
      </c>
      <c r="AU86" s="0" t="s">
        <v>112</v>
      </c>
      <c r="AY86" s="0" t="s">
        <v>1366</v>
      </c>
      <c r="CP86" s="1" t="s">
        <v>1367</v>
      </c>
    </row>
    <row r="87" customFormat="false" ht="43.75" hidden="false" customHeight="false" outlineLevel="0" collapsed="false">
      <c r="A87" s="0" t="s">
        <v>96</v>
      </c>
      <c r="B87" s="0" t="s">
        <v>1368</v>
      </c>
      <c r="C87" s="0" t="s">
        <v>98</v>
      </c>
      <c r="D87" s="0" t="s">
        <v>99</v>
      </c>
      <c r="E87" s="0" t="s">
        <v>1369</v>
      </c>
      <c r="F87" s="1" t="s">
        <v>149</v>
      </c>
      <c r="H87" s="0" t="s">
        <v>102</v>
      </c>
      <c r="L87" s="0" t="str">
        <f aca="false">"1652"</f>
        <v>1652</v>
      </c>
      <c r="M87" s="0" t="s">
        <v>715</v>
      </c>
      <c r="T87" s="0" t="s">
        <v>1346</v>
      </c>
      <c r="U87" s="1" t="s">
        <v>1370</v>
      </c>
      <c r="V87" s="1" t="s">
        <v>1371</v>
      </c>
      <c r="AD87" s="0" t="s">
        <v>136</v>
      </c>
      <c r="AE87" s="0" t="s">
        <v>1372</v>
      </c>
      <c r="AF87" s="0" t="s">
        <v>109</v>
      </c>
      <c r="AO87" s="0" t="s">
        <v>161</v>
      </c>
      <c r="AP87" s="0" t="s">
        <v>1350</v>
      </c>
      <c r="AQ87" s="0" t="s">
        <v>1373</v>
      </c>
      <c r="AT87" s="0" t="s">
        <v>139</v>
      </c>
      <c r="AU87" s="0" t="s">
        <v>112</v>
      </c>
      <c r="AV87" s="0" t="s">
        <v>113</v>
      </c>
      <c r="AZ87" s="0" t="s">
        <v>1374</v>
      </c>
      <c r="BG87" s="1" t="s">
        <v>1375</v>
      </c>
      <c r="BH87" s="0" t="s">
        <v>116</v>
      </c>
      <c r="BI87" s="1" t="s">
        <v>1376</v>
      </c>
      <c r="BJ87" s="0" t="s">
        <v>185</v>
      </c>
      <c r="BU87" s="0" t="s">
        <v>1377</v>
      </c>
      <c r="BX87" s="0" t="s">
        <v>1378</v>
      </c>
      <c r="CH87" s="0" t="s">
        <v>124</v>
      </c>
      <c r="CI87" s="0" t="s">
        <v>1378</v>
      </c>
      <c r="CJ87" s="0" t="s">
        <v>1379</v>
      </c>
      <c r="CO87" s="0" t="s">
        <v>1380</v>
      </c>
      <c r="CR87" s="0" t="s">
        <v>1381</v>
      </c>
    </row>
    <row r="88" customFormat="false" ht="150" hidden="false" customHeight="false" outlineLevel="0" collapsed="false">
      <c r="A88" s="0" t="s">
        <v>96</v>
      </c>
      <c r="B88" s="0" t="s">
        <v>1382</v>
      </c>
      <c r="C88" s="0" t="s">
        <v>98</v>
      </c>
      <c r="D88" s="0" t="s">
        <v>99</v>
      </c>
      <c r="E88" s="0" t="s">
        <v>1383</v>
      </c>
      <c r="F88" s="1" t="s">
        <v>714</v>
      </c>
      <c r="H88" s="0" t="s">
        <v>407</v>
      </c>
      <c r="L88" s="0" t="str">
        <f aca="false">"1631"</f>
        <v>1631</v>
      </c>
      <c r="T88" s="0" t="s">
        <v>103</v>
      </c>
      <c r="U88" s="1" t="s">
        <v>1384</v>
      </c>
      <c r="V88" s="1" t="s">
        <v>1385</v>
      </c>
      <c r="AD88" s="0" t="s">
        <v>1386</v>
      </c>
      <c r="AE88" s="0" t="s">
        <v>1387</v>
      </c>
      <c r="AF88" s="0" t="s">
        <v>109</v>
      </c>
      <c r="AO88" s="0" t="s">
        <v>161</v>
      </c>
      <c r="AT88" s="0" t="s">
        <v>139</v>
      </c>
      <c r="AU88" s="0" t="s">
        <v>112</v>
      </c>
      <c r="AV88" s="0" t="s">
        <v>113</v>
      </c>
      <c r="AY88" s="0" t="s">
        <v>1388</v>
      </c>
      <c r="BG88" s="0" t="s">
        <v>98</v>
      </c>
      <c r="BH88" s="0" t="s">
        <v>116</v>
      </c>
      <c r="BI88" s="0" t="s">
        <v>293</v>
      </c>
      <c r="BJ88" s="0" t="s">
        <v>185</v>
      </c>
      <c r="BU88" s="1" t="s">
        <v>1389</v>
      </c>
      <c r="BX88" s="0" t="s">
        <v>1390</v>
      </c>
      <c r="CF88" s="1" t="s">
        <v>1391</v>
      </c>
      <c r="CG88" s="0" t="s">
        <v>123</v>
      </c>
      <c r="CH88" s="0" t="s">
        <v>454</v>
      </c>
      <c r="CI88" s="0" t="s">
        <v>1390</v>
      </c>
      <c r="CJ88" s="1" t="s">
        <v>1392</v>
      </c>
      <c r="CL88" s="0" t="s">
        <v>1393</v>
      </c>
      <c r="CM88" s="0" t="s">
        <v>1393</v>
      </c>
      <c r="CO88" s="1" t="s">
        <v>1394</v>
      </c>
      <c r="CR88" s="0" t="s">
        <v>1395</v>
      </c>
    </row>
    <row r="89" customFormat="false" ht="54.35" hidden="false" customHeight="false" outlineLevel="0" collapsed="false">
      <c r="A89" s="0" t="s">
        <v>96</v>
      </c>
      <c r="B89" s="0" t="s">
        <v>1396</v>
      </c>
      <c r="C89" s="0" t="s">
        <v>98</v>
      </c>
      <c r="D89" s="0" t="s">
        <v>99</v>
      </c>
      <c r="E89" s="0" t="s">
        <v>1397</v>
      </c>
      <c r="F89" s="0" t="s">
        <v>131</v>
      </c>
      <c r="H89" s="0" t="s">
        <v>102</v>
      </c>
      <c r="L89" s="0" t="str">
        <f aca="false">"1735"</f>
        <v>1735</v>
      </c>
      <c r="M89" s="1" t="s">
        <v>175</v>
      </c>
      <c r="O89" s="1" t="s">
        <v>1398</v>
      </c>
      <c r="T89" s="0" t="s">
        <v>99</v>
      </c>
      <c r="U89" s="1" t="s">
        <v>1399</v>
      </c>
      <c r="V89" s="1" t="s">
        <v>1400</v>
      </c>
      <c r="AD89" s="1" t="s">
        <v>285</v>
      </c>
      <c r="AE89" s="1" t="s">
        <v>1401</v>
      </c>
      <c r="AF89" s="0" t="s">
        <v>109</v>
      </c>
      <c r="AO89" s="0" t="s">
        <v>161</v>
      </c>
      <c r="AP89" s="0" t="s">
        <v>1402</v>
      </c>
      <c r="AQ89" s="0" t="s">
        <v>1403</v>
      </c>
      <c r="AT89" s="0" t="s">
        <v>139</v>
      </c>
      <c r="AU89" s="0" t="s">
        <v>112</v>
      </c>
      <c r="AV89" s="0" t="s">
        <v>113</v>
      </c>
      <c r="AY89" s="0" t="s">
        <v>1404</v>
      </c>
      <c r="BD89" s="0" t="s">
        <v>140</v>
      </c>
      <c r="BE89" s="1" t="s">
        <v>1405</v>
      </c>
      <c r="BF89" s="1" t="s">
        <v>163</v>
      </c>
      <c r="BG89" s="0" t="s">
        <v>98</v>
      </c>
      <c r="BH89" s="0" t="s">
        <v>116</v>
      </c>
      <c r="BI89" s="0" t="s">
        <v>228</v>
      </c>
      <c r="BJ89" s="1" t="s">
        <v>467</v>
      </c>
      <c r="BU89" s="0" t="s">
        <v>1406</v>
      </c>
      <c r="BX89" s="0" t="s">
        <v>1407</v>
      </c>
      <c r="CH89" s="0" t="s">
        <v>169</v>
      </c>
      <c r="CI89" s="0" t="s">
        <v>1407</v>
      </c>
      <c r="CJ89" s="0" t="s">
        <v>1408</v>
      </c>
      <c r="CO89" s="0" t="s">
        <v>1409</v>
      </c>
      <c r="CR89" s="0" t="s">
        <v>1410</v>
      </c>
    </row>
    <row r="90" customFormat="false" ht="33.1" hidden="false" customHeight="false" outlineLevel="0" collapsed="false">
      <c r="A90" s="0" t="s">
        <v>190</v>
      </c>
      <c r="B90" s="0" t="s">
        <v>1402</v>
      </c>
      <c r="C90" s="0" t="s">
        <v>1411</v>
      </c>
      <c r="D90" s="0" t="s">
        <v>1412</v>
      </c>
      <c r="E90" s="0" t="s">
        <v>1413</v>
      </c>
      <c r="L90" s="0" t="str">
        <f aca="false">"1735"</f>
        <v>1735</v>
      </c>
      <c r="M90" s="1" t="s">
        <v>1414</v>
      </c>
      <c r="O90" s="1" t="s">
        <v>1415</v>
      </c>
      <c r="T90" s="0" t="s">
        <v>1416</v>
      </c>
      <c r="U90" s="0" t="s">
        <v>1417</v>
      </c>
      <c r="AT90" s="0" t="s">
        <v>139</v>
      </c>
      <c r="AU90" s="0" t="s">
        <v>112</v>
      </c>
      <c r="AY90" s="0" t="s">
        <v>1418</v>
      </c>
      <c r="AZ90" s="0" t="s">
        <v>1419</v>
      </c>
      <c r="BV90" s="0" t="s">
        <v>1420</v>
      </c>
      <c r="CP90" s="0" t="s">
        <v>1421</v>
      </c>
    </row>
    <row r="91" customFormat="false" ht="65" hidden="false" customHeight="false" outlineLevel="0" collapsed="false">
      <c r="A91" s="0" t="s">
        <v>96</v>
      </c>
      <c r="B91" s="0" t="s">
        <v>1422</v>
      </c>
      <c r="C91" s="0" t="s">
        <v>98</v>
      </c>
      <c r="D91" s="0" t="s">
        <v>99</v>
      </c>
      <c r="E91" s="0" t="s">
        <v>1423</v>
      </c>
      <c r="F91" s="0" t="s">
        <v>131</v>
      </c>
      <c r="H91" s="0" t="s">
        <v>102</v>
      </c>
      <c r="K91" s="0" t="s">
        <v>1271</v>
      </c>
      <c r="L91" s="0" t="str">
        <f aca="false">"1648"</f>
        <v>1648</v>
      </c>
      <c r="M91" s="1" t="s">
        <v>132</v>
      </c>
      <c r="O91" s="1" t="s">
        <v>1424</v>
      </c>
      <c r="T91" s="0" t="s">
        <v>99</v>
      </c>
      <c r="U91" s="1" t="s">
        <v>1425</v>
      </c>
      <c r="V91" s="1" t="s">
        <v>1426</v>
      </c>
      <c r="Z91" s="0" t="s">
        <v>1427</v>
      </c>
      <c r="AD91" s="0" t="s">
        <v>136</v>
      </c>
      <c r="AE91" s="0" t="s">
        <v>1428</v>
      </c>
      <c r="AF91" s="0" t="s">
        <v>109</v>
      </c>
      <c r="AG91" s="0" t="s">
        <v>1429</v>
      </c>
      <c r="AH91" s="0" t="s">
        <v>99</v>
      </c>
      <c r="AI91" s="0" t="s">
        <v>1430</v>
      </c>
      <c r="AO91" s="0" t="s">
        <v>161</v>
      </c>
      <c r="AT91" s="0" t="s">
        <v>139</v>
      </c>
      <c r="AU91" s="0" t="s">
        <v>112</v>
      </c>
      <c r="AV91" s="0" t="s">
        <v>113</v>
      </c>
      <c r="AZ91" s="0" t="s">
        <v>1431</v>
      </c>
      <c r="BD91" s="0" t="s">
        <v>140</v>
      </c>
      <c r="BE91" s="0" t="s">
        <v>1432</v>
      </c>
      <c r="BF91" s="0" t="s">
        <v>207</v>
      </c>
      <c r="BG91" s="0" t="s">
        <v>98</v>
      </c>
      <c r="BH91" s="0" t="s">
        <v>116</v>
      </c>
      <c r="BI91" s="0" t="s">
        <v>293</v>
      </c>
      <c r="BJ91" s="1" t="s">
        <v>229</v>
      </c>
      <c r="BU91" s="1" t="s">
        <v>1433</v>
      </c>
      <c r="BX91" s="1" t="s">
        <v>1434</v>
      </c>
      <c r="CF91" s="1" t="s">
        <v>1435</v>
      </c>
      <c r="CG91" s="0" t="s">
        <v>123</v>
      </c>
      <c r="CH91" s="0" t="s">
        <v>454</v>
      </c>
      <c r="CI91" s="1" t="s">
        <v>1434</v>
      </c>
      <c r="CJ91" s="1" t="s">
        <v>1436</v>
      </c>
      <c r="CL91" s="0" t="s">
        <v>1437</v>
      </c>
      <c r="CM91" s="0" t="s">
        <v>1437</v>
      </c>
      <c r="CO91" s="1" t="s">
        <v>1438</v>
      </c>
      <c r="CR91" s="0" t="s">
        <v>1439</v>
      </c>
      <c r="CS91" s="0" t="s">
        <v>1440</v>
      </c>
    </row>
    <row r="92" customFormat="false" ht="33.1" hidden="false" customHeight="false" outlineLevel="0" collapsed="false">
      <c r="A92" s="0" t="s">
        <v>96</v>
      </c>
      <c r="B92" s="0" t="s">
        <v>1441</v>
      </c>
      <c r="C92" s="0" t="s">
        <v>98</v>
      </c>
      <c r="D92" s="0" t="s">
        <v>99</v>
      </c>
      <c r="E92" s="0" t="s">
        <v>1442</v>
      </c>
      <c r="F92" s="1" t="s">
        <v>714</v>
      </c>
      <c r="H92" s="0" t="s">
        <v>772</v>
      </c>
      <c r="K92" s="0" t="s">
        <v>1443</v>
      </c>
      <c r="L92" s="0" t="str">
        <f aca="false">"1632"</f>
        <v>1632</v>
      </c>
      <c r="U92" s="1" t="s">
        <v>1444</v>
      </c>
      <c r="V92" s="1" t="s">
        <v>1445</v>
      </c>
      <c r="AD92" s="0" t="s">
        <v>107</v>
      </c>
      <c r="AE92" s="0" t="s">
        <v>1446</v>
      </c>
      <c r="AF92" s="0" t="s">
        <v>109</v>
      </c>
      <c r="AO92" s="0" t="s">
        <v>161</v>
      </c>
      <c r="AT92" s="0" t="s">
        <v>139</v>
      </c>
      <c r="AU92" s="0" t="s">
        <v>112</v>
      </c>
      <c r="AV92" s="0" t="s">
        <v>113</v>
      </c>
      <c r="AY92" s="0" t="s">
        <v>1447</v>
      </c>
      <c r="AZ92" s="0" t="s">
        <v>1448</v>
      </c>
      <c r="BU92" s="0" t="s">
        <v>1449</v>
      </c>
      <c r="BX92" s="0" t="s">
        <v>1450</v>
      </c>
      <c r="CH92" s="0" t="s">
        <v>625</v>
      </c>
      <c r="CI92" s="0" t="s">
        <v>1450</v>
      </c>
      <c r="CJ92" s="0" t="s">
        <v>1451</v>
      </c>
      <c r="CO92" s="0" t="s">
        <v>1441</v>
      </c>
      <c r="CR92" s="0" t="s">
        <v>1452</v>
      </c>
    </row>
    <row r="93" customFormat="false" ht="54.35" hidden="false" customHeight="false" outlineLevel="0" collapsed="false">
      <c r="A93" s="0" t="s">
        <v>96</v>
      </c>
      <c r="B93" s="0" t="s">
        <v>1453</v>
      </c>
      <c r="C93" s="0" t="s">
        <v>98</v>
      </c>
      <c r="D93" s="0" t="s">
        <v>99</v>
      </c>
      <c r="E93" s="0" t="s">
        <v>1454</v>
      </c>
      <c r="F93" s="1" t="s">
        <v>714</v>
      </c>
      <c r="H93" s="0" t="s">
        <v>102</v>
      </c>
      <c r="L93" s="0" t="str">
        <f aca="false">"1645"</f>
        <v>1645</v>
      </c>
      <c r="M93" s="1" t="s">
        <v>370</v>
      </c>
      <c r="O93" s="1" t="s">
        <v>1455</v>
      </c>
      <c r="T93" s="0" t="s">
        <v>99</v>
      </c>
      <c r="U93" s="1" t="s">
        <v>1456</v>
      </c>
      <c r="V93" s="1" t="s">
        <v>1457</v>
      </c>
      <c r="AD93" s="0" t="s">
        <v>107</v>
      </c>
      <c r="AE93" s="0" t="s">
        <v>1458</v>
      </c>
      <c r="AF93" s="0" t="s">
        <v>109</v>
      </c>
      <c r="AO93" s="0" t="s">
        <v>161</v>
      </c>
      <c r="AT93" s="0" t="s">
        <v>139</v>
      </c>
      <c r="AU93" s="0" t="s">
        <v>112</v>
      </c>
      <c r="AV93" s="0" t="s">
        <v>113</v>
      </c>
      <c r="AZ93" s="0" t="s">
        <v>1459</v>
      </c>
      <c r="BD93" s="1" t="s">
        <v>1460</v>
      </c>
      <c r="BE93" s="1" t="s">
        <v>1461</v>
      </c>
      <c r="BF93" s="1" t="s">
        <v>1462</v>
      </c>
      <c r="BJ93" s="0" t="s">
        <v>118</v>
      </c>
      <c r="BU93" s="0" t="s">
        <v>1463</v>
      </c>
      <c r="BV93" s="0" t="s">
        <v>1464</v>
      </c>
      <c r="BX93" s="0" t="s">
        <v>1465</v>
      </c>
      <c r="CH93" s="0" t="s">
        <v>342</v>
      </c>
      <c r="CI93" s="0" t="s">
        <v>1465</v>
      </c>
      <c r="CJ93" s="1" t="s">
        <v>1466</v>
      </c>
      <c r="CO93" s="1" t="s">
        <v>1467</v>
      </c>
      <c r="CR93" s="0" t="s">
        <v>1468</v>
      </c>
    </row>
    <row r="94" customFormat="false" ht="616.85" hidden="false" customHeight="false" outlineLevel="0" collapsed="false">
      <c r="A94" s="0" t="s">
        <v>96</v>
      </c>
      <c r="B94" s="0" t="s">
        <v>1469</v>
      </c>
      <c r="C94" s="0" t="s">
        <v>98</v>
      </c>
      <c r="D94" s="0" t="s">
        <v>99</v>
      </c>
      <c r="E94" s="0" t="s">
        <v>1470</v>
      </c>
      <c r="F94" s="1" t="s">
        <v>1471</v>
      </c>
      <c r="L94" s="0" t="str">
        <f aca="false">"1636"</f>
        <v>1636</v>
      </c>
      <c r="M94" s="0" t="s">
        <v>448</v>
      </c>
      <c r="O94" s="0" t="s">
        <v>1472</v>
      </c>
      <c r="T94" s="0" t="s">
        <v>99</v>
      </c>
      <c r="U94" s="1" t="s">
        <v>1473</v>
      </c>
      <c r="V94" s="1" t="s">
        <v>1474</v>
      </c>
      <c r="AD94" s="0" t="s">
        <v>107</v>
      </c>
      <c r="AE94" s="0" t="s">
        <v>1475</v>
      </c>
      <c r="AF94" s="0" t="s">
        <v>109</v>
      </c>
      <c r="AO94" s="0" t="s">
        <v>161</v>
      </c>
      <c r="AT94" s="0" t="s">
        <v>139</v>
      </c>
      <c r="AU94" s="0" t="s">
        <v>112</v>
      </c>
      <c r="AV94" s="0" t="s">
        <v>113</v>
      </c>
      <c r="BD94" s="0" t="s">
        <v>265</v>
      </c>
      <c r="BE94" s="0" t="s">
        <v>1476</v>
      </c>
      <c r="BF94" s="0" t="s">
        <v>207</v>
      </c>
      <c r="BG94" s="0" t="s">
        <v>98</v>
      </c>
      <c r="BH94" s="0" t="s">
        <v>116</v>
      </c>
      <c r="BI94" s="0" t="s">
        <v>1477</v>
      </c>
      <c r="BJ94" s="1" t="s">
        <v>229</v>
      </c>
      <c r="BU94" s="1" t="s">
        <v>1478</v>
      </c>
      <c r="BW94" s="1" t="s">
        <v>1479</v>
      </c>
      <c r="BX94" s="0" t="s">
        <v>1480</v>
      </c>
      <c r="CF94" s="0" t="s">
        <v>1481</v>
      </c>
      <c r="CG94" s="0" t="s">
        <v>123</v>
      </c>
      <c r="CH94" s="0" t="s">
        <v>454</v>
      </c>
      <c r="CI94" s="0" t="s">
        <v>1480</v>
      </c>
      <c r="CJ94" s="0" t="s">
        <v>1482</v>
      </c>
      <c r="CL94" s="0" t="s">
        <v>1483</v>
      </c>
      <c r="CM94" s="0" t="s">
        <v>1483</v>
      </c>
      <c r="CO94" s="0" t="s">
        <v>1484</v>
      </c>
      <c r="CR94" s="0" t="s">
        <v>1485</v>
      </c>
    </row>
    <row r="95" customFormat="false" ht="22.5" hidden="false" customHeight="false" outlineLevel="0" collapsed="false">
      <c r="A95" s="0" t="s">
        <v>96</v>
      </c>
      <c r="B95" s="0" t="s">
        <v>1486</v>
      </c>
      <c r="C95" s="0" t="s">
        <v>98</v>
      </c>
      <c r="D95" s="0" t="s">
        <v>99</v>
      </c>
      <c r="E95" s="0" t="s">
        <v>1487</v>
      </c>
      <c r="F95" s="1" t="s">
        <v>1488</v>
      </c>
      <c r="H95" s="0" t="s">
        <v>407</v>
      </c>
      <c r="L95" s="0" t="str">
        <f aca="false">"1636"</f>
        <v>1636</v>
      </c>
      <c r="T95" s="0" t="s">
        <v>103</v>
      </c>
      <c r="U95" s="1" t="s">
        <v>1489</v>
      </c>
      <c r="V95" s="1" t="s">
        <v>1490</v>
      </c>
      <c r="AD95" s="0" t="s">
        <v>107</v>
      </c>
      <c r="AE95" s="0" t="s">
        <v>1491</v>
      </c>
      <c r="AF95" s="0" t="s">
        <v>109</v>
      </c>
      <c r="AO95" s="0" t="s">
        <v>161</v>
      </c>
      <c r="AT95" s="0" t="s">
        <v>139</v>
      </c>
      <c r="AU95" s="0" t="s">
        <v>112</v>
      </c>
      <c r="AV95" s="0" t="s">
        <v>113</v>
      </c>
      <c r="AZ95" s="0" t="s">
        <v>1492</v>
      </c>
      <c r="BU95" s="0" t="s">
        <v>1493</v>
      </c>
      <c r="BX95" s="0" t="s">
        <v>1494</v>
      </c>
      <c r="CH95" s="0" t="s">
        <v>124</v>
      </c>
      <c r="CI95" s="0" t="s">
        <v>1494</v>
      </c>
      <c r="CJ95" s="1" t="s">
        <v>1495</v>
      </c>
      <c r="CO95" s="1" t="s">
        <v>1496</v>
      </c>
      <c r="CR95" s="0" t="s">
        <v>1497</v>
      </c>
    </row>
    <row r="96" customFormat="false" ht="638.1" hidden="false" customHeight="false" outlineLevel="0" collapsed="false">
      <c r="A96" s="0" t="s">
        <v>96</v>
      </c>
      <c r="B96" s="0" t="s">
        <v>1498</v>
      </c>
      <c r="C96" s="0" t="s">
        <v>98</v>
      </c>
      <c r="D96" s="0" t="s">
        <v>99</v>
      </c>
      <c r="E96" s="0" t="s">
        <v>1499</v>
      </c>
      <c r="F96" s="1" t="s">
        <v>1471</v>
      </c>
      <c r="H96" s="0" t="s">
        <v>102</v>
      </c>
      <c r="L96" s="0" t="str">
        <f aca="false">"1650"</f>
        <v>1650</v>
      </c>
      <c r="M96" s="1" t="s">
        <v>1500</v>
      </c>
      <c r="O96" s="1" t="s">
        <v>1501</v>
      </c>
      <c r="U96" s="1" t="s">
        <v>1502</v>
      </c>
      <c r="V96" s="1" t="s">
        <v>1503</v>
      </c>
      <c r="Z96" s="0" t="s">
        <v>1504</v>
      </c>
      <c r="AD96" s="0" t="s">
        <v>155</v>
      </c>
      <c r="AE96" s="0" t="s">
        <v>1505</v>
      </c>
      <c r="AF96" s="0" t="s">
        <v>109</v>
      </c>
      <c r="AG96" s="0" t="s">
        <v>224</v>
      </c>
      <c r="AH96" s="0" t="s">
        <v>225</v>
      </c>
      <c r="AI96" s="0" t="s">
        <v>1506</v>
      </c>
      <c r="AO96" s="0" t="s">
        <v>161</v>
      </c>
      <c r="AT96" s="0" t="s">
        <v>111</v>
      </c>
      <c r="AU96" s="0" t="s">
        <v>112</v>
      </c>
      <c r="AV96" s="0" t="s">
        <v>113</v>
      </c>
      <c r="AY96" s="0" t="s">
        <v>1507</v>
      </c>
      <c r="AZ96" s="0" t="s">
        <v>1508</v>
      </c>
      <c r="BD96" s="0" t="s">
        <v>265</v>
      </c>
      <c r="BE96" s="0" t="s">
        <v>1509</v>
      </c>
      <c r="BF96" s="0" t="s">
        <v>207</v>
      </c>
      <c r="BG96" s="0" t="s">
        <v>98</v>
      </c>
      <c r="BH96" s="0" t="s">
        <v>116</v>
      </c>
      <c r="BI96" s="0" t="s">
        <v>228</v>
      </c>
      <c r="BJ96" s="1" t="s">
        <v>229</v>
      </c>
      <c r="BU96" s="1" t="s">
        <v>1510</v>
      </c>
      <c r="BW96" s="1" t="s">
        <v>1511</v>
      </c>
      <c r="BX96" s="0" t="s">
        <v>1512</v>
      </c>
      <c r="CF96" s="1" t="s">
        <v>1513</v>
      </c>
      <c r="CG96" s="0" t="s">
        <v>123</v>
      </c>
      <c r="CH96" s="0" t="s">
        <v>169</v>
      </c>
      <c r="CI96" s="0" t="s">
        <v>1512</v>
      </c>
      <c r="CJ96" s="0" t="s">
        <v>1514</v>
      </c>
      <c r="CL96" s="0" t="s">
        <v>1515</v>
      </c>
      <c r="CM96" s="0" t="s">
        <v>1515</v>
      </c>
      <c r="CO96" s="0" t="s">
        <v>1516</v>
      </c>
      <c r="CR96" s="0" t="s">
        <v>1517</v>
      </c>
    </row>
    <row r="97" customFormat="false" ht="22.5" hidden="false" customHeight="false" outlineLevel="0" collapsed="false">
      <c r="A97" s="0" t="s">
        <v>96</v>
      </c>
      <c r="B97" s="0" t="s">
        <v>1518</v>
      </c>
      <c r="C97" s="0" t="s">
        <v>98</v>
      </c>
      <c r="D97" s="0" t="s">
        <v>99</v>
      </c>
      <c r="E97" s="0" t="s">
        <v>1519</v>
      </c>
      <c r="F97" s="1" t="s">
        <v>149</v>
      </c>
      <c r="H97" s="0" t="s">
        <v>102</v>
      </c>
      <c r="M97" s="1" t="s">
        <v>175</v>
      </c>
      <c r="O97" s="1" t="s">
        <v>1520</v>
      </c>
      <c r="T97" s="0" t="s">
        <v>99</v>
      </c>
      <c r="U97" s="1" t="s">
        <v>1521</v>
      </c>
      <c r="V97" s="1" t="s">
        <v>1522</v>
      </c>
      <c r="AD97" s="0" t="s">
        <v>155</v>
      </c>
      <c r="AE97" s="0" t="s">
        <v>1523</v>
      </c>
      <c r="AF97" s="0" t="s">
        <v>109</v>
      </c>
      <c r="AO97" s="0" t="s">
        <v>161</v>
      </c>
      <c r="AP97" s="0" t="s">
        <v>1524</v>
      </c>
      <c r="AQ97" s="0" t="s">
        <v>1525</v>
      </c>
      <c r="AT97" s="0" t="s">
        <v>139</v>
      </c>
      <c r="AU97" s="0" t="s">
        <v>112</v>
      </c>
      <c r="AV97" s="0" t="s">
        <v>113</v>
      </c>
      <c r="BG97" s="1" t="s">
        <v>720</v>
      </c>
      <c r="BH97" s="0" t="s">
        <v>116</v>
      </c>
      <c r="BI97" s="1" t="s">
        <v>721</v>
      </c>
      <c r="BJ97" s="0" t="s">
        <v>185</v>
      </c>
      <c r="BU97" s="0" t="s">
        <v>1526</v>
      </c>
      <c r="BX97" s="0" t="s">
        <v>1527</v>
      </c>
      <c r="CH97" s="0" t="s">
        <v>169</v>
      </c>
      <c r="CI97" s="0" t="s">
        <v>1527</v>
      </c>
      <c r="CR97" s="0" t="s">
        <v>1528</v>
      </c>
    </row>
    <row r="98" customFormat="false" ht="22.5" hidden="false" customHeight="false" outlineLevel="0" collapsed="false">
      <c r="A98" s="0" t="s">
        <v>190</v>
      </c>
      <c r="B98" s="0" t="s">
        <v>1524</v>
      </c>
      <c r="C98" s="0" t="s">
        <v>224</v>
      </c>
      <c r="D98" s="0" t="s">
        <v>225</v>
      </c>
      <c r="E98" s="0" t="s">
        <v>1529</v>
      </c>
      <c r="F98" s="0" t="s">
        <v>192</v>
      </c>
      <c r="H98" s="0" t="s">
        <v>102</v>
      </c>
      <c r="L98" s="0" t="str">
        <f aca="false">"1652"</f>
        <v>1652</v>
      </c>
      <c r="M98" s="1" t="s">
        <v>370</v>
      </c>
      <c r="O98" s="1" t="s">
        <v>1530</v>
      </c>
      <c r="T98" s="0" t="s">
        <v>99</v>
      </c>
      <c r="U98" s="0" t="s">
        <v>1531</v>
      </c>
      <c r="V98" s="0" t="s">
        <v>1532</v>
      </c>
      <c r="Z98" s="0" t="s">
        <v>1533</v>
      </c>
      <c r="AB98" s="0" t="s">
        <v>1534</v>
      </c>
      <c r="AO98" s="0" t="s">
        <v>765</v>
      </c>
      <c r="AS98" s="0" t="s">
        <v>1535</v>
      </c>
      <c r="AT98" s="0" t="s">
        <v>139</v>
      </c>
      <c r="AU98" s="0" t="s">
        <v>112</v>
      </c>
      <c r="AV98" s="0" t="s">
        <v>113</v>
      </c>
      <c r="AY98" s="0" t="s">
        <v>1536</v>
      </c>
      <c r="AZ98" s="0" t="s">
        <v>1537</v>
      </c>
      <c r="BD98" s="0" t="s">
        <v>873</v>
      </c>
      <c r="BE98" s="0" t="s">
        <v>1538</v>
      </c>
      <c r="BJ98" s="0" t="s">
        <v>118</v>
      </c>
      <c r="BX98" s="0" t="s">
        <v>1539</v>
      </c>
      <c r="CI98" s="0" t="s">
        <v>1539</v>
      </c>
      <c r="CJ98" s="0" t="s">
        <v>1540</v>
      </c>
      <c r="CO98" s="0" t="s">
        <v>1524</v>
      </c>
      <c r="CP98" s="1" t="s">
        <v>1541</v>
      </c>
      <c r="CR98" s="0" t="s">
        <v>1542</v>
      </c>
    </row>
    <row r="99" customFormat="false" ht="33.1" hidden="false" customHeight="false" outlineLevel="0" collapsed="false">
      <c r="A99" s="0" t="s">
        <v>96</v>
      </c>
      <c r="B99" s="0" t="s">
        <v>1543</v>
      </c>
      <c r="C99" s="0" t="s">
        <v>98</v>
      </c>
      <c r="D99" s="0" t="s">
        <v>99</v>
      </c>
      <c r="E99" s="0" t="s">
        <v>1544</v>
      </c>
      <c r="F99" s="1" t="s">
        <v>1471</v>
      </c>
      <c r="H99" s="0" t="s">
        <v>102</v>
      </c>
      <c r="I99" s="0" t="str">
        <f aca="false">"1649"</f>
        <v>1649</v>
      </c>
      <c r="J99" s="0" t="str">
        <f aca="false">"1651"</f>
        <v>1651</v>
      </c>
      <c r="M99" s="1" t="s">
        <v>370</v>
      </c>
      <c r="O99" s="1" t="s">
        <v>1545</v>
      </c>
      <c r="T99" s="0" t="s">
        <v>99</v>
      </c>
      <c r="U99" s="0" t="s">
        <v>1546</v>
      </c>
      <c r="V99" s="0" t="s">
        <v>1547</v>
      </c>
      <c r="Z99" s="0" t="s">
        <v>1548</v>
      </c>
      <c r="AB99" s="0" t="s">
        <v>1549</v>
      </c>
      <c r="AD99" s="0" t="s">
        <v>107</v>
      </c>
      <c r="AE99" s="0" t="s">
        <v>1550</v>
      </c>
      <c r="AF99" s="0" t="s">
        <v>109</v>
      </c>
      <c r="AG99" s="0" t="s">
        <v>224</v>
      </c>
      <c r="AH99" s="0" t="s">
        <v>225</v>
      </c>
      <c r="AI99" s="0" t="s">
        <v>1551</v>
      </c>
      <c r="AJ99" s="0" t="s">
        <v>1552</v>
      </c>
      <c r="AO99" s="0" t="s">
        <v>161</v>
      </c>
      <c r="AP99" s="0" t="s">
        <v>1553</v>
      </c>
      <c r="AQ99" s="0" t="s">
        <v>1554</v>
      </c>
      <c r="AT99" s="0" t="s">
        <v>111</v>
      </c>
      <c r="AU99" s="0" t="s">
        <v>112</v>
      </c>
      <c r="AV99" s="0" t="s">
        <v>113</v>
      </c>
      <c r="AY99" s="0" t="s">
        <v>1555</v>
      </c>
      <c r="BC99" s="0" t="str">
        <f aca="false">"235267422"</f>
        <v>235267422</v>
      </c>
      <c r="BD99" s="0" t="s">
        <v>265</v>
      </c>
      <c r="BE99" s="0" t="s">
        <v>1556</v>
      </c>
      <c r="BF99" s="0" t="s">
        <v>207</v>
      </c>
      <c r="BJ99" s="0" t="s">
        <v>118</v>
      </c>
      <c r="BU99" s="0" t="s">
        <v>1557</v>
      </c>
      <c r="BX99" s="1" t="s">
        <v>1558</v>
      </c>
      <c r="CH99" s="0" t="s">
        <v>124</v>
      </c>
      <c r="CI99" s="1" t="s">
        <v>1558</v>
      </c>
      <c r="CJ99" s="0" t="s">
        <v>1559</v>
      </c>
      <c r="CO99" s="0" t="s">
        <v>1560</v>
      </c>
      <c r="CR99" s="0" t="s">
        <v>1561</v>
      </c>
      <c r="CS99" s="0" t="s">
        <v>1562</v>
      </c>
    </row>
    <row r="100" customFormat="false" ht="361.85" hidden="false" customHeight="false" outlineLevel="0" collapsed="false">
      <c r="A100" s="0" t="s">
        <v>190</v>
      </c>
      <c r="B100" s="0" t="s">
        <v>1553</v>
      </c>
      <c r="C100" s="0" t="s">
        <v>224</v>
      </c>
      <c r="D100" s="0" t="s">
        <v>225</v>
      </c>
      <c r="E100" s="0" t="s">
        <v>1563</v>
      </c>
      <c r="F100" s="0" t="s">
        <v>192</v>
      </c>
      <c r="H100" s="0" t="s">
        <v>102</v>
      </c>
      <c r="L100" s="0" t="str">
        <f aca="false">"1650"</f>
        <v>1650</v>
      </c>
      <c r="M100" s="1" t="s">
        <v>1564</v>
      </c>
      <c r="O100" s="1" t="s">
        <v>1565</v>
      </c>
      <c r="T100" s="0" t="s">
        <v>99</v>
      </c>
      <c r="Z100" s="0" t="s">
        <v>1566</v>
      </c>
      <c r="AB100" s="0" t="s">
        <v>1567</v>
      </c>
      <c r="AG100" s="0" t="s">
        <v>98</v>
      </c>
      <c r="AH100" s="0" t="s">
        <v>99</v>
      </c>
      <c r="AO100" s="0" t="s">
        <v>1568</v>
      </c>
      <c r="AP100" s="0" t="s">
        <v>1569</v>
      </c>
      <c r="AS100" s="0" t="s">
        <v>1570</v>
      </c>
      <c r="AT100" s="0" t="s">
        <v>906</v>
      </c>
      <c r="AU100" s="0" t="s">
        <v>112</v>
      </c>
      <c r="AV100" s="0" t="s">
        <v>113</v>
      </c>
      <c r="AY100" s="0" t="s">
        <v>1571</v>
      </c>
      <c r="BD100" s="0" t="s">
        <v>873</v>
      </c>
      <c r="BE100" s="0" t="s">
        <v>1572</v>
      </c>
      <c r="BV100" s="1" t="s">
        <v>1573</v>
      </c>
      <c r="BX100" s="1" t="s">
        <v>1574</v>
      </c>
      <c r="CF100" s="0" t="s">
        <v>1575</v>
      </c>
      <c r="CG100" s="0" t="s">
        <v>123</v>
      </c>
      <c r="CH100" s="1" t="s">
        <v>1576</v>
      </c>
      <c r="CI100" s="1" t="s">
        <v>1574</v>
      </c>
      <c r="CJ100" s="1" t="s">
        <v>1577</v>
      </c>
      <c r="CL100" s="0" t="s">
        <v>1578</v>
      </c>
      <c r="CM100" s="0" t="s">
        <v>1578</v>
      </c>
      <c r="CO100" s="1" t="s">
        <v>1579</v>
      </c>
      <c r="CP100" s="1" t="s">
        <v>1580</v>
      </c>
      <c r="CR100" s="0" t="s">
        <v>1581</v>
      </c>
    </row>
    <row r="101" customFormat="false" ht="22.5" hidden="false" customHeight="false" outlineLevel="0" collapsed="false">
      <c r="A101" s="0" t="s">
        <v>190</v>
      </c>
      <c r="B101" s="0" t="s">
        <v>1569</v>
      </c>
      <c r="C101" s="0" t="s">
        <v>98</v>
      </c>
      <c r="D101" s="0" t="s">
        <v>99</v>
      </c>
      <c r="F101" s="0" t="s">
        <v>192</v>
      </c>
      <c r="Z101" s="0" t="s">
        <v>1566</v>
      </c>
      <c r="AO101" s="0" t="s">
        <v>765</v>
      </c>
      <c r="AT101" s="0" t="s">
        <v>139</v>
      </c>
      <c r="AU101" s="0" t="s">
        <v>112</v>
      </c>
      <c r="AV101" s="0" t="s">
        <v>113</v>
      </c>
      <c r="CP101" s="1" t="s">
        <v>1582</v>
      </c>
    </row>
    <row r="102" customFormat="false" ht="33.1" hidden="false" customHeight="false" outlineLevel="0" collapsed="false">
      <c r="A102" s="0" t="s">
        <v>96</v>
      </c>
      <c r="B102" s="0" t="s">
        <v>1583</v>
      </c>
      <c r="C102" s="0" t="s">
        <v>98</v>
      </c>
      <c r="D102" s="0" t="s">
        <v>99</v>
      </c>
      <c r="E102" s="0" t="s">
        <v>1584</v>
      </c>
      <c r="F102" s="1" t="s">
        <v>149</v>
      </c>
      <c r="H102" s="0" t="s">
        <v>102</v>
      </c>
      <c r="L102" s="0" t="str">
        <f aca="false">"1736"</f>
        <v>1736</v>
      </c>
      <c r="M102" s="1" t="s">
        <v>1585</v>
      </c>
      <c r="O102" s="1" t="s">
        <v>1586</v>
      </c>
      <c r="T102" s="0" t="s">
        <v>99</v>
      </c>
      <c r="U102" s="0" t="s">
        <v>424</v>
      </c>
      <c r="V102" s="0" t="s">
        <v>1587</v>
      </c>
      <c r="AD102" s="0" t="s">
        <v>107</v>
      </c>
      <c r="AE102" s="0" t="s">
        <v>1588</v>
      </c>
      <c r="AF102" s="0" t="s">
        <v>109</v>
      </c>
      <c r="AO102" s="0" t="s">
        <v>161</v>
      </c>
      <c r="AP102" s="0" t="s">
        <v>1589</v>
      </c>
      <c r="AQ102" s="0" t="s">
        <v>1590</v>
      </c>
      <c r="AT102" s="0" t="s">
        <v>139</v>
      </c>
      <c r="AU102" s="0" t="s">
        <v>112</v>
      </c>
      <c r="AV102" s="0" t="s">
        <v>113</v>
      </c>
      <c r="BD102" s="0" t="s">
        <v>140</v>
      </c>
      <c r="BE102" s="1" t="s">
        <v>1591</v>
      </c>
      <c r="BF102" s="1" t="s">
        <v>1592</v>
      </c>
      <c r="BG102" s="1" t="s">
        <v>1375</v>
      </c>
      <c r="BH102" s="0" t="s">
        <v>116</v>
      </c>
      <c r="BI102" s="1" t="s">
        <v>1376</v>
      </c>
      <c r="BJ102" s="1" t="s">
        <v>229</v>
      </c>
      <c r="BU102" s="0" t="s">
        <v>1593</v>
      </c>
      <c r="BX102" s="0" t="s">
        <v>1594</v>
      </c>
      <c r="BY102" s="0" t="s">
        <v>1595</v>
      </c>
      <c r="BZ102" s="0" t="s">
        <v>167</v>
      </c>
      <c r="CH102" s="0" t="s">
        <v>124</v>
      </c>
      <c r="CI102" s="0" t="s">
        <v>1594</v>
      </c>
      <c r="CQ102" s="0" t="s">
        <v>1596</v>
      </c>
      <c r="CR102" s="0" t="s">
        <v>1597</v>
      </c>
    </row>
    <row r="103" customFormat="false" ht="22.5" hidden="false" customHeight="false" outlineLevel="0" collapsed="false">
      <c r="A103" s="0" t="s">
        <v>190</v>
      </c>
      <c r="B103" s="0" t="s">
        <v>1589</v>
      </c>
      <c r="C103" s="0" t="s">
        <v>1598</v>
      </c>
      <c r="D103" s="0" t="s">
        <v>398</v>
      </c>
      <c r="E103" s="0" t="s">
        <v>1599</v>
      </c>
      <c r="L103" s="0" t="str">
        <f aca="false">"1736"</f>
        <v>1736</v>
      </c>
      <c r="M103" s="1" t="s">
        <v>193</v>
      </c>
      <c r="O103" s="1" t="s">
        <v>1600</v>
      </c>
      <c r="T103" s="1" t="s">
        <v>1601</v>
      </c>
      <c r="AO103" s="0" t="s">
        <v>1602</v>
      </c>
      <c r="AT103" s="0" t="s">
        <v>139</v>
      </c>
      <c r="AU103" s="0" t="s">
        <v>112</v>
      </c>
      <c r="AV103" s="0" t="s">
        <v>113</v>
      </c>
      <c r="AY103" s="0" t="s">
        <v>1603</v>
      </c>
      <c r="CP103" s="1" t="s">
        <v>1604</v>
      </c>
    </row>
    <row r="104" customFormat="false" ht="531.85" hidden="false" customHeight="false" outlineLevel="0" collapsed="false">
      <c r="A104" s="0" t="s">
        <v>96</v>
      </c>
      <c r="B104" s="0" t="s">
        <v>1605</v>
      </c>
      <c r="C104" s="0" t="s">
        <v>98</v>
      </c>
      <c r="D104" s="0" t="s">
        <v>99</v>
      </c>
      <c r="E104" s="0" t="s">
        <v>1606</v>
      </c>
      <c r="F104" s="1" t="s">
        <v>714</v>
      </c>
      <c r="H104" s="0" t="s">
        <v>102</v>
      </c>
      <c r="L104" s="0" t="str">
        <f aca="false">"1649"</f>
        <v>1649</v>
      </c>
      <c r="M104" s="0" t="s">
        <v>448</v>
      </c>
      <c r="O104" s="0" t="s">
        <v>1607</v>
      </c>
      <c r="T104" s="0" t="s">
        <v>99</v>
      </c>
      <c r="U104" s="1" t="s">
        <v>1608</v>
      </c>
      <c r="V104" s="1" t="s">
        <v>1609</v>
      </c>
      <c r="Z104" s="0" t="s">
        <v>1610</v>
      </c>
      <c r="AB104" s="0" t="s">
        <v>1611</v>
      </c>
      <c r="AD104" s="0" t="s">
        <v>155</v>
      </c>
      <c r="AE104" s="0" t="s">
        <v>1612</v>
      </c>
      <c r="AF104" s="0" t="s">
        <v>109</v>
      </c>
      <c r="AG104" s="0" t="s">
        <v>224</v>
      </c>
      <c r="AH104" s="0" t="s">
        <v>225</v>
      </c>
      <c r="AI104" s="0" t="s">
        <v>1613</v>
      </c>
      <c r="AO104" s="0" t="s">
        <v>161</v>
      </c>
      <c r="AP104" s="0" t="s">
        <v>1524</v>
      </c>
      <c r="AQ104" s="0" t="s">
        <v>1614</v>
      </c>
      <c r="AT104" s="0" t="s">
        <v>111</v>
      </c>
      <c r="AU104" s="0" t="s">
        <v>112</v>
      </c>
      <c r="AV104" s="0" t="s">
        <v>113</v>
      </c>
      <c r="BD104" s="0" t="s">
        <v>265</v>
      </c>
      <c r="BE104" s="0" t="s">
        <v>1615</v>
      </c>
      <c r="BF104" s="0" t="s">
        <v>207</v>
      </c>
      <c r="BG104" s="0" t="s">
        <v>98</v>
      </c>
      <c r="BH104" s="0" t="s">
        <v>116</v>
      </c>
      <c r="BI104" s="0" t="s">
        <v>228</v>
      </c>
      <c r="BJ104" s="1" t="s">
        <v>229</v>
      </c>
      <c r="BW104" s="1" t="s">
        <v>1616</v>
      </c>
      <c r="BX104" s="0" t="s">
        <v>1617</v>
      </c>
      <c r="CG104" s="0" t="s">
        <v>123</v>
      </c>
      <c r="CH104" s="0" t="s">
        <v>124</v>
      </c>
      <c r="CI104" s="0" t="s">
        <v>1617</v>
      </c>
      <c r="CJ104" s="1" t="s">
        <v>1618</v>
      </c>
      <c r="CL104" s="0" t="s">
        <v>1619</v>
      </c>
      <c r="CM104" s="0" t="s">
        <v>1619</v>
      </c>
      <c r="CO104" s="1" t="s">
        <v>1620</v>
      </c>
      <c r="CR104" s="0" t="s">
        <v>1621</v>
      </c>
    </row>
    <row r="105" customFormat="false" ht="22.5" hidden="false" customHeight="false" outlineLevel="0" collapsed="false">
      <c r="A105" s="0" t="s">
        <v>96</v>
      </c>
      <c r="B105" s="0" t="s">
        <v>1622</v>
      </c>
      <c r="C105" s="0" t="s">
        <v>1213</v>
      </c>
      <c r="D105" s="0" t="s">
        <v>1214</v>
      </c>
      <c r="E105" s="0" t="s">
        <v>1623</v>
      </c>
      <c r="F105" s="1" t="s">
        <v>149</v>
      </c>
      <c r="H105" s="0" t="s">
        <v>102</v>
      </c>
      <c r="L105" s="0" t="str">
        <f aca="false">"1648"</f>
        <v>1648</v>
      </c>
      <c r="M105" s="0" t="s">
        <v>448</v>
      </c>
      <c r="O105" s="0" t="s">
        <v>1624</v>
      </c>
      <c r="T105" s="0" t="s">
        <v>1625</v>
      </c>
      <c r="Z105" s="0" t="s">
        <v>1626</v>
      </c>
      <c r="AB105" s="0" t="s">
        <v>1627</v>
      </c>
      <c r="AD105" s="0" t="s">
        <v>136</v>
      </c>
      <c r="AE105" s="0" t="s">
        <v>1628</v>
      </c>
      <c r="AF105" s="0" t="s">
        <v>109</v>
      </c>
      <c r="AS105" s="0" t="s">
        <v>1170</v>
      </c>
      <c r="AT105" s="0" t="s">
        <v>906</v>
      </c>
      <c r="AU105" s="0" t="s">
        <v>112</v>
      </c>
      <c r="BX105" s="0" t="s">
        <v>1629</v>
      </c>
      <c r="CH105" s="0" t="s">
        <v>298</v>
      </c>
      <c r="CI105" s="0" t="s">
        <v>1629</v>
      </c>
      <c r="CJ105" s="0" t="s">
        <v>1630</v>
      </c>
      <c r="CO105" s="0" t="s">
        <v>1622</v>
      </c>
    </row>
    <row r="106" customFormat="false" ht="43.75" hidden="false" customHeight="false" outlineLevel="0" collapsed="false">
      <c r="A106" s="0" t="s">
        <v>96</v>
      </c>
      <c r="B106" s="0" t="s">
        <v>1631</v>
      </c>
      <c r="C106" s="0" t="s">
        <v>397</v>
      </c>
      <c r="D106" s="0" t="s">
        <v>398</v>
      </c>
      <c r="E106" s="0" t="s">
        <v>1632</v>
      </c>
      <c r="F106" s="0" t="s">
        <v>131</v>
      </c>
      <c r="L106" s="0" t="str">
        <f aca="false">"1649"</f>
        <v>1649</v>
      </c>
      <c r="M106" s="0" t="s">
        <v>715</v>
      </c>
      <c r="O106" s="0" t="s">
        <v>1633</v>
      </c>
      <c r="T106" s="0" t="s">
        <v>99</v>
      </c>
      <c r="U106" s="1" t="s">
        <v>1634</v>
      </c>
      <c r="V106" s="1" t="s">
        <v>1635</v>
      </c>
      <c r="Z106" s="0" t="s">
        <v>1636</v>
      </c>
      <c r="AB106" s="0" t="s">
        <v>1637</v>
      </c>
      <c r="AD106" s="0" t="s">
        <v>136</v>
      </c>
      <c r="AE106" s="0" t="s">
        <v>1638</v>
      </c>
      <c r="AF106" s="0" t="s">
        <v>518</v>
      </c>
      <c r="AT106" s="0" t="s">
        <v>1321</v>
      </c>
      <c r="AU106" s="0" t="s">
        <v>112</v>
      </c>
      <c r="BU106" s="0" t="s">
        <v>1639</v>
      </c>
      <c r="BX106" s="0" t="s">
        <v>1640</v>
      </c>
      <c r="CH106" s="0" t="s">
        <v>625</v>
      </c>
      <c r="CI106" s="0" t="s">
        <v>1640</v>
      </c>
      <c r="CJ106" s="1" t="s">
        <v>1641</v>
      </c>
      <c r="CO106" s="1" t="s">
        <v>1642</v>
      </c>
    </row>
    <row r="107" customFormat="false" ht="65" hidden="false" customHeight="false" outlineLevel="0" collapsed="false">
      <c r="A107" s="0" t="s">
        <v>96</v>
      </c>
      <c r="B107" s="0" t="s">
        <v>1643</v>
      </c>
      <c r="C107" s="0" t="s">
        <v>397</v>
      </c>
      <c r="D107" s="0" t="s">
        <v>398</v>
      </c>
      <c r="E107" s="0" t="s">
        <v>1644</v>
      </c>
      <c r="F107" s="0" t="s">
        <v>131</v>
      </c>
      <c r="H107" s="0" t="s">
        <v>102</v>
      </c>
      <c r="L107" s="0" t="str">
        <f aca="false">"1649"</f>
        <v>1649</v>
      </c>
      <c r="U107" s="1" t="s">
        <v>1645</v>
      </c>
      <c r="V107" s="1" t="s">
        <v>1646</v>
      </c>
      <c r="Z107" s="0" t="s">
        <v>1647</v>
      </c>
      <c r="AB107" s="1" t="s">
        <v>1648</v>
      </c>
      <c r="AD107" s="0" t="s">
        <v>136</v>
      </c>
      <c r="AE107" s="0" t="s">
        <v>1649</v>
      </c>
      <c r="AF107" s="0" t="s">
        <v>518</v>
      </c>
      <c r="AG107" s="0" t="s">
        <v>1213</v>
      </c>
      <c r="AH107" s="0" t="s">
        <v>1214</v>
      </c>
      <c r="AI107" s="0" t="s">
        <v>1650</v>
      </c>
      <c r="AT107" s="0" t="s">
        <v>1321</v>
      </c>
      <c r="AU107" s="0" t="s">
        <v>112</v>
      </c>
      <c r="BU107" s="1" t="s">
        <v>1651</v>
      </c>
      <c r="BV107" s="1" t="s">
        <v>1652</v>
      </c>
      <c r="BX107" s="0" t="s">
        <v>1653</v>
      </c>
      <c r="CF107" s="1" t="s">
        <v>1654</v>
      </c>
      <c r="CG107" s="0" t="s">
        <v>123</v>
      </c>
      <c r="CH107" s="1" t="s">
        <v>1655</v>
      </c>
      <c r="CI107" s="0" t="s">
        <v>1653</v>
      </c>
      <c r="CJ107" s="1" t="s">
        <v>1656</v>
      </c>
      <c r="CL107" s="0" t="s">
        <v>1657</v>
      </c>
      <c r="CM107" s="0" t="s">
        <v>1657</v>
      </c>
      <c r="CO107" s="1" t="s">
        <v>1658</v>
      </c>
      <c r="CR107" s="0" t="s">
        <v>1659</v>
      </c>
    </row>
    <row r="108" customFormat="false" ht="33.1" hidden="false" customHeight="false" outlineLevel="0" collapsed="false">
      <c r="A108" s="0" t="s">
        <v>190</v>
      </c>
      <c r="B108" s="0" t="s">
        <v>1660</v>
      </c>
      <c r="C108" s="0" t="s">
        <v>224</v>
      </c>
      <c r="D108" s="0" t="s">
        <v>225</v>
      </c>
      <c r="E108" s="0" t="s">
        <v>1661</v>
      </c>
      <c r="L108" s="0" t="str">
        <f aca="false">"1649"</f>
        <v>1649</v>
      </c>
      <c r="M108" s="1" t="s">
        <v>1148</v>
      </c>
      <c r="O108" s="1" t="s">
        <v>1545</v>
      </c>
      <c r="T108" s="0" t="s">
        <v>99</v>
      </c>
      <c r="U108" s="1" t="s">
        <v>1662</v>
      </c>
      <c r="V108" s="1" t="s">
        <v>1663</v>
      </c>
      <c r="Z108" s="0" t="s">
        <v>1664</v>
      </c>
      <c r="AB108" s="0" t="s">
        <v>1665</v>
      </c>
      <c r="AS108" s="0" t="s">
        <v>1666</v>
      </c>
      <c r="AT108" s="0" t="s">
        <v>906</v>
      </c>
      <c r="AU108" s="0" t="s">
        <v>112</v>
      </c>
      <c r="AW108" s="0" t="s">
        <v>907</v>
      </c>
      <c r="AY108" s="0" t="s">
        <v>1667</v>
      </c>
      <c r="BC108" s="0" t="str">
        <f aca="false">"150929242"</f>
        <v>150929242</v>
      </c>
      <c r="BU108" s="0" t="s">
        <v>1668</v>
      </c>
      <c r="BX108" s="1" t="s">
        <v>1669</v>
      </c>
      <c r="CF108" s="0" t="s">
        <v>1670</v>
      </c>
      <c r="CH108" s="0" t="s">
        <v>342</v>
      </c>
      <c r="CI108" s="1" t="s">
        <v>1669</v>
      </c>
      <c r="CJ108" s="0" t="s">
        <v>1671</v>
      </c>
      <c r="CO108" s="0" t="s">
        <v>1672</v>
      </c>
      <c r="CR108" s="0" t="s">
        <v>1673</v>
      </c>
    </row>
    <row r="109" customFormat="false" ht="12.8" hidden="false" customHeight="false" outlineLevel="0" collapsed="false">
      <c r="A109" s="0" t="s">
        <v>445</v>
      </c>
      <c r="B109" s="0" t="s">
        <v>1674</v>
      </c>
      <c r="C109" s="0" t="s">
        <v>895</v>
      </c>
      <c r="D109" s="0" t="s">
        <v>896</v>
      </c>
      <c r="E109" s="0" t="s">
        <v>1675</v>
      </c>
      <c r="F109" s="0" t="s">
        <v>192</v>
      </c>
      <c r="H109" s="0" t="s">
        <v>102</v>
      </c>
      <c r="L109" s="0" t="str">
        <f aca="false">"1649"</f>
        <v>1649</v>
      </c>
      <c r="M109" s="0" t="s">
        <v>448</v>
      </c>
      <c r="O109" s="0" t="s">
        <v>1676</v>
      </c>
      <c r="R109" s="0" t="s">
        <v>1677</v>
      </c>
      <c r="T109" s="0" t="s">
        <v>1050</v>
      </c>
      <c r="Z109" s="0" t="s">
        <v>1678</v>
      </c>
      <c r="AB109" s="0" t="s">
        <v>1679</v>
      </c>
      <c r="AS109" s="0" t="s">
        <v>1680</v>
      </c>
      <c r="AT109" s="0" t="s">
        <v>906</v>
      </c>
      <c r="AU109" s="0" t="s">
        <v>112</v>
      </c>
      <c r="AW109" s="0" t="s">
        <v>907</v>
      </c>
      <c r="BC109" s="0" t="str">
        <f aca="false">"591827328"</f>
        <v>591827328</v>
      </c>
      <c r="BD109" s="0" t="s">
        <v>1117</v>
      </c>
      <c r="BE109" s="0" t="s">
        <v>1681</v>
      </c>
      <c r="BJ109" s="0" t="s">
        <v>118</v>
      </c>
      <c r="BX109" s="0" t="s">
        <v>1682</v>
      </c>
      <c r="CH109" s="0" t="s">
        <v>342</v>
      </c>
      <c r="CI109" s="0" t="s">
        <v>1682</v>
      </c>
      <c r="CJ109" s="0" t="s">
        <v>1683</v>
      </c>
      <c r="CO109" s="0" t="s">
        <v>1674</v>
      </c>
    </row>
    <row r="110" customFormat="false" ht="22.5" hidden="false" customHeight="false" outlineLevel="0" collapsed="false">
      <c r="A110" s="0" t="s">
        <v>190</v>
      </c>
      <c r="B110" s="0" t="s">
        <v>1684</v>
      </c>
      <c r="C110" s="0" t="s">
        <v>1685</v>
      </c>
      <c r="D110" s="0" t="s">
        <v>1686</v>
      </c>
      <c r="E110" s="0" t="s">
        <v>1687</v>
      </c>
      <c r="F110" s="0" t="s">
        <v>192</v>
      </c>
      <c r="H110" s="0" t="s">
        <v>102</v>
      </c>
      <c r="L110" s="0" t="str">
        <f aca="false">"1649"</f>
        <v>1649</v>
      </c>
      <c r="M110" s="1" t="s">
        <v>1148</v>
      </c>
      <c r="O110" s="1" t="s">
        <v>1688</v>
      </c>
      <c r="T110" s="0" t="s">
        <v>532</v>
      </c>
      <c r="Z110" s="0" t="s">
        <v>1689</v>
      </c>
      <c r="AB110" s="0" t="s">
        <v>1690</v>
      </c>
      <c r="AS110" s="0" t="s">
        <v>1199</v>
      </c>
      <c r="AT110" s="0" t="s">
        <v>906</v>
      </c>
      <c r="AU110" s="0" t="s">
        <v>112</v>
      </c>
      <c r="AW110" s="0" t="s">
        <v>907</v>
      </c>
      <c r="BC110" s="0" t="str">
        <f aca="false">"824682254"</f>
        <v>824682254</v>
      </c>
      <c r="BD110" s="0" t="s">
        <v>873</v>
      </c>
      <c r="BE110" s="0" t="s">
        <v>1691</v>
      </c>
      <c r="BJ110" s="0" t="s">
        <v>118</v>
      </c>
      <c r="BU110" s="0" t="s">
        <v>1692</v>
      </c>
      <c r="BV110" s="0" t="s">
        <v>1693</v>
      </c>
      <c r="BX110" s="0" t="s">
        <v>1694</v>
      </c>
      <c r="CD110" s="0" t="s">
        <v>1695</v>
      </c>
      <c r="CH110" s="0" t="s">
        <v>342</v>
      </c>
      <c r="CI110" s="0" t="s">
        <v>1694</v>
      </c>
      <c r="CJ110" s="0" t="s">
        <v>1696</v>
      </c>
      <c r="CO110" s="0" t="s">
        <v>1697</v>
      </c>
    </row>
    <row r="111" customFormat="false" ht="33.1" hidden="false" customHeight="false" outlineLevel="0" collapsed="false">
      <c r="A111" s="0" t="s">
        <v>96</v>
      </c>
      <c r="B111" s="0" t="s">
        <v>1698</v>
      </c>
      <c r="C111" s="0" t="s">
        <v>224</v>
      </c>
      <c r="D111" s="0" t="s">
        <v>225</v>
      </c>
      <c r="E111" s="0" t="s">
        <v>1699</v>
      </c>
      <c r="F111" s="1" t="s">
        <v>1471</v>
      </c>
      <c r="H111" s="0" t="s">
        <v>102</v>
      </c>
      <c r="I111" s="0" t="str">
        <f aca="false">"1649"</f>
        <v>1649</v>
      </c>
      <c r="J111" s="0" t="str">
        <f aca="false">"1651"</f>
        <v>1651</v>
      </c>
      <c r="M111" s="1" t="s">
        <v>1700</v>
      </c>
      <c r="N111" s="0" t="s">
        <v>1701</v>
      </c>
      <c r="O111" s="1" t="s">
        <v>1702</v>
      </c>
      <c r="T111" s="0" t="s">
        <v>99</v>
      </c>
      <c r="U111" s="1" t="s">
        <v>1703</v>
      </c>
      <c r="V111" s="1" t="s">
        <v>1704</v>
      </c>
      <c r="Z111" s="0" t="s">
        <v>1705</v>
      </c>
      <c r="AB111" s="1" t="s">
        <v>1706</v>
      </c>
      <c r="AD111" s="0" t="s">
        <v>136</v>
      </c>
      <c r="AE111" s="0" t="s">
        <v>1707</v>
      </c>
      <c r="AF111" s="0" t="s">
        <v>518</v>
      </c>
      <c r="AG111" s="0" t="s">
        <v>98</v>
      </c>
      <c r="AH111" s="0" t="s">
        <v>99</v>
      </c>
      <c r="AI111" s="0" t="s">
        <v>1708</v>
      </c>
      <c r="AO111" s="0" t="s">
        <v>161</v>
      </c>
      <c r="AP111" s="0" t="s">
        <v>1553</v>
      </c>
      <c r="AQ111" s="0" t="s">
        <v>1709</v>
      </c>
      <c r="AS111" s="0" t="s">
        <v>1710</v>
      </c>
      <c r="AT111" s="0" t="s">
        <v>1321</v>
      </c>
      <c r="AU111" s="0" t="s">
        <v>112</v>
      </c>
      <c r="AV111" s="0" t="s">
        <v>113</v>
      </c>
      <c r="AY111" s="0" t="s">
        <v>1711</v>
      </c>
      <c r="AZ111" s="0" t="s">
        <v>1712</v>
      </c>
      <c r="BD111" s="0" t="s">
        <v>265</v>
      </c>
      <c r="BE111" s="0" t="s">
        <v>1556</v>
      </c>
      <c r="BF111" s="0" t="s">
        <v>207</v>
      </c>
      <c r="BG111" s="0" t="s">
        <v>98</v>
      </c>
      <c r="BH111" s="0" t="s">
        <v>116</v>
      </c>
      <c r="BI111" s="0" t="s">
        <v>228</v>
      </c>
      <c r="BJ111" s="1" t="s">
        <v>229</v>
      </c>
      <c r="BU111" s="0" t="s">
        <v>1713</v>
      </c>
      <c r="BX111" s="1" t="s">
        <v>1714</v>
      </c>
      <c r="CH111" s="0" t="s">
        <v>124</v>
      </c>
      <c r="CI111" s="1" t="s">
        <v>1714</v>
      </c>
      <c r="CJ111" s="1" t="s">
        <v>1715</v>
      </c>
      <c r="CO111" s="1" t="s">
        <v>1716</v>
      </c>
      <c r="CS111" s="0" t="s">
        <v>1717</v>
      </c>
    </row>
    <row r="112" customFormat="false" ht="107.5" hidden="false" customHeight="false" outlineLevel="0" collapsed="false">
      <c r="A112" s="0" t="s">
        <v>96</v>
      </c>
      <c r="B112" s="0" t="s">
        <v>1718</v>
      </c>
      <c r="C112" s="0" t="s">
        <v>98</v>
      </c>
      <c r="D112" s="0" t="s">
        <v>99</v>
      </c>
      <c r="E112" s="0" t="s">
        <v>1719</v>
      </c>
      <c r="F112" s="1" t="s">
        <v>201</v>
      </c>
      <c r="H112" s="0" t="s">
        <v>102</v>
      </c>
      <c r="L112" s="0" t="str">
        <f aca="false">"1650"</f>
        <v>1650</v>
      </c>
      <c r="M112" s="1" t="s">
        <v>1720</v>
      </c>
      <c r="O112" s="1" t="s">
        <v>1721</v>
      </c>
      <c r="T112" s="0" t="s">
        <v>99</v>
      </c>
      <c r="U112" s="1" t="s">
        <v>1722</v>
      </c>
      <c r="V112" s="1" t="s">
        <v>1723</v>
      </c>
      <c r="Z112" s="0" t="s">
        <v>1724</v>
      </c>
      <c r="AD112" s="0" t="s">
        <v>107</v>
      </c>
      <c r="AE112" s="0" t="s">
        <v>1725</v>
      </c>
      <c r="AF112" s="0" t="s">
        <v>109</v>
      </c>
      <c r="AG112" s="1" t="s">
        <v>1726</v>
      </c>
      <c r="AH112" s="1" t="s">
        <v>1727</v>
      </c>
      <c r="AI112" s="1" t="s">
        <v>1728</v>
      </c>
      <c r="AO112" s="0" t="s">
        <v>161</v>
      </c>
      <c r="AT112" s="0" t="s">
        <v>139</v>
      </c>
      <c r="AU112" s="0" t="s">
        <v>112</v>
      </c>
      <c r="AV112" s="0" t="s">
        <v>113</v>
      </c>
      <c r="AY112" s="0" t="s">
        <v>1729</v>
      </c>
      <c r="BD112" s="0" t="s">
        <v>140</v>
      </c>
      <c r="BE112" s="1" t="s">
        <v>1730</v>
      </c>
      <c r="BF112" s="1" t="s">
        <v>1731</v>
      </c>
      <c r="BG112" s="0" t="s">
        <v>1732</v>
      </c>
      <c r="BH112" s="0" t="s">
        <v>116</v>
      </c>
      <c r="BI112" s="0" t="s">
        <v>117</v>
      </c>
      <c r="BJ112" s="1" t="s">
        <v>229</v>
      </c>
      <c r="BU112" s="1" t="s">
        <v>1733</v>
      </c>
      <c r="BV112" s="1" t="s">
        <v>1734</v>
      </c>
      <c r="BX112" s="1" t="s">
        <v>1735</v>
      </c>
      <c r="CF112" s="1" t="s">
        <v>1736</v>
      </c>
      <c r="CG112" s="0" t="s">
        <v>123</v>
      </c>
      <c r="CH112" s="0" t="s">
        <v>169</v>
      </c>
      <c r="CI112" s="1" t="s">
        <v>1735</v>
      </c>
      <c r="CJ112" s="1" t="s">
        <v>1737</v>
      </c>
      <c r="CL112" s="0" t="s">
        <v>1738</v>
      </c>
      <c r="CM112" s="0" t="s">
        <v>1738</v>
      </c>
      <c r="CO112" s="1" t="s">
        <v>1739</v>
      </c>
      <c r="CR112" s="0" t="s">
        <v>1740</v>
      </c>
    </row>
    <row r="113" customFormat="false" ht="65" hidden="false" customHeight="false" outlineLevel="0" collapsed="false">
      <c r="A113" s="0" t="s">
        <v>96</v>
      </c>
      <c r="B113" s="0" t="s">
        <v>1741</v>
      </c>
      <c r="C113" s="0" t="s">
        <v>98</v>
      </c>
      <c r="D113" s="0" t="s">
        <v>99</v>
      </c>
      <c r="E113" s="0" t="s">
        <v>1742</v>
      </c>
      <c r="F113" s="1" t="s">
        <v>149</v>
      </c>
      <c r="H113" s="0" t="s">
        <v>102</v>
      </c>
      <c r="K113" s="0" t="s">
        <v>1743</v>
      </c>
      <c r="L113" s="0" t="str">
        <f aca="false">"1652"</f>
        <v>1652</v>
      </c>
      <c r="M113" s="1" t="s">
        <v>1744</v>
      </c>
      <c r="N113" s="0" t="s">
        <v>1701</v>
      </c>
      <c r="O113" s="1" t="s">
        <v>1745</v>
      </c>
      <c r="T113" s="0" t="s">
        <v>1346</v>
      </c>
      <c r="U113" s="1" t="s">
        <v>1746</v>
      </c>
      <c r="V113" s="1" t="s">
        <v>1747</v>
      </c>
      <c r="AD113" s="1" t="s">
        <v>1748</v>
      </c>
      <c r="AE113" s="1" t="s">
        <v>1749</v>
      </c>
      <c r="AF113" s="0" t="s">
        <v>109</v>
      </c>
      <c r="AO113" s="0" t="s">
        <v>161</v>
      </c>
      <c r="AP113" s="0" t="s">
        <v>1350</v>
      </c>
      <c r="AQ113" s="0" t="s">
        <v>1750</v>
      </c>
      <c r="AT113" s="0" t="s">
        <v>139</v>
      </c>
      <c r="AU113" s="0" t="s">
        <v>112</v>
      </c>
      <c r="AV113" s="0" t="s">
        <v>113</v>
      </c>
      <c r="AY113" s="0" t="s">
        <v>1751</v>
      </c>
      <c r="BG113" s="0" t="s">
        <v>98</v>
      </c>
      <c r="BH113" s="0" t="s">
        <v>116</v>
      </c>
      <c r="BI113" s="0" t="s">
        <v>228</v>
      </c>
      <c r="BJ113" s="0" t="s">
        <v>185</v>
      </c>
      <c r="BU113" s="0" t="s">
        <v>1752</v>
      </c>
      <c r="BX113" s="1" t="s">
        <v>1753</v>
      </c>
      <c r="CH113" s="0" t="s">
        <v>124</v>
      </c>
      <c r="CI113" s="1" t="s">
        <v>1753</v>
      </c>
      <c r="CR113" s="0" t="s">
        <v>1754</v>
      </c>
    </row>
    <row r="114" customFormat="false" ht="43.75" hidden="false" customHeight="false" outlineLevel="0" collapsed="false">
      <c r="A114" s="0" t="s">
        <v>96</v>
      </c>
      <c r="B114" s="0" t="s">
        <v>1755</v>
      </c>
      <c r="C114" s="0" t="s">
        <v>98</v>
      </c>
      <c r="D114" s="0" t="s">
        <v>99</v>
      </c>
      <c r="E114" s="0" t="s">
        <v>1756</v>
      </c>
      <c r="F114" s="0" t="s">
        <v>131</v>
      </c>
      <c r="H114" s="0" t="s">
        <v>102</v>
      </c>
      <c r="L114" s="0" t="str">
        <f aca="false">"1736"</f>
        <v>1736</v>
      </c>
      <c r="M114" s="1" t="s">
        <v>1757</v>
      </c>
      <c r="O114" s="1" t="s">
        <v>1758</v>
      </c>
      <c r="U114" s="1" t="s">
        <v>1759</v>
      </c>
      <c r="V114" s="1" t="s">
        <v>1760</v>
      </c>
      <c r="AD114" s="0" t="s">
        <v>107</v>
      </c>
      <c r="AE114" s="0" t="s">
        <v>1761</v>
      </c>
      <c r="AF114" s="0" t="s">
        <v>109</v>
      </c>
      <c r="AO114" s="0" t="s">
        <v>161</v>
      </c>
      <c r="AP114" s="0" t="s">
        <v>1589</v>
      </c>
      <c r="AQ114" s="0" t="s">
        <v>1590</v>
      </c>
      <c r="AT114" s="0" t="s">
        <v>139</v>
      </c>
      <c r="AU114" s="0" t="s">
        <v>112</v>
      </c>
      <c r="AV114" s="0" t="s">
        <v>113</v>
      </c>
      <c r="BG114" s="0" t="s">
        <v>98</v>
      </c>
      <c r="BH114" s="0" t="s">
        <v>116</v>
      </c>
      <c r="BI114" s="0" t="s">
        <v>228</v>
      </c>
      <c r="BJ114" s="0" t="s">
        <v>185</v>
      </c>
      <c r="BU114" s="0" t="s">
        <v>1762</v>
      </c>
      <c r="BX114" s="0" t="s">
        <v>1763</v>
      </c>
      <c r="BY114" s="0" t="s">
        <v>1764</v>
      </c>
      <c r="BZ114" s="0" t="s">
        <v>430</v>
      </c>
      <c r="CH114" s="0" t="s">
        <v>124</v>
      </c>
      <c r="CI114" s="0" t="s">
        <v>1763</v>
      </c>
      <c r="CQ114" s="1" t="s">
        <v>1765</v>
      </c>
      <c r="CR114" s="0" t="s">
        <v>1766</v>
      </c>
    </row>
    <row r="115" customFormat="false" ht="12.8" hidden="false" customHeight="false" outlineLevel="0" collapsed="false">
      <c r="A115" s="0" t="s">
        <v>96</v>
      </c>
      <c r="B115" s="0" t="s">
        <v>1767</v>
      </c>
      <c r="C115" s="0" t="s">
        <v>98</v>
      </c>
      <c r="D115" s="0" t="s">
        <v>99</v>
      </c>
      <c r="E115" s="0" t="s">
        <v>1768</v>
      </c>
      <c r="F115" s="0" t="s">
        <v>192</v>
      </c>
      <c r="H115" s="0" t="s">
        <v>102</v>
      </c>
      <c r="L115" s="0" t="str">
        <f aca="false">"1649"</f>
        <v>1649</v>
      </c>
      <c r="T115" s="0" t="s">
        <v>99</v>
      </c>
      <c r="U115" s="0" t="s">
        <v>424</v>
      </c>
      <c r="V115" s="0" t="s">
        <v>1769</v>
      </c>
      <c r="Z115" s="0" t="s">
        <v>1770</v>
      </c>
      <c r="AD115" s="0" t="s">
        <v>136</v>
      </c>
      <c r="AE115" s="0" t="s">
        <v>1771</v>
      </c>
      <c r="AF115" s="0" t="s">
        <v>109</v>
      </c>
      <c r="AO115" s="0" t="s">
        <v>161</v>
      </c>
      <c r="AP115" s="0" t="s">
        <v>1553</v>
      </c>
      <c r="AQ115" s="0" t="s">
        <v>1772</v>
      </c>
      <c r="AT115" s="0" t="s">
        <v>139</v>
      </c>
      <c r="AU115" s="0" t="s">
        <v>112</v>
      </c>
      <c r="AV115" s="0" t="s">
        <v>113</v>
      </c>
      <c r="AZ115" s="0" t="s">
        <v>1773</v>
      </c>
      <c r="BU115" s="0" t="s">
        <v>1774</v>
      </c>
      <c r="BX115" s="0" t="s">
        <v>1775</v>
      </c>
      <c r="CH115" s="0" t="s">
        <v>454</v>
      </c>
      <c r="CI115" s="0" t="s">
        <v>1775</v>
      </c>
      <c r="CJ115" s="0" t="s">
        <v>1776</v>
      </c>
      <c r="CO115" s="0" t="s">
        <v>1767</v>
      </c>
      <c r="CR115" s="0" t="s">
        <v>1777</v>
      </c>
    </row>
    <row r="116" customFormat="false" ht="86.25" hidden="false" customHeight="false" outlineLevel="0" collapsed="false">
      <c r="A116" s="0" t="s">
        <v>190</v>
      </c>
      <c r="B116" s="0" t="s">
        <v>1778</v>
      </c>
      <c r="C116" s="0" t="s">
        <v>224</v>
      </c>
      <c r="D116" s="0" t="s">
        <v>225</v>
      </c>
      <c r="E116" s="0" t="s">
        <v>1779</v>
      </c>
      <c r="F116" s="0" t="s">
        <v>192</v>
      </c>
      <c r="H116" s="0" t="s">
        <v>102</v>
      </c>
      <c r="L116" s="0" t="str">
        <f aca="false">"1650"</f>
        <v>1650</v>
      </c>
      <c r="M116" s="1" t="s">
        <v>193</v>
      </c>
      <c r="O116" s="1" t="s">
        <v>1780</v>
      </c>
      <c r="T116" s="0" t="s">
        <v>99</v>
      </c>
      <c r="Z116" s="0" t="s">
        <v>1781</v>
      </c>
      <c r="AB116" s="0" t="s">
        <v>1782</v>
      </c>
      <c r="AG116" s="0" t="s">
        <v>1783</v>
      </c>
      <c r="AH116" s="0" t="s">
        <v>1150</v>
      </c>
      <c r="AI116" s="0" t="s">
        <v>1784</v>
      </c>
      <c r="AO116" s="0" t="s">
        <v>1785</v>
      </c>
      <c r="AT116" s="0" t="s">
        <v>111</v>
      </c>
      <c r="AU116" s="0" t="s">
        <v>112</v>
      </c>
      <c r="AY116" s="0" t="s">
        <v>1786</v>
      </c>
      <c r="AZ116" s="0" t="s">
        <v>1787</v>
      </c>
      <c r="BD116" s="0" t="s">
        <v>1788</v>
      </c>
      <c r="BE116" s="0" t="s">
        <v>1789</v>
      </c>
      <c r="BJ116" s="0" t="s">
        <v>118</v>
      </c>
      <c r="BX116" s="0" t="s">
        <v>1790</v>
      </c>
      <c r="CC116" s="1" t="s">
        <v>1791</v>
      </c>
      <c r="CF116" s="1" t="s">
        <v>1792</v>
      </c>
      <c r="CG116" s="0" t="s">
        <v>123</v>
      </c>
      <c r="CH116" s="0" t="s">
        <v>342</v>
      </c>
      <c r="CI116" s="0" t="s">
        <v>1790</v>
      </c>
      <c r="CJ116" s="0" t="s">
        <v>1793</v>
      </c>
      <c r="CL116" s="0" t="s">
        <v>1794</v>
      </c>
      <c r="CM116" s="0" t="s">
        <v>1794</v>
      </c>
      <c r="CO116" s="0" t="s">
        <v>1795</v>
      </c>
      <c r="CP116" s="1" t="s">
        <v>1796</v>
      </c>
      <c r="CR116" s="0" t="s">
        <v>1797</v>
      </c>
    </row>
    <row r="117" customFormat="false" ht="33.1" hidden="false" customHeight="false" outlineLevel="0" collapsed="false">
      <c r="A117" s="0" t="s">
        <v>96</v>
      </c>
      <c r="B117" s="0" t="s">
        <v>1798</v>
      </c>
      <c r="C117" s="0" t="s">
        <v>98</v>
      </c>
      <c r="D117" s="0" t="s">
        <v>99</v>
      </c>
      <c r="E117" s="0" t="s">
        <v>1799</v>
      </c>
      <c r="F117" s="0" t="s">
        <v>192</v>
      </c>
      <c r="H117" s="0" t="s">
        <v>102</v>
      </c>
      <c r="L117" s="0" t="str">
        <f aca="false">"1650"</f>
        <v>1650</v>
      </c>
      <c r="M117" s="0" t="s">
        <v>715</v>
      </c>
      <c r="T117" s="0" t="s">
        <v>99</v>
      </c>
      <c r="U117" s="1" t="s">
        <v>1800</v>
      </c>
      <c r="V117" s="1" t="s">
        <v>1801</v>
      </c>
      <c r="Z117" s="0" t="s">
        <v>1802</v>
      </c>
      <c r="AD117" s="0" t="s">
        <v>136</v>
      </c>
      <c r="AE117" s="0" t="s">
        <v>1803</v>
      </c>
      <c r="AF117" s="0" t="s">
        <v>109</v>
      </c>
      <c r="AG117" s="1" t="s">
        <v>1804</v>
      </c>
      <c r="AH117" s="1" t="s">
        <v>1805</v>
      </c>
      <c r="AI117" s="1" t="s">
        <v>1806</v>
      </c>
      <c r="AJ117" s="0" t="s">
        <v>1807</v>
      </c>
      <c r="AM117" s="0" t="s">
        <v>1808</v>
      </c>
      <c r="AO117" s="0" t="s">
        <v>161</v>
      </c>
      <c r="AP117" s="0" t="s">
        <v>1778</v>
      </c>
      <c r="AQ117" s="0" t="s">
        <v>1809</v>
      </c>
      <c r="AT117" s="0" t="s">
        <v>139</v>
      </c>
      <c r="AU117" s="0" t="s">
        <v>112</v>
      </c>
      <c r="AV117" s="0" t="s">
        <v>113</v>
      </c>
      <c r="BD117" s="0" t="s">
        <v>873</v>
      </c>
      <c r="BE117" s="0" t="s">
        <v>1810</v>
      </c>
      <c r="BF117" s="0" t="s">
        <v>207</v>
      </c>
      <c r="BG117" s="0" t="s">
        <v>98</v>
      </c>
      <c r="BH117" s="0" t="s">
        <v>116</v>
      </c>
      <c r="BI117" s="0" t="s">
        <v>1477</v>
      </c>
      <c r="BJ117" s="1" t="s">
        <v>229</v>
      </c>
      <c r="BU117" s="0" t="s">
        <v>1811</v>
      </c>
      <c r="BX117" s="1" t="s">
        <v>1812</v>
      </c>
      <c r="CH117" s="0" t="s">
        <v>454</v>
      </c>
      <c r="CI117" s="1" t="s">
        <v>1812</v>
      </c>
      <c r="CJ117" s="0" t="s">
        <v>1813</v>
      </c>
      <c r="CO117" s="0" t="s">
        <v>1798</v>
      </c>
      <c r="CR117" s="0" t="s">
        <v>1814</v>
      </c>
      <c r="CS117" s="0" t="s">
        <v>1815</v>
      </c>
    </row>
    <row r="118" customFormat="false" ht="743.75" hidden="false" customHeight="false" outlineLevel="0" collapsed="false">
      <c r="A118" s="0" t="s">
        <v>96</v>
      </c>
      <c r="B118" s="0" t="s">
        <v>1816</v>
      </c>
      <c r="C118" s="0" t="s">
        <v>98</v>
      </c>
      <c r="D118" s="0" t="s">
        <v>99</v>
      </c>
      <c r="E118" s="0" t="s">
        <v>1817</v>
      </c>
      <c r="F118" s="0" t="s">
        <v>219</v>
      </c>
      <c r="H118" s="0" t="s">
        <v>102</v>
      </c>
      <c r="L118" s="0" t="str">
        <f aca="false">"1650"</f>
        <v>1650</v>
      </c>
      <c r="M118" s="1" t="s">
        <v>132</v>
      </c>
      <c r="O118" s="1" t="s">
        <v>1818</v>
      </c>
      <c r="T118" s="0" t="s">
        <v>99</v>
      </c>
      <c r="U118" s="1" t="s">
        <v>1819</v>
      </c>
      <c r="V118" s="1" t="s">
        <v>1820</v>
      </c>
      <c r="AD118" s="0" t="s">
        <v>155</v>
      </c>
      <c r="AE118" s="0" t="s">
        <v>1821</v>
      </c>
      <c r="AF118" s="0" t="s">
        <v>109</v>
      </c>
      <c r="AO118" s="0" t="s">
        <v>161</v>
      </c>
      <c r="AP118" s="0" t="s">
        <v>1778</v>
      </c>
      <c r="AQ118" s="0" t="s">
        <v>1822</v>
      </c>
      <c r="AT118" s="0" t="s">
        <v>1823</v>
      </c>
      <c r="AU118" s="0" t="s">
        <v>112</v>
      </c>
      <c r="AV118" s="0" t="s">
        <v>113</v>
      </c>
      <c r="AY118" s="0" t="s">
        <v>1824</v>
      </c>
      <c r="BD118" s="1" t="s">
        <v>520</v>
      </c>
      <c r="BE118" s="1" t="s">
        <v>1825</v>
      </c>
      <c r="BF118" s="0" t="s">
        <v>207</v>
      </c>
      <c r="BG118" s="1" t="s">
        <v>720</v>
      </c>
      <c r="BH118" s="0" t="s">
        <v>116</v>
      </c>
      <c r="BI118" s="1" t="s">
        <v>721</v>
      </c>
      <c r="BJ118" s="1" t="s">
        <v>229</v>
      </c>
      <c r="BU118" s="1" t="s">
        <v>1826</v>
      </c>
      <c r="BW118" s="1" t="s">
        <v>1827</v>
      </c>
      <c r="BX118" s="0" t="s">
        <v>1828</v>
      </c>
      <c r="CF118" s="0" t="s">
        <v>1829</v>
      </c>
      <c r="CG118" s="0" t="s">
        <v>123</v>
      </c>
      <c r="CH118" s="0" t="s">
        <v>124</v>
      </c>
      <c r="CI118" s="0" t="s">
        <v>1828</v>
      </c>
      <c r="CJ118" s="0" t="s">
        <v>1830</v>
      </c>
      <c r="CL118" s="0" t="s">
        <v>1831</v>
      </c>
      <c r="CM118" s="0" t="s">
        <v>1831</v>
      </c>
      <c r="CO118" s="0" t="s">
        <v>1816</v>
      </c>
      <c r="CR118" s="0" t="s">
        <v>1832</v>
      </c>
    </row>
    <row r="119" customFormat="false" ht="65" hidden="false" customHeight="false" outlineLevel="0" collapsed="false">
      <c r="A119" s="0" t="s">
        <v>96</v>
      </c>
      <c r="B119" s="0" t="s">
        <v>1833</v>
      </c>
      <c r="C119" s="0" t="s">
        <v>98</v>
      </c>
      <c r="D119" s="0" t="s">
        <v>99</v>
      </c>
      <c r="E119" s="0" t="s">
        <v>1764</v>
      </c>
      <c r="F119" s="1" t="s">
        <v>149</v>
      </c>
      <c r="H119" s="0" t="s">
        <v>102</v>
      </c>
      <c r="L119" s="0" t="str">
        <f aca="false">"1650"</f>
        <v>1650</v>
      </c>
      <c r="M119" s="1" t="s">
        <v>132</v>
      </c>
      <c r="O119" s="1" t="s">
        <v>1834</v>
      </c>
      <c r="T119" s="0" t="s">
        <v>99</v>
      </c>
      <c r="U119" s="1" t="s">
        <v>1835</v>
      </c>
      <c r="V119" s="1" t="s">
        <v>1836</v>
      </c>
      <c r="Z119" s="0" t="s">
        <v>1837</v>
      </c>
      <c r="AD119" s="0" t="s">
        <v>155</v>
      </c>
      <c r="AE119" s="0" t="s">
        <v>1838</v>
      </c>
      <c r="AF119" s="0" t="s">
        <v>109</v>
      </c>
      <c r="AG119" s="0" t="s">
        <v>1213</v>
      </c>
      <c r="AH119" s="0" t="s">
        <v>1214</v>
      </c>
      <c r="AI119" s="0" t="s">
        <v>1839</v>
      </c>
      <c r="AO119" s="0" t="s">
        <v>161</v>
      </c>
      <c r="AT119" s="0" t="s">
        <v>139</v>
      </c>
      <c r="AU119" s="0" t="s">
        <v>112</v>
      </c>
      <c r="AV119" s="0" t="s">
        <v>113</v>
      </c>
      <c r="AY119" s="0" t="s">
        <v>1840</v>
      </c>
      <c r="BD119" s="1" t="s">
        <v>520</v>
      </c>
      <c r="BE119" s="1" t="s">
        <v>1841</v>
      </c>
      <c r="BF119" s="1" t="s">
        <v>1842</v>
      </c>
      <c r="BG119" s="0" t="s">
        <v>98</v>
      </c>
      <c r="BH119" s="0" t="s">
        <v>116</v>
      </c>
      <c r="BI119" s="1" t="s">
        <v>184</v>
      </c>
      <c r="BJ119" s="1" t="s">
        <v>229</v>
      </c>
      <c r="BU119" s="0" t="s">
        <v>1843</v>
      </c>
      <c r="BX119" s="0" t="s">
        <v>1844</v>
      </c>
      <c r="BY119" s="0" t="s">
        <v>1756</v>
      </c>
      <c r="BZ119" s="0" t="s">
        <v>1845</v>
      </c>
      <c r="CF119" s="1" t="s">
        <v>1846</v>
      </c>
      <c r="CG119" s="0" t="s">
        <v>123</v>
      </c>
      <c r="CH119" s="0" t="s">
        <v>169</v>
      </c>
      <c r="CI119" s="0" t="s">
        <v>1844</v>
      </c>
      <c r="CJ119" s="0" t="s">
        <v>1847</v>
      </c>
      <c r="CL119" s="0" t="s">
        <v>1848</v>
      </c>
      <c r="CM119" s="0" t="s">
        <v>1848</v>
      </c>
      <c r="CO119" s="0" t="s">
        <v>1833</v>
      </c>
      <c r="CQ119" s="0" t="s">
        <v>1849</v>
      </c>
      <c r="CR119" s="0" t="s">
        <v>1850</v>
      </c>
    </row>
    <row r="120" customFormat="false" ht="33.1" hidden="false" customHeight="false" outlineLevel="0" collapsed="false">
      <c r="A120" s="0" t="s">
        <v>96</v>
      </c>
      <c r="B120" s="0" t="s">
        <v>1851</v>
      </c>
      <c r="C120" s="0" t="s">
        <v>98</v>
      </c>
      <c r="D120" s="0" t="s">
        <v>99</v>
      </c>
      <c r="E120" s="0" t="s">
        <v>1852</v>
      </c>
      <c r="F120" s="1" t="s">
        <v>714</v>
      </c>
      <c r="H120" s="0" t="s">
        <v>102</v>
      </c>
      <c r="K120" s="0" t="s">
        <v>1853</v>
      </c>
      <c r="L120" s="0" t="str">
        <f aca="false">"1650"</f>
        <v>1650</v>
      </c>
      <c r="M120" s="1" t="s">
        <v>193</v>
      </c>
      <c r="N120" s="0" t="s">
        <v>1701</v>
      </c>
      <c r="O120" s="1" t="s">
        <v>1854</v>
      </c>
      <c r="T120" s="0" t="s">
        <v>99</v>
      </c>
      <c r="U120" s="1" t="s">
        <v>1855</v>
      </c>
      <c r="V120" s="1" t="s">
        <v>1856</v>
      </c>
      <c r="Z120" s="0" t="s">
        <v>1857</v>
      </c>
      <c r="AB120" s="0" t="s">
        <v>1858</v>
      </c>
      <c r="AD120" s="0" t="s">
        <v>107</v>
      </c>
      <c r="AE120" s="0" t="s">
        <v>1859</v>
      </c>
      <c r="AF120" s="0" t="s">
        <v>109</v>
      </c>
      <c r="AG120" s="0" t="s">
        <v>224</v>
      </c>
      <c r="AH120" s="0" t="s">
        <v>225</v>
      </c>
      <c r="AI120" s="0" t="s">
        <v>1860</v>
      </c>
      <c r="AO120" s="0" t="s">
        <v>161</v>
      </c>
      <c r="AT120" s="0" t="s">
        <v>139</v>
      </c>
      <c r="AU120" s="0" t="s">
        <v>112</v>
      </c>
      <c r="AV120" s="0" t="s">
        <v>113</v>
      </c>
      <c r="AZ120" s="0" t="s">
        <v>1861</v>
      </c>
      <c r="BG120" s="0" t="s">
        <v>98</v>
      </c>
      <c r="BH120" s="0" t="s">
        <v>116</v>
      </c>
      <c r="BI120" s="0" t="s">
        <v>228</v>
      </c>
      <c r="BJ120" s="0" t="s">
        <v>185</v>
      </c>
      <c r="BU120" s="0" t="s">
        <v>1862</v>
      </c>
      <c r="BV120" s="0" t="s">
        <v>1863</v>
      </c>
      <c r="BX120" s="0" t="s">
        <v>1864</v>
      </c>
      <c r="CH120" s="0" t="s">
        <v>124</v>
      </c>
      <c r="CI120" s="0" t="s">
        <v>1864</v>
      </c>
      <c r="CJ120" s="1" t="s">
        <v>1865</v>
      </c>
      <c r="CO120" s="1" t="s">
        <v>1866</v>
      </c>
      <c r="CR120" s="0" t="s">
        <v>1867</v>
      </c>
    </row>
    <row r="121" customFormat="false" ht="12.8" hidden="false" customHeight="false" outlineLevel="0" collapsed="false">
      <c r="A121" s="0" t="s">
        <v>190</v>
      </c>
      <c r="B121" s="0" t="s">
        <v>1868</v>
      </c>
      <c r="C121" s="0" t="s">
        <v>224</v>
      </c>
      <c r="D121" s="0" t="s">
        <v>225</v>
      </c>
      <c r="E121" s="0" t="s">
        <v>1869</v>
      </c>
      <c r="L121" s="0" t="str">
        <f aca="false">"1649"</f>
        <v>1649</v>
      </c>
      <c r="M121" s="0" t="s">
        <v>448</v>
      </c>
      <c r="O121" s="0" t="s">
        <v>1870</v>
      </c>
      <c r="Z121" s="0" t="s">
        <v>1871</v>
      </c>
      <c r="AB121" s="0" t="s">
        <v>1872</v>
      </c>
      <c r="AS121" s="0" t="s">
        <v>1199</v>
      </c>
      <c r="AT121" s="0" t="s">
        <v>1200</v>
      </c>
      <c r="AU121" s="0" t="s">
        <v>1873</v>
      </c>
      <c r="AV121" s="0" t="s">
        <v>113</v>
      </c>
      <c r="AW121" s="0" t="s">
        <v>907</v>
      </c>
      <c r="BC121" s="0" t="str">
        <f aca="false">"535988478"</f>
        <v>535988478</v>
      </c>
      <c r="BV121" s="0" t="s">
        <v>1874</v>
      </c>
      <c r="BX121" s="0" t="s">
        <v>1875</v>
      </c>
      <c r="CH121" s="0" t="s">
        <v>124</v>
      </c>
      <c r="CI121" s="0" t="s">
        <v>1875</v>
      </c>
      <c r="CJ121" s="0" t="s">
        <v>1876</v>
      </c>
      <c r="CO121" s="0" t="s">
        <v>1868</v>
      </c>
    </row>
    <row r="122" customFormat="false" ht="203.1" hidden="false" customHeight="false" outlineLevel="0" collapsed="false">
      <c r="A122" s="0" t="s">
        <v>190</v>
      </c>
      <c r="B122" s="0" t="s">
        <v>1877</v>
      </c>
      <c r="C122" s="0" t="s">
        <v>1685</v>
      </c>
      <c r="D122" s="0" t="s">
        <v>1686</v>
      </c>
      <c r="E122" s="0" t="s">
        <v>1878</v>
      </c>
      <c r="F122" s="0" t="s">
        <v>192</v>
      </c>
      <c r="H122" s="0" t="s">
        <v>102</v>
      </c>
      <c r="L122" s="0" t="str">
        <f aca="false">"1649"</f>
        <v>1649</v>
      </c>
      <c r="M122" s="1" t="s">
        <v>1879</v>
      </c>
      <c r="O122" s="1" t="s">
        <v>1880</v>
      </c>
      <c r="T122" s="0" t="s">
        <v>1881</v>
      </c>
      <c r="Z122" s="0" t="s">
        <v>1882</v>
      </c>
      <c r="AB122" s="0" t="s">
        <v>1883</v>
      </c>
      <c r="AG122" s="0" t="s">
        <v>224</v>
      </c>
      <c r="AH122" s="0" t="s">
        <v>225</v>
      </c>
      <c r="AI122" s="0" t="s">
        <v>1884</v>
      </c>
      <c r="AS122" s="0" t="s">
        <v>1885</v>
      </c>
      <c r="AT122" s="0" t="s">
        <v>906</v>
      </c>
      <c r="AU122" s="0" t="s">
        <v>112</v>
      </c>
      <c r="AV122" s="0" t="s">
        <v>113</v>
      </c>
      <c r="AW122" s="0" t="s">
        <v>907</v>
      </c>
      <c r="AY122" s="0" t="s">
        <v>1886</v>
      </c>
      <c r="BC122" s="0" t="str">
        <f aca="false">"536791961"</f>
        <v>536791961</v>
      </c>
      <c r="BD122" s="0" t="s">
        <v>873</v>
      </c>
      <c r="BE122" s="0" t="s">
        <v>1887</v>
      </c>
      <c r="BJ122" s="0" t="s">
        <v>118</v>
      </c>
      <c r="BU122" s="1" t="s">
        <v>1888</v>
      </c>
      <c r="BV122" s="1" t="s">
        <v>1889</v>
      </c>
      <c r="BX122" s="1" t="s">
        <v>1890</v>
      </c>
      <c r="CC122" s="1" t="s">
        <v>1891</v>
      </c>
      <c r="CF122" s="1" t="s">
        <v>1892</v>
      </c>
      <c r="CG122" s="0" t="s">
        <v>123</v>
      </c>
      <c r="CH122" s="0" t="s">
        <v>342</v>
      </c>
      <c r="CI122" s="1" t="s">
        <v>1890</v>
      </c>
      <c r="CJ122" s="0" t="s">
        <v>1893</v>
      </c>
      <c r="CL122" s="0" t="s">
        <v>1894</v>
      </c>
      <c r="CM122" s="0" t="s">
        <v>1894</v>
      </c>
      <c r="CO122" s="0" t="s">
        <v>1877</v>
      </c>
      <c r="CR122" s="0" t="s">
        <v>1895</v>
      </c>
    </row>
    <row r="123" customFormat="false" ht="22.5" hidden="false" customHeight="false" outlineLevel="0" collapsed="false">
      <c r="A123" s="0" t="s">
        <v>96</v>
      </c>
      <c r="B123" s="0" t="s">
        <v>1896</v>
      </c>
      <c r="C123" s="0" t="s">
        <v>397</v>
      </c>
      <c r="D123" s="0" t="s">
        <v>398</v>
      </c>
      <c r="E123" s="0" t="s">
        <v>1897</v>
      </c>
      <c r="F123" s="0" t="s">
        <v>131</v>
      </c>
      <c r="H123" s="0" t="s">
        <v>102</v>
      </c>
      <c r="L123" s="0" t="str">
        <f aca="false">"1650"</f>
        <v>1650</v>
      </c>
      <c r="M123" s="0" t="s">
        <v>448</v>
      </c>
      <c r="O123" s="0" t="s">
        <v>1898</v>
      </c>
      <c r="U123" s="0" t="s">
        <v>424</v>
      </c>
      <c r="V123" s="0" t="s">
        <v>1899</v>
      </c>
      <c r="Z123" s="0" t="s">
        <v>1900</v>
      </c>
      <c r="AB123" s="0" t="s">
        <v>1901</v>
      </c>
      <c r="AD123" s="0" t="s">
        <v>136</v>
      </c>
      <c r="AE123" s="0" t="s">
        <v>1902</v>
      </c>
      <c r="AF123" s="0" t="s">
        <v>518</v>
      </c>
      <c r="AS123" s="0" t="s">
        <v>1170</v>
      </c>
      <c r="AT123" s="0" t="s">
        <v>906</v>
      </c>
      <c r="AU123" s="0" t="s">
        <v>1873</v>
      </c>
      <c r="AY123" s="0" t="s">
        <v>1903</v>
      </c>
      <c r="BC123" s="0" t="str">
        <f aca="false">"536741840"</f>
        <v>536741840</v>
      </c>
      <c r="BU123" s="0" t="s">
        <v>1904</v>
      </c>
      <c r="BX123" s="0" t="s">
        <v>1905</v>
      </c>
      <c r="CH123" s="0" t="s">
        <v>124</v>
      </c>
      <c r="CI123" s="0" t="s">
        <v>1905</v>
      </c>
      <c r="CJ123" s="1" t="s">
        <v>1906</v>
      </c>
      <c r="CO123" s="1" t="s">
        <v>1907</v>
      </c>
    </row>
    <row r="124" customFormat="false" ht="22.5" hidden="false" customHeight="false" outlineLevel="0" collapsed="false">
      <c r="A124" s="0" t="s">
        <v>190</v>
      </c>
      <c r="B124" s="0" t="s">
        <v>1908</v>
      </c>
      <c r="C124" s="0" t="s">
        <v>1685</v>
      </c>
      <c r="D124" s="0" t="s">
        <v>1686</v>
      </c>
      <c r="E124" s="0" t="s">
        <v>1909</v>
      </c>
      <c r="L124" s="0" t="str">
        <f aca="false">"1650"</f>
        <v>1650</v>
      </c>
      <c r="M124" s="1" t="s">
        <v>1148</v>
      </c>
      <c r="O124" s="1" t="s">
        <v>1910</v>
      </c>
      <c r="T124" s="0" t="s">
        <v>1911</v>
      </c>
      <c r="Z124" s="0" t="s">
        <v>1912</v>
      </c>
      <c r="AB124" s="0" t="s">
        <v>1913</v>
      </c>
      <c r="AS124" s="0" t="s">
        <v>1914</v>
      </c>
      <c r="AT124" s="0" t="s">
        <v>906</v>
      </c>
      <c r="AU124" s="0" t="s">
        <v>892</v>
      </c>
      <c r="AY124" s="0" t="s">
        <v>1915</v>
      </c>
      <c r="BC124" s="0" t="s">
        <v>1916</v>
      </c>
      <c r="BX124" s="0" t="s">
        <v>1917</v>
      </c>
      <c r="CH124" s="0" t="s">
        <v>342</v>
      </c>
      <c r="CI124" s="0" t="s">
        <v>1917</v>
      </c>
      <c r="CJ124" s="0" t="s">
        <v>1918</v>
      </c>
      <c r="CO124" s="0" t="s">
        <v>1908</v>
      </c>
    </row>
    <row r="125" customFormat="false" ht="150" hidden="false" customHeight="false" outlineLevel="0" collapsed="false">
      <c r="A125" s="0" t="s">
        <v>445</v>
      </c>
      <c r="B125" s="0" t="s">
        <v>1919</v>
      </c>
      <c r="C125" s="0" t="s">
        <v>224</v>
      </c>
      <c r="D125" s="0" t="s">
        <v>225</v>
      </c>
      <c r="E125" s="0" t="s">
        <v>1920</v>
      </c>
      <c r="F125" s="0" t="s">
        <v>192</v>
      </c>
      <c r="H125" s="0" t="s">
        <v>102</v>
      </c>
      <c r="L125" s="0" t="str">
        <f aca="false">"1650"</f>
        <v>1650</v>
      </c>
      <c r="M125" s="0" t="s">
        <v>448</v>
      </c>
      <c r="O125" s="0" t="s">
        <v>1921</v>
      </c>
      <c r="U125" s="0" t="s">
        <v>1922</v>
      </c>
      <c r="V125" s="0" t="s">
        <v>1923</v>
      </c>
      <c r="Z125" s="0" t="s">
        <v>1924</v>
      </c>
      <c r="AB125" s="0" t="s">
        <v>1925</v>
      </c>
      <c r="AS125" s="0" t="s">
        <v>1926</v>
      </c>
      <c r="AT125" s="0" t="s">
        <v>1927</v>
      </c>
      <c r="AU125" s="0" t="s">
        <v>872</v>
      </c>
      <c r="AV125" s="0" t="s">
        <v>113</v>
      </c>
      <c r="AY125" s="0" t="s">
        <v>1928</v>
      </c>
      <c r="BC125" s="0" t="str">
        <f aca="false">"153520760"</f>
        <v>153520760</v>
      </c>
      <c r="BD125" s="0" t="s">
        <v>1117</v>
      </c>
      <c r="BE125" s="0" t="s">
        <v>1929</v>
      </c>
      <c r="BJ125" s="0" t="s">
        <v>118</v>
      </c>
      <c r="BV125" s="1" t="s">
        <v>1930</v>
      </c>
      <c r="BX125" s="1" t="s">
        <v>1931</v>
      </c>
      <c r="CC125" s="1" t="s">
        <v>1932</v>
      </c>
      <c r="CF125" s="1" t="s">
        <v>1933</v>
      </c>
      <c r="CG125" s="0" t="s">
        <v>123</v>
      </c>
      <c r="CH125" s="1" t="s">
        <v>1934</v>
      </c>
      <c r="CI125" s="1" t="s">
        <v>1931</v>
      </c>
      <c r="CJ125" s="0" t="s">
        <v>1935</v>
      </c>
      <c r="CL125" s="1" t="s">
        <v>1936</v>
      </c>
      <c r="CM125" s="1" t="s">
        <v>1936</v>
      </c>
      <c r="CO125" s="0" t="s">
        <v>1919</v>
      </c>
      <c r="CR125" s="0" t="s">
        <v>1937</v>
      </c>
    </row>
    <row r="126" customFormat="false" ht="22.5" hidden="false" customHeight="false" outlineLevel="0" collapsed="false">
      <c r="A126" s="0" t="s">
        <v>190</v>
      </c>
      <c r="B126" s="0" t="s">
        <v>1938</v>
      </c>
      <c r="C126" s="0" t="s">
        <v>224</v>
      </c>
      <c r="D126" s="0" t="s">
        <v>225</v>
      </c>
      <c r="E126" s="0" t="s">
        <v>1939</v>
      </c>
      <c r="L126" s="0" t="str">
        <f aca="false">"1650"</f>
        <v>1650</v>
      </c>
      <c r="M126" s="1" t="s">
        <v>898</v>
      </c>
      <c r="O126" s="1" t="s">
        <v>1940</v>
      </c>
      <c r="T126" s="0" t="s">
        <v>1150</v>
      </c>
      <c r="Z126" s="0" t="s">
        <v>1941</v>
      </c>
      <c r="AB126" s="0" t="s">
        <v>1942</v>
      </c>
      <c r="AG126" s="0" t="s">
        <v>397</v>
      </c>
      <c r="AH126" s="0" t="s">
        <v>398</v>
      </c>
      <c r="AI126" s="0" t="s">
        <v>1943</v>
      </c>
      <c r="AM126" s="0" t="s">
        <v>1944</v>
      </c>
      <c r="AS126" s="0" t="s">
        <v>1945</v>
      </c>
      <c r="AT126" s="0" t="s">
        <v>906</v>
      </c>
      <c r="AU126" s="0" t="s">
        <v>892</v>
      </c>
      <c r="BC126" s="0" t="str">
        <f aca="false">"229126537"</f>
        <v>229126537</v>
      </c>
      <c r="BX126" s="1" t="s">
        <v>1946</v>
      </c>
      <c r="CI126" s="1" t="s">
        <v>1946</v>
      </c>
      <c r="CJ126" s="0" t="s">
        <v>1947</v>
      </c>
      <c r="CO126" s="0" t="s">
        <v>1948</v>
      </c>
    </row>
    <row r="127" customFormat="false" ht="616.85" hidden="false" customHeight="false" outlineLevel="0" collapsed="false">
      <c r="A127" s="0" t="s">
        <v>96</v>
      </c>
      <c r="B127" s="0" t="s">
        <v>1949</v>
      </c>
      <c r="C127" s="0" t="s">
        <v>98</v>
      </c>
      <c r="D127" s="0" t="s">
        <v>99</v>
      </c>
      <c r="E127" s="0" t="s">
        <v>1950</v>
      </c>
      <c r="F127" s="0" t="s">
        <v>131</v>
      </c>
      <c r="H127" s="0" t="s">
        <v>102</v>
      </c>
      <c r="L127" s="0" t="str">
        <f aca="false">"1650"</f>
        <v>1650</v>
      </c>
      <c r="M127" s="0" t="s">
        <v>448</v>
      </c>
      <c r="O127" s="0" t="s">
        <v>1898</v>
      </c>
      <c r="U127" s="1" t="s">
        <v>1951</v>
      </c>
      <c r="V127" s="1" t="s">
        <v>1952</v>
      </c>
      <c r="Z127" s="0" t="s">
        <v>1953</v>
      </c>
      <c r="AB127" s="0" t="s">
        <v>1954</v>
      </c>
      <c r="AD127" s="0" t="s">
        <v>136</v>
      </c>
      <c r="AE127" s="0" t="s">
        <v>1955</v>
      </c>
      <c r="AF127" s="0" t="s">
        <v>109</v>
      </c>
      <c r="AG127" s="0" t="s">
        <v>224</v>
      </c>
      <c r="AH127" s="0" t="s">
        <v>225</v>
      </c>
      <c r="AI127" s="0" t="s">
        <v>1956</v>
      </c>
      <c r="AP127" s="0" t="s">
        <v>1350</v>
      </c>
      <c r="AQ127" s="0" t="s">
        <v>1957</v>
      </c>
      <c r="AS127" s="0" t="s">
        <v>1710</v>
      </c>
      <c r="AT127" s="0" t="s">
        <v>1321</v>
      </c>
      <c r="AU127" s="0" t="s">
        <v>112</v>
      </c>
      <c r="AV127" s="0" t="s">
        <v>113</v>
      </c>
      <c r="AY127" s="0" t="s">
        <v>1958</v>
      </c>
      <c r="BC127" s="0" t="s">
        <v>1959</v>
      </c>
      <c r="BU127" s="1" t="s">
        <v>1960</v>
      </c>
      <c r="BW127" s="1" t="s">
        <v>1961</v>
      </c>
      <c r="BX127" s="0" t="s">
        <v>1962</v>
      </c>
      <c r="CF127" s="1" t="s">
        <v>1963</v>
      </c>
      <c r="CG127" s="0" t="s">
        <v>123</v>
      </c>
      <c r="CH127" s="0" t="s">
        <v>169</v>
      </c>
      <c r="CI127" s="0" t="s">
        <v>1962</v>
      </c>
      <c r="CJ127" s="0" t="s">
        <v>1964</v>
      </c>
      <c r="CL127" s="0" t="s">
        <v>1965</v>
      </c>
      <c r="CM127" s="0" t="s">
        <v>1965</v>
      </c>
      <c r="CO127" s="0" t="s">
        <v>1949</v>
      </c>
      <c r="CR127" s="0" t="s">
        <v>1966</v>
      </c>
    </row>
    <row r="128" customFormat="false" ht="43.75" hidden="false" customHeight="false" outlineLevel="0" collapsed="false">
      <c r="A128" s="0" t="s">
        <v>190</v>
      </c>
      <c r="B128" s="0" t="s">
        <v>1967</v>
      </c>
      <c r="C128" s="0" t="s">
        <v>895</v>
      </c>
      <c r="D128" s="0" t="s">
        <v>896</v>
      </c>
      <c r="E128" s="0" t="s">
        <v>1968</v>
      </c>
      <c r="F128" s="0" t="s">
        <v>192</v>
      </c>
      <c r="H128" s="0" t="s">
        <v>102</v>
      </c>
      <c r="L128" s="0" t="str">
        <f aca="false">"1651"</f>
        <v>1651</v>
      </c>
      <c r="M128" s="1" t="s">
        <v>1969</v>
      </c>
      <c r="O128" s="1" t="s">
        <v>1970</v>
      </c>
      <c r="T128" s="0" t="s">
        <v>1416</v>
      </c>
      <c r="Z128" s="0" t="s">
        <v>1971</v>
      </c>
      <c r="AB128" s="0" t="s">
        <v>1972</v>
      </c>
      <c r="AG128" s="0" t="s">
        <v>224</v>
      </c>
      <c r="AH128" s="0" t="s">
        <v>225</v>
      </c>
      <c r="AI128" s="0" t="s">
        <v>1973</v>
      </c>
      <c r="AS128" s="0" t="s">
        <v>1974</v>
      </c>
      <c r="AT128" s="0" t="s">
        <v>906</v>
      </c>
      <c r="AU128" s="0" t="s">
        <v>112</v>
      </c>
      <c r="AV128" s="0" t="s">
        <v>113</v>
      </c>
      <c r="BC128" s="0" t="str">
        <f aca="false">"151725683"</f>
        <v>151725683</v>
      </c>
      <c r="BD128" s="0" t="s">
        <v>873</v>
      </c>
      <c r="BE128" s="0" t="s">
        <v>1975</v>
      </c>
      <c r="BJ128" s="0" t="s">
        <v>118</v>
      </c>
      <c r="BX128" s="0" t="s">
        <v>1976</v>
      </c>
      <c r="CF128" s="1" t="s">
        <v>1977</v>
      </c>
      <c r="CG128" s="0" t="s">
        <v>123</v>
      </c>
      <c r="CH128" s="0" t="s">
        <v>298</v>
      </c>
      <c r="CI128" s="0" t="s">
        <v>1976</v>
      </c>
      <c r="CJ128" s="0" t="s">
        <v>1978</v>
      </c>
      <c r="CL128" s="0" t="s">
        <v>1979</v>
      </c>
      <c r="CM128" s="0" t="s">
        <v>1979</v>
      </c>
      <c r="CO128" s="0" t="s">
        <v>1980</v>
      </c>
      <c r="CR128" s="0" t="s">
        <v>1981</v>
      </c>
    </row>
    <row r="129" customFormat="false" ht="22.5" hidden="false" customHeight="false" outlineLevel="0" collapsed="false">
      <c r="A129" s="0" t="s">
        <v>190</v>
      </c>
      <c r="B129" s="0" t="s">
        <v>1982</v>
      </c>
      <c r="C129" s="0" t="s">
        <v>242</v>
      </c>
      <c r="D129" s="0" t="s">
        <v>243</v>
      </c>
      <c r="E129" s="0" t="s">
        <v>1983</v>
      </c>
      <c r="F129" s="0" t="s">
        <v>192</v>
      </c>
      <c r="H129" s="0" t="s">
        <v>488</v>
      </c>
      <c r="L129" s="0" t="str">
        <f aca="false">"1653"</f>
        <v>1653</v>
      </c>
      <c r="M129" s="1" t="s">
        <v>898</v>
      </c>
      <c r="O129" s="1" t="s">
        <v>1984</v>
      </c>
      <c r="T129" s="0" t="s">
        <v>1985</v>
      </c>
      <c r="Z129" s="0" t="s">
        <v>1986</v>
      </c>
      <c r="AB129" s="0" t="s">
        <v>1987</v>
      </c>
      <c r="AS129" s="0" t="s">
        <v>1945</v>
      </c>
      <c r="AT129" s="0" t="s">
        <v>906</v>
      </c>
      <c r="AU129" s="0" t="s">
        <v>112</v>
      </c>
      <c r="AW129" s="0" t="s">
        <v>907</v>
      </c>
      <c r="BC129" s="0" t="str">
        <f aca="false">"536156816"</f>
        <v>536156816</v>
      </c>
      <c r="BD129" s="0" t="s">
        <v>873</v>
      </c>
      <c r="BE129" s="0" t="s">
        <v>1988</v>
      </c>
      <c r="BJ129" s="0" t="s">
        <v>118</v>
      </c>
      <c r="BX129" s="0" t="s">
        <v>1989</v>
      </c>
      <c r="CI129" s="0" t="s">
        <v>1989</v>
      </c>
      <c r="CJ129" s="0" t="s">
        <v>1990</v>
      </c>
      <c r="CO129" s="0" t="s">
        <v>1982</v>
      </c>
    </row>
    <row r="130" customFormat="false" ht="65" hidden="false" customHeight="false" outlineLevel="0" collapsed="false">
      <c r="A130" s="0" t="s">
        <v>445</v>
      </c>
      <c r="B130" s="0" t="s">
        <v>1991</v>
      </c>
      <c r="C130" s="0" t="s">
        <v>224</v>
      </c>
      <c r="D130" s="0" t="s">
        <v>225</v>
      </c>
      <c r="E130" s="0" t="s">
        <v>1992</v>
      </c>
      <c r="F130" s="0" t="s">
        <v>192</v>
      </c>
      <c r="H130" s="0" t="s">
        <v>102</v>
      </c>
      <c r="L130" s="0" t="str">
        <f aca="false">"1659"</f>
        <v>1659</v>
      </c>
      <c r="M130" s="0" t="s">
        <v>1993</v>
      </c>
      <c r="O130" s="0" t="s">
        <v>1994</v>
      </c>
      <c r="Z130" s="0" t="s">
        <v>1995</v>
      </c>
      <c r="AG130" s="0" t="s">
        <v>397</v>
      </c>
      <c r="AH130" s="0" t="s">
        <v>398</v>
      </c>
      <c r="AI130" s="0" t="s">
        <v>1996</v>
      </c>
      <c r="AJ130" s="0" t="s">
        <v>1997</v>
      </c>
      <c r="AS130" s="0" t="s">
        <v>1998</v>
      </c>
      <c r="AT130" s="0" t="s">
        <v>906</v>
      </c>
      <c r="AU130" s="0" t="s">
        <v>112</v>
      </c>
      <c r="AW130" s="0" t="s">
        <v>907</v>
      </c>
      <c r="AY130" s="0" t="s">
        <v>1999</v>
      </c>
      <c r="BC130" s="0" t="str">
        <f aca="false">"337357730"</f>
        <v>337357730</v>
      </c>
      <c r="BX130" s="0" t="s">
        <v>2000</v>
      </c>
      <c r="CC130" s="1" t="s">
        <v>2001</v>
      </c>
      <c r="CF130" s="1" t="s">
        <v>2002</v>
      </c>
      <c r="CG130" s="0" t="s">
        <v>123</v>
      </c>
      <c r="CH130" s="0" t="s">
        <v>298</v>
      </c>
      <c r="CI130" s="0" t="s">
        <v>2000</v>
      </c>
      <c r="CJ130" s="0" t="s">
        <v>2003</v>
      </c>
      <c r="CL130" s="0" t="s">
        <v>2004</v>
      </c>
      <c r="CM130" s="0" t="s">
        <v>2004</v>
      </c>
      <c r="CO130" s="0" t="s">
        <v>1991</v>
      </c>
      <c r="CR130" s="0" t="s">
        <v>2005</v>
      </c>
    </row>
    <row r="131" customFormat="false" ht="22.5" hidden="false" customHeight="false" outlineLevel="0" collapsed="false">
      <c r="A131" s="0" t="s">
        <v>190</v>
      </c>
      <c r="B131" s="0" t="s">
        <v>2006</v>
      </c>
      <c r="C131" s="0" t="s">
        <v>224</v>
      </c>
      <c r="D131" s="0" t="s">
        <v>225</v>
      </c>
      <c r="E131" s="0" t="s">
        <v>2007</v>
      </c>
      <c r="L131" s="0" t="str">
        <f aca="false">"1670"</f>
        <v>1670</v>
      </c>
      <c r="M131" s="1" t="s">
        <v>2008</v>
      </c>
      <c r="O131" s="1" t="s">
        <v>2009</v>
      </c>
      <c r="T131" s="0" t="s">
        <v>2010</v>
      </c>
      <c r="Z131" s="0" t="s">
        <v>2011</v>
      </c>
      <c r="AS131" s="0" t="s">
        <v>2012</v>
      </c>
      <c r="AT131" s="0" t="s">
        <v>1200</v>
      </c>
      <c r="AU131" s="0" t="s">
        <v>872</v>
      </c>
      <c r="AV131" s="0" t="s">
        <v>113</v>
      </c>
      <c r="AW131" s="0" t="s">
        <v>907</v>
      </c>
      <c r="AY131" s="0" t="s">
        <v>2013</v>
      </c>
      <c r="BC131" s="0" t="str">
        <f aca="false">"536690618"</f>
        <v>536690618</v>
      </c>
      <c r="CJ131" s="0" t="s">
        <v>2014</v>
      </c>
      <c r="CO131" s="0" t="s">
        <v>2006</v>
      </c>
    </row>
    <row r="132" customFormat="false" ht="22.5" hidden="false" customHeight="false" outlineLevel="0" collapsed="false">
      <c r="A132" s="0" t="s">
        <v>96</v>
      </c>
      <c r="B132" s="0" t="s">
        <v>2015</v>
      </c>
      <c r="C132" s="0" t="s">
        <v>397</v>
      </c>
      <c r="D132" s="0" t="s">
        <v>398</v>
      </c>
      <c r="E132" s="0" t="s">
        <v>2016</v>
      </c>
      <c r="F132" s="0" t="s">
        <v>131</v>
      </c>
      <c r="H132" s="0" t="s">
        <v>102</v>
      </c>
      <c r="L132" s="0" t="str">
        <f aca="false">"1680"</f>
        <v>1680</v>
      </c>
      <c r="U132" s="0" t="s">
        <v>2017</v>
      </c>
      <c r="V132" s="0" t="s">
        <v>2018</v>
      </c>
      <c r="Z132" s="0" t="s">
        <v>2019</v>
      </c>
      <c r="AB132" s="0" t="s">
        <v>2020</v>
      </c>
      <c r="AD132" s="0" t="s">
        <v>136</v>
      </c>
      <c r="AE132" s="0" t="s">
        <v>2021</v>
      </c>
      <c r="AF132" s="0" t="s">
        <v>109</v>
      </c>
      <c r="AS132" s="0" t="s">
        <v>1710</v>
      </c>
      <c r="AT132" s="0" t="s">
        <v>906</v>
      </c>
      <c r="AU132" s="0" t="s">
        <v>892</v>
      </c>
      <c r="AV132" s="0" t="s">
        <v>113</v>
      </c>
      <c r="BC132" s="0" t="str">
        <f aca="false">"748697950"</f>
        <v>748697950</v>
      </c>
      <c r="BU132" s="0" t="s">
        <v>2022</v>
      </c>
      <c r="BW132" s="0" t="s">
        <v>2023</v>
      </c>
      <c r="BX132" s="0" t="s">
        <v>2024</v>
      </c>
      <c r="CC132" s="0" t="s">
        <v>2025</v>
      </c>
      <c r="CH132" s="0" t="s">
        <v>625</v>
      </c>
      <c r="CI132" s="0" t="s">
        <v>2024</v>
      </c>
      <c r="CJ132" s="1" t="s">
        <v>2026</v>
      </c>
      <c r="CO132" s="1" t="s">
        <v>2027</v>
      </c>
    </row>
    <row r="133" customFormat="false" ht="12.8" hidden="false" customHeight="false" outlineLevel="0" collapsed="false">
      <c r="A133" s="0" t="s">
        <v>190</v>
      </c>
      <c r="B133" s="0" t="s">
        <v>2028</v>
      </c>
      <c r="C133" s="0" t="s">
        <v>224</v>
      </c>
      <c r="D133" s="0" t="s">
        <v>225</v>
      </c>
      <c r="E133" s="0" t="s">
        <v>2029</v>
      </c>
      <c r="L133" s="0" t="str">
        <f aca="false">"1680"</f>
        <v>1680</v>
      </c>
      <c r="Z133" s="0" t="s">
        <v>2030</v>
      </c>
      <c r="AS133" s="0" t="s">
        <v>2031</v>
      </c>
      <c r="AT133" s="0" t="s">
        <v>906</v>
      </c>
      <c r="AU133" s="0" t="s">
        <v>872</v>
      </c>
      <c r="AW133" s="0" t="s">
        <v>907</v>
      </c>
      <c r="AY133" s="0" t="s">
        <v>2032</v>
      </c>
      <c r="BC133" s="0" t="str">
        <f aca="false">"536962855"</f>
        <v>536962855</v>
      </c>
      <c r="CJ133" s="0" t="s">
        <v>2033</v>
      </c>
      <c r="CO133" s="0" t="s">
        <v>2028</v>
      </c>
    </row>
    <row r="134" customFormat="false" ht="12.8" hidden="false" customHeight="false" outlineLevel="0" collapsed="false">
      <c r="A134" s="0" t="s">
        <v>445</v>
      </c>
      <c r="B134" s="0" t="s">
        <v>2034</v>
      </c>
      <c r="C134" s="0" t="s">
        <v>1685</v>
      </c>
      <c r="D134" s="0" t="s">
        <v>1686</v>
      </c>
      <c r="E134" s="0" t="s">
        <v>2035</v>
      </c>
      <c r="I134" s="0" t="str">
        <f aca="false">"1701"</f>
        <v>1701</v>
      </c>
      <c r="J134" s="0" t="str">
        <f aca="false">"1702"</f>
        <v>1702</v>
      </c>
      <c r="K134" s="0" t="s">
        <v>2036</v>
      </c>
      <c r="AA134" s="0" t="str">
        <f aca="false">"10088733"</f>
        <v>10088733</v>
      </c>
      <c r="AB134" s="0" t="s">
        <v>2037</v>
      </c>
      <c r="AS134" s="0" t="s">
        <v>1139</v>
      </c>
      <c r="AT134" s="0" t="s">
        <v>906</v>
      </c>
      <c r="AU134" s="0" t="s">
        <v>892</v>
      </c>
      <c r="BC134" s="0" t="str">
        <f aca="false">"636189384"</f>
        <v>636189384</v>
      </c>
      <c r="BX134" s="0" t="s">
        <v>2038</v>
      </c>
      <c r="CI134" s="0" t="s">
        <v>2038</v>
      </c>
      <c r="CJ134" s="0" t="s">
        <v>2039</v>
      </c>
      <c r="CO134" s="0" t="s">
        <v>2040</v>
      </c>
    </row>
    <row r="135" customFormat="false" ht="12.8" hidden="false" customHeight="false" outlineLevel="0" collapsed="false">
      <c r="A135" s="0" t="s">
        <v>190</v>
      </c>
      <c r="B135" s="0" t="s">
        <v>2041</v>
      </c>
      <c r="E135" s="0" t="s">
        <v>2042</v>
      </c>
      <c r="L135" s="0" t="str">
        <f aca="false">"1707"</f>
        <v>1707</v>
      </c>
      <c r="AA135" s="0" t="str">
        <f aca="false">"11501618"</f>
        <v>11501618</v>
      </c>
      <c r="AB135" s="0" t="s">
        <v>2043</v>
      </c>
      <c r="AS135" s="0" t="s">
        <v>1116</v>
      </c>
      <c r="AT135" s="0" t="s">
        <v>906</v>
      </c>
      <c r="AU135" s="0" t="s">
        <v>112</v>
      </c>
      <c r="AW135" s="0" t="s">
        <v>907</v>
      </c>
      <c r="AY135" s="0" t="s">
        <v>2044</v>
      </c>
      <c r="BV135" s="0" t="s">
        <v>2045</v>
      </c>
      <c r="BX135" s="0" t="s">
        <v>2046</v>
      </c>
      <c r="CH135" s="0" t="s">
        <v>342</v>
      </c>
      <c r="CI135" s="0" t="s">
        <v>2046</v>
      </c>
      <c r="CJ135" s="0" t="s">
        <v>2047</v>
      </c>
      <c r="CO135" s="0" t="s">
        <v>2041</v>
      </c>
    </row>
    <row r="136" customFormat="false" ht="96.85" hidden="false" customHeight="false" outlineLevel="0" collapsed="false">
      <c r="A136" s="0" t="s">
        <v>190</v>
      </c>
      <c r="B136" s="0" t="s">
        <v>2048</v>
      </c>
      <c r="C136" s="0" t="s">
        <v>98</v>
      </c>
      <c r="D136" s="0" t="s">
        <v>99</v>
      </c>
      <c r="E136" s="0" t="s">
        <v>2049</v>
      </c>
      <c r="F136" s="0" t="s">
        <v>192</v>
      </c>
      <c r="H136" s="0" t="s">
        <v>102</v>
      </c>
      <c r="L136" s="0" t="str">
        <f aca="false">"1650"</f>
        <v>1650</v>
      </c>
      <c r="M136" s="1" t="s">
        <v>2050</v>
      </c>
      <c r="O136" s="1" t="s">
        <v>2051</v>
      </c>
      <c r="T136" s="0" t="s">
        <v>99</v>
      </c>
      <c r="Z136" s="0" t="s">
        <v>2052</v>
      </c>
      <c r="AB136" s="0" t="s">
        <v>2053</v>
      </c>
      <c r="AG136" s="0" t="s">
        <v>1429</v>
      </c>
      <c r="AH136" s="0" t="s">
        <v>99</v>
      </c>
      <c r="AI136" s="0" t="s">
        <v>2054</v>
      </c>
      <c r="AJ136" s="0" t="s">
        <v>2055</v>
      </c>
      <c r="AO136" s="0" t="s">
        <v>1568</v>
      </c>
      <c r="AP136" s="0" t="s">
        <v>1569</v>
      </c>
      <c r="AS136" s="0" t="s">
        <v>2056</v>
      </c>
      <c r="AT136" s="0" t="s">
        <v>111</v>
      </c>
      <c r="AU136" s="0" t="s">
        <v>112</v>
      </c>
      <c r="AV136" s="0" t="s">
        <v>113</v>
      </c>
      <c r="AY136" s="0" t="s">
        <v>2057</v>
      </c>
      <c r="BD136" s="0" t="s">
        <v>873</v>
      </c>
      <c r="BE136" s="0" t="s">
        <v>2058</v>
      </c>
      <c r="BJ136" s="0" t="s">
        <v>185</v>
      </c>
      <c r="CJ136" s="1" t="s">
        <v>2059</v>
      </c>
      <c r="CO136" s="1" t="s">
        <v>2060</v>
      </c>
      <c r="CP136" s="0" t="s">
        <v>2061</v>
      </c>
    </row>
    <row r="137" customFormat="false" ht="43.75" hidden="false" customHeight="false" outlineLevel="0" collapsed="false">
      <c r="A137" s="0" t="s">
        <v>2062</v>
      </c>
      <c r="B137" s="0" t="s">
        <v>2063</v>
      </c>
      <c r="C137" s="0" t="s">
        <v>224</v>
      </c>
      <c r="D137" s="0" t="s">
        <v>225</v>
      </c>
      <c r="E137" s="0" t="s">
        <v>2064</v>
      </c>
      <c r="F137" s="0" t="s">
        <v>131</v>
      </c>
      <c r="H137" s="0" t="s">
        <v>102</v>
      </c>
      <c r="L137" s="0" t="str">
        <f aca="false">"1650"</f>
        <v>1650</v>
      </c>
      <c r="T137" s="0" t="s">
        <v>99</v>
      </c>
      <c r="U137" s="0" t="s">
        <v>2065</v>
      </c>
      <c r="V137" s="0" t="s">
        <v>2066</v>
      </c>
      <c r="AD137" s="0" t="s">
        <v>155</v>
      </c>
      <c r="AE137" s="0" t="s">
        <v>2067</v>
      </c>
      <c r="AF137" s="0" t="s">
        <v>2068</v>
      </c>
      <c r="AG137" s="0" t="s">
        <v>98</v>
      </c>
      <c r="AH137" s="0" t="s">
        <v>99</v>
      </c>
      <c r="AI137" s="0" t="s">
        <v>2069</v>
      </c>
      <c r="AO137" s="0" t="s">
        <v>2070</v>
      </c>
      <c r="AP137" s="0" t="s">
        <v>2048</v>
      </c>
      <c r="AQ137" s="0" t="s">
        <v>2071</v>
      </c>
      <c r="AT137" s="0" t="s">
        <v>139</v>
      </c>
      <c r="AU137" s="0" t="s">
        <v>112</v>
      </c>
      <c r="AV137" s="0" t="s">
        <v>113</v>
      </c>
      <c r="BU137" s="1" t="s">
        <v>2072</v>
      </c>
      <c r="BX137" s="0" t="s">
        <v>2073</v>
      </c>
      <c r="CF137" s="0" t="s">
        <v>2074</v>
      </c>
      <c r="CG137" s="0" t="s">
        <v>123</v>
      </c>
      <c r="CH137" s="0" t="s">
        <v>1265</v>
      </c>
      <c r="CI137" s="0" t="s">
        <v>2073</v>
      </c>
      <c r="CJ137" s="0" t="s">
        <v>2075</v>
      </c>
      <c r="CO137" s="0" t="s">
        <v>2076</v>
      </c>
      <c r="CR137" s="0" t="s">
        <v>2077</v>
      </c>
    </row>
    <row r="138" customFormat="false" ht="33.1" hidden="false" customHeight="false" outlineLevel="0" collapsed="false">
      <c r="A138" s="0" t="s">
        <v>2062</v>
      </c>
      <c r="B138" s="0" t="s">
        <v>2078</v>
      </c>
      <c r="C138" s="0" t="s">
        <v>98</v>
      </c>
      <c r="D138" s="0" t="s">
        <v>99</v>
      </c>
      <c r="F138" s="0" t="s">
        <v>219</v>
      </c>
      <c r="H138" s="0" t="s">
        <v>102</v>
      </c>
      <c r="L138" s="0" t="str">
        <f aca="false">"1650"</f>
        <v>1650</v>
      </c>
      <c r="M138" s="0" t="s">
        <v>150</v>
      </c>
      <c r="O138" s="0" t="s">
        <v>2079</v>
      </c>
      <c r="U138" s="1" t="s">
        <v>2080</v>
      </c>
      <c r="V138" s="1" t="s">
        <v>2081</v>
      </c>
      <c r="AB138" s="0" t="s">
        <v>2082</v>
      </c>
      <c r="AD138" s="0" t="s">
        <v>155</v>
      </c>
      <c r="AE138" s="0" t="s">
        <v>2083</v>
      </c>
      <c r="AF138" s="0" t="s">
        <v>109</v>
      </c>
      <c r="AG138" s="0" t="s">
        <v>224</v>
      </c>
      <c r="AH138" s="0" t="s">
        <v>225</v>
      </c>
      <c r="AI138" s="0" t="s">
        <v>2084</v>
      </c>
      <c r="AO138" s="0" t="s">
        <v>2070</v>
      </c>
      <c r="AP138" s="0" t="s">
        <v>1553</v>
      </c>
      <c r="AQ138" s="0" t="s">
        <v>2071</v>
      </c>
      <c r="AT138" s="0" t="s">
        <v>139</v>
      </c>
      <c r="AU138" s="0" t="s">
        <v>112</v>
      </c>
      <c r="AV138" s="0" t="s">
        <v>113</v>
      </c>
      <c r="BD138" s="0" t="s">
        <v>140</v>
      </c>
      <c r="BE138" s="0" t="s">
        <v>2085</v>
      </c>
      <c r="BF138" s="0" t="s">
        <v>142</v>
      </c>
      <c r="BJ138" s="0" t="s">
        <v>118</v>
      </c>
      <c r="BU138" s="0" t="s">
        <v>2086</v>
      </c>
      <c r="BX138" s="0" t="s">
        <v>2087</v>
      </c>
      <c r="CH138" s="0" t="s">
        <v>1265</v>
      </c>
      <c r="CI138" s="0" t="s">
        <v>2087</v>
      </c>
      <c r="CJ138" s="1" t="s">
        <v>2088</v>
      </c>
      <c r="CO138" s="1" t="s">
        <v>2089</v>
      </c>
      <c r="CS138" s="0" t="s">
        <v>2090</v>
      </c>
    </row>
    <row r="139" customFormat="false" ht="65" hidden="false" customHeight="false" outlineLevel="0" collapsed="false">
      <c r="A139" s="0" t="s">
        <v>527</v>
      </c>
      <c r="B139" s="0" t="s">
        <v>2091</v>
      </c>
      <c r="C139" s="0" t="s">
        <v>98</v>
      </c>
      <c r="D139" s="0" t="s">
        <v>99</v>
      </c>
      <c r="E139" s="0" t="s">
        <v>2092</v>
      </c>
      <c r="F139" s="0" t="s">
        <v>255</v>
      </c>
      <c r="G139" s="0" t="s">
        <v>256</v>
      </c>
      <c r="L139" s="0" t="str">
        <f aca="false">"1635"</f>
        <v>1635</v>
      </c>
      <c r="M139" s="0" t="s">
        <v>553</v>
      </c>
      <c r="O139" s="0" t="s">
        <v>615</v>
      </c>
      <c r="U139" s="1" t="s">
        <v>2093</v>
      </c>
      <c r="V139" s="1" t="s">
        <v>2094</v>
      </c>
      <c r="AD139" s="1" t="s">
        <v>557</v>
      </c>
      <c r="AE139" s="1" t="s">
        <v>2095</v>
      </c>
      <c r="AF139" s="1" t="s">
        <v>263</v>
      </c>
      <c r="AO139" s="0" t="s">
        <v>539</v>
      </c>
      <c r="AT139" s="0" t="s">
        <v>139</v>
      </c>
      <c r="AU139" s="0" t="s">
        <v>112</v>
      </c>
      <c r="AV139" s="0" t="s">
        <v>113</v>
      </c>
      <c r="BD139" s="0" t="s">
        <v>265</v>
      </c>
      <c r="BE139" s="0" t="s">
        <v>808</v>
      </c>
      <c r="BF139" s="0" t="s">
        <v>142</v>
      </c>
      <c r="BJ139" s="1" t="s">
        <v>229</v>
      </c>
      <c r="BK139" s="1" t="s">
        <v>267</v>
      </c>
      <c r="BL139" s="1" t="s">
        <v>2096</v>
      </c>
      <c r="BM139" s="1" t="s">
        <v>2097</v>
      </c>
      <c r="BU139" s="0" t="s">
        <v>2098</v>
      </c>
      <c r="BX139" s="1" t="s">
        <v>2099</v>
      </c>
      <c r="CH139" s="0" t="s">
        <v>342</v>
      </c>
      <c r="CI139" s="1" t="s">
        <v>2099</v>
      </c>
      <c r="CJ139" s="1" t="s">
        <v>2100</v>
      </c>
      <c r="CO139" s="1" t="s">
        <v>2101</v>
      </c>
      <c r="CR139" s="0" t="s">
        <v>2102</v>
      </c>
    </row>
    <row r="140" customFormat="false" ht="43.75" hidden="false" customHeight="false" outlineLevel="0" collapsed="false">
      <c r="A140" s="0" t="s">
        <v>527</v>
      </c>
      <c r="B140" s="0" t="s">
        <v>2103</v>
      </c>
      <c r="C140" s="0" t="s">
        <v>98</v>
      </c>
      <c r="D140" s="0" t="s">
        <v>99</v>
      </c>
      <c r="E140" s="0" t="s">
        <v>2104</v>
      </c>
      <c r="F140" s="0" t="s">
        <v>255</v>
      </c>
      <c r="G140" s="0" t="s">
        <v>256</v>
      </c>
      <c r="L140" s="0" t="str">
        <f aca="false">"1648"</f>
        <v>1648</v>
      </c>
      <c r="M140" s="1" t="s">
        <v>2105</v>
      </c>
      <c r="O140" s="1" t="s">
        <v>2106</v>
      </c>
      <c r="U140" s="1" t="s">
        <v>2107</v>
      </c>
      <c r="V140" s="1" t="s">
        <v>2108</v>
      </c>
      <c r="AD140" s="1" t="s">
        <v>557</v>
      </c>
      <c r="AE140" s="1" t="s">
        <v>2109</v>
      </c>
      <c r="AF140" s="1" t="s">
        <v>263</v>
      </c>
      <c r="AO140" s="0" t="s">
        <v>539</v>
      </c>
      <c r="AT140" s="0" t="s">
        <v>139</v>
      </c>
      <c r="AU140" s="0" t="s">
        <v>112</v>
      </c>
      <c r="AV140" s="0" t="s">
        <v>113</v>
      </c>
      <c r="BD140" s="0" t="s">
        <v>140</v>
      </c>
      <c r="BE140" s="1" t="s">
        <v>2110</v>
      </c>
      <c r="BF140" s="1" t="s">
        <v>163</v>
      </c>
      <c r="BJ140" s="1" t="s">
        <v>229</v>
      </c>
      <c r="BK140" s="0" t="s">
        <v>2111</v>
      </c>
      <c r="BL140" s="1" t="s">
        <v>2112</v>
      </c>
      <c r="BM140" s="0" t="s">
        <v>674</v>
      </c>
      <c r="BU140" s="0" t="s">
        <v>2113</v>
      </c>
      <c r="BX140" s="1" t="s">
        <v>2114</v>
      </c>
      <c r="CH140" s="0" t="s">
        <v>342</v>
      </c>
      <c r="CI140" s="1" t="s">
        <v>2114</v>
      </c>
      <c r="CJ140" s="0" t="s">
        <v>2115</v>
      </c>
      <c r="CO140" s="0" t="s">
        <v>2103</v>
      </c>
      <c r="CR140" s="0" t="s">
        <v>2116</v>
      </c>
    </row>
    <row r="141" customFormat="false" ht="33.1" hidden="false" customHeight="false" outlineLevel="0" collapsed="false">
      <c r="A141" s="0" t="s">
        <v>527</v>
      </c>
      <c r="B141" s="0" t="s">
        <v>2117</v>
      </c>
      <c r="C141" s="0" t="s">
        <v>98</v>
      </c>
      <c r="D141" s="0" t="s">
        <v>99</v>
      </c>
      <c r="E141" s="0" t="s">
        <v>2118</v>
      </c>
      <c r="F141" s="0" t="s">
        <v>255</v>
      </c>
      <c r="G141" s="0" t="s">
        <v>256</v>
      </c>
      <c r="L141" s="0" t="str">
        <f aca="false">"1654"</f>
        <v>1654</v>
      </c>
      <c r="M141" s="0" t="s">
        <v>553</v>
      </c>
      <c r="O141" s="0" t="s">
        <v>615</v>
      </c>
      <c r="T141" s="0" t="s">
        <v>1150</v>
      </c>
      <c r="U141" s="1" t="s">
        <v>2119</v>
      </c>
      <c r="V141" s="1" t="s">
        <v>2120</v>
      </c>
      <c r="AD141" s="0" t="s">
        <v>2121</v>
      </c>
      <c r="AE141" s="2" t="s">
        <v>2122</v>
      </c>
      <c r="AF141" s="0" t="s">
        <v>518</v>
      </c>
      <c r="AO141" s="0" t="s">
        <v>539</v>
      </c>
      <c r="AT141" s="0" t="s">
        <v>139</v>
      </c>
      <c r="AU141" s="0" t="s">
        <v>112</v>
      </c>
      <c r="AV141" s="0" t="s">
        <v>113</v>
      </c>
      <c r="BD141" s="0" t="s">
        <v>265</v>
      </c>
      <c r="BE141" s="0" t="s">
        <v>2123</v>
      </c>
      <c r="BF141" s="0" t="s">
        <v>541</v>
      </c>
      <c r="BJ141" s="1" t="s">
        <v>229</v>
      </c>
      <c r="BK141" s="1" t="s">
        <v>2124</v>
      </c>
      <c r="BL141" s="1" t="s">
        <v>2125</v>
      </c>
      <c r="BM141" s="0" t="s">
        <v>560</v>
      </c>
      <c r="BU141" s="0" t="s">
        <v>2126</v>
      </c>
      <c r="BX141" s="1" t="s">
        <v>2127</v>
      </c>
      <c r="CH141" s="0" t="s">
        <v>342</v>
      </c>
      <c r="CI141" s="1" t="s">
        <v>2127</v>
      </c>
      <c r="CJ141" s="1" t="s">
        <v>2128</v>
      </c>
      <c r="CO141" s="1" t="s">
        <v>2129</v>
      </c>
      <c r="CR141" s="0" t="s">
        <v>2130</v>
      </c>
    </row>
    <row r="142" customFormat="false" ht="12.8" hidden="false" customHeight="false" outlineLevel="0" collapsed="false">
      <c r="B142" s="0" t="s">
        <v>2131</v>
      </c>
      <c r="D142" s="0" t="s">
        <v>1209</v>
      </c>
      <c r="E142" s="0" t="s">
        <v>2132</v>
      </c>
      <c r="L142" s="0" t="str">
        <f aca="false">"10.02.1698"</f>
        <v>10.02.1698</v>
      </c>
      <c r="T142" s="0" t="s">
        <v>1209</v>
      </c>
      <c r="W142" s="0" t="s">
        <v>2133</v>
      </c>
      <c r="AP142" s="0" t="s">
        <v>2134</v>
      </c>
      <c r="AT142" s="0" t="s">
        <v>338</v>
      </c>
      <c r="AU142" s="0" t="s">
        <v>112</v>
      </c>
    </row>
    <row r="143" customFormat="false" ht="43.75" hidden="false" customHeight="false" outlineLevel="0" collapsed="false">
      <c r="A143" s="0" t="s">
        <v>326</v>
      </c>
      <c r="B143" s="0" t="s">
        <v>2135</v>
      </c>
      <c r="C143" s="0" t="s">
        <v>2136</v>
      </c>
      <c r="D143" s="0" t="s">
        <v>329</v>
      </c>
      <c r="E143" s="0" t="s">
        <v>2137</v>
      </c>
      <c r="L143" s="0" t="str">
        <f aca="false">"1660"</f>
        <v>1660</v>
      </c>
      <c r="M143" s="0" t="s">
        <v>870</v>
      </c>
      <c r="O143" s="0" t="s">
        <v>2138</v>
      </c>
      <c r="T143" s="0" t="s">
        <v>329</v>
      </c>
      <c r="U143" s="1" t="s">
        <v>333</v>
      </c>
      <c r="V143" s="1" t="s">
        <v>334</v>
      </c>
      <c r="AT143" s="0" t="s">
        <v>338</v>
      </c>
      <c r="AU143" s="0" t="s">
        <v>112</v>
      </c>
      <c r="BD143" s="0" t="s">
        <v>2139</v>
      </c>
      <c r="BE143" s="0" t="s">
        <v>873</v>
      </c>
      <c r="BX143" s="0" t="s">
        <v>2140</v>
      </c>
      <c r="CF143" s="1" t="s">
        <v>2141</v>
      </c>
      <c r="CG143" s="0" t="s">
        <v>123</v>
      </c>
      <c r="CH143" s="0" t="s">
        <v>124</v>
      </c>
      <c r="CI143" s="0" t="s">
        <v>2140</v>
      </c>
      <c r="CJ143" s="0" t="s">
        <v>2142</v>
      </c>
      <c r="CL143" s="0" t="s">
        <v>2143</v>
      </c>
      <c r="CM143" s="0" t="s">
        <v>2143</v>
      </c>
      <c r="CO143" s="0" t="s">
        <v>2135</v>
      </c>
      <c r="CR143" s="0" t="s">
        <v>2144</v>
      </c>
    </row>
    <row r="144" customFormat="false" ht="22.5" hidden="false" customHeight="false" outlineLevel="0" collapsed="false">
      <c r="A144" s="0" t="s">
        <v>880</v>
      </c>
      <c r="B144" s="0" t="s">
        <v>2145</v>
      </c>
      <c r="C144" s="0" t="s">
        <v>2146</v>
      </c>
      <c r="D144" s="0" t="s">
        <v>2147</v>
      </c>
      <c r="E144" s="0" t="s">
        <v>2148</v>
      </c>
      <c r="F144" s="0" t="s">
        <v>192</v>
      </c>
      <c r="H144" s="0" t="s">
        <v>102</v>
      </c>
      <c r="L144" s="0" t="str">
        <f aca="false">"1671"</f>
        <v>1671</v>
      </c>
      <c r="M144" s="1" t="s">
        <v>2149</v>
      </c>
      <c r="O144" s="1" t="s">
        <v>2150</v>
      </c>
      <c r="T144" s="0" t="s">
        <v>2147</v>
      </c>
      <c r="X144" s="0" t="s">
        <v>2151</v>
      </c>
      <c r="AO144" s="0" t="s">
        <v>887</v>
      </c>
      <c r="AT144" s="0" t="s">
        <v>338</v>
      </c>
      <c r="AU144" s="0" t="s">
        <v>892</v>
      </c>
      <c r="BD144" s="0" t="s">
        <v>873</v>
      </c>
      <c r="BE144" s="0" t="s">
        <v>2152</v>
      </c>
      <c r="CJ144" s="0" t="s">
        <v>2153</v>
      </c>
      <c r="CO144" s="0" t="s">
        <v>2154</v>
      </c>
    </row>
    <row r="145" customFormat="false" ht="22.5" hidden="false" customHeight="false" outlineLevel="0" collapsed="false">
      <c r="C145" s="0" t="s">
        <v>2146</v>
      </c>
      <c r="D145" s="0" t="s">
        <v>2147</v>
      </c>
      <c r="E145" s="0" t="s">
        <v>2148</v>
      </c>
      <c r="L145" s="0" t="str">
        <f aca="false">"1673"</f>
        <v>1673</v>
      </c>
      <c r="M145" s="0" t="s">
        <v>870</v>
      </c>
      <c r="O145" s="0" t="s">
        <v>2155</v>
      </c>
      <c r="T145" s="0" t="s">
        <v>2147</v>
      </c>
      <c r="X145" s="0" t="s">
        <v>2156</v>
      </c>
      <c r="AG145" s="1" t="s">
        <v>2157</v>
      </c>
      <c r="AH145" s="1" t="s">
        <v>2158</v>
      </c>
      <c r="AI145" s="1" t="s">
        <v>2159</v>
      </c>
      <c r="AT145" s="0" t="s">
        <v>338</v>
      </c>
      <c r="AU145" s="0" t="s">
        <v>892</v>
      </c>
      <c r="BD145" s="0" t="s">
        <v>873</v>
      </c>
      <c r="BE145" s="0" t="s">
        <v>2152</v>
      </c>
      <c r="CP145" s="0" t="s">
        <v>2160</v>
      </c>
    </row>
    <row r="146" customFormat="false" ht="75.6" hidden="false" customHeight="false" outlineLevel="0" collapsed="false">
      <c r="A146" s="0" t="s">
        <v>96</v>
      </c>
      <c r="B146" s="0" t="s">
        <v>2161</v>
      </c>
      <c r="C146" s="0" t="s">
        <v>98</v>
      </c>
      <c r="D146" s="0" t="s">
        <v>99</v>
      </c>
      <c r="E146" s="0" t="s">
        <v>2162</v>
      </c>
      <c r="F146" s="0" t="s">
        <v>219</v>
      </c>
      <c r="H146" s="0" t="s">
        <v>102</v>
      </c>
      <c r="L146" s="0" t="str">
        <f aca="false">"1650"</f>
        <v>1650</v>
      </c>
      <c r="M146" s="1" t="s">
        <v>2163</v>
      </c>
      <c r="O146" s="1" t="s">
        <v>2164</v>
      </c>
      <c r="T146" s="0" t="s">
        <v>99</v>
      </c>
      <c r="U146" s="1" t="s">
        <v>2165</v>
      </c>
      <c r="V146" s="1" t="s">
        <v>2166</v>
      </c>
      <c r="AD146" s="0" t="s">
        <v>136</v>
      </c>
      <c r="AE146" s="0" t="s">
        <v>2167</v>
      </c>
      <c r="AF146" s="0" t="s">
        <v>109</v>
      </c>
      <c r="AO146" s="0" t="s">
        <v>161</v>
      </c>
      <c r="AT146" s="0" t="s">
        <v>139</v>
      </c>
      <c r="AU146" s="0" t="s">
        <v>112</v>
      </c>
      <c r="AV146" s="0" t="s">
        <v>113</v>
      </c>
      <c r="AY146" s="0" t="s">
        <v>2168</v>
      </c>
      <c r="BA146" s="0" t="s">
        <v>317</v>
      </c>
      <c r="BB146" s="0" t="s">
        <v>318</v>
      </c>
      <c r="BD146" s="1" t="s">
        <v>2169</v>
      </c>
      <c r="BE146" s="1" t="s">
        <v>2170</v>
      </c>
      <c r="BF146" s="0" t="s">
        <v>207</v>
      </c>
      <c r="BG146" s="0" t="s">
        <v>115</v>
      </c>
      <c r="BH146" s="0" t="s">
        <v>116</v>
      </c>
      <c r="BI146" s="0" t="s">
        <v>117</v>
      </c>
      <c r="BJ146" s="0" t="s">
        <v>118</v>
      </c>
      <c r="BU146" s="0" t="s">
        <v>2171</v>
      </c>
      <c r="BW146" s="0" t="s">
        <v>2172</v>
      </c>
      <c r="BX146" s="0" t="s">
        <v>2173</v>
      </c>
      <c r="CH146" s="0" t="s">
        <v>124</v>
      </c>
      <c r="CI146" s="0" t="s">
        <v>2173</v>
      </c>
      <c r="CJ146" s="1" t="s">
        <v>2174</v>
      </c>
      <c r="CO146" s="1" t="s">
        <v>2175</v>
      </c>
      <c r="CR146" s="0" t="s">
        <v>2176</v>
      </c>
    </row>
    <row r="147" customFormat="false" ht="2908.75" hidden="false" customHeight="false" outlineLevel="0" collapsed="false">
      <c r="A147" s="0" t="s">
        <v>96</v>
      </c>
      <c r="B147" s="0" t="s">
        <v>2177</v>
      </c>
      <c r="C147" s="0" t="s">
        <v>98</v>
      </c>
      <c r="D147" s="0" t="s">
        <v>99</v>
      </c>
      <c r="E147" s="0" t="s">
        <v>2178</v>
      </c>
      <c r="F147" s="1" t="s">
        <v>714</v>
      </c>
      <c r="H147" s="0" t="s">
        <v>102</v>
      </c>
      <c r="L147" s="0" t="str">
        <f aca="false">"1650"</f>
        <v>1650</v>
      </c>
      <c r="M147" s="1" t="s">
        <v>2179</v>
      </c>
      <c r="O147" s="1" t="s">
        <v>2180</v>
      </c>
      <c r="T147" s="0" t="s">
        <v>99</v>
      </c>
      <c r="U147" s="1" t="s">
        <v>2181</v>
      </c>
      <c r="V147" s="1" t="s">
        <v>2182</v>
      </c>
      <c r="Z147" s="0" t="s">
        <v>2183</v>
      </c>
      <c r="AB147" s="0" t="s">
        <v>2184</v>
      </c>
      <c r="AD147" s="1" t="s">
        <v>2185</v>
      </c>
      <c r="AE147" s="1" t="s">
        <v>2186</v>
      </c>
      <c r="AF147" s="0" t="s">
        <v>109</v>
      </c>
      <c r="AG147" s="0" t="s">
        <v>1429</v>
      </c>
      <c r="AH147" s="0" t="s">
        <v>99</v>
      </c>
      <c r="AI147" s="0" t="s">
        <v>2187</v>
      </c>
      <c r="AO147" s="0" t="s">
        <v>161</v>
      </c>
      <c r="AT147" s="0" t="s">
        <v>111</v>
      </c>
      <c r="AU147" s="0" t="s">
        <v>112</v>
      </c>
      <c r="AV147" s="0" t="s">
        <v>113</v>
      </c>
      <c r="BA147" s="0" t="s">
        <v>317</v>
      </c>
      <c r="BB147" s="0" t="s">
        <v>2188</v>
      </c>
      <c r="BD147" s="1" t="s">
        <v>2189</v>
      </c>
      <c r="BE147" s="1" t="s">
        <v>2190</v>
      </c>
      <c r="BF147" s="1" t="s">
        <v>2191</v>
      </c>
      <c r="BG147" s="1" t="s">
        <v>720</v>
      </c>
      <c r="BH147" s="0" t="s">
        <v>116</v>
      </c>
      <c r="BI147" s="1" t="s">
        <v>721</v>
      </c>
      <c r="BJ147" s="1" t="s">
        <v>229</v>
      </c>
      <c r="BU147" s="1" t="s">
        <v>2192</v>
      </c>
      <c r="BV147" s="1" t="s">
        <v>2193</v>
      </c>
      <c r="BW147" s="1" t="s">
        <v>2193</v>
      </c>
      <c r="BX147" s="0" t="s">
        <v>2194</v>
      </c>
      <c r="CF147" s="1" t="s">
        <v>2195</v>
      </c>
      <c r="CG147" s="0" t="s">
        <v>123</v>
      </c>
      <c r="CH147" s="0" t="s">
        <v>169</v>
      </c>
      <c r="CI147" s="0" t="s">
        <v>2194</v>
      </c>
      <c r="CJ147" s="1" t="s">
        <v>2196</v>
      </c>
      <c r="CL147" s="0" t="s">
        <v>2197</v>
      </c>
      <c r="CM147" s="0" t="s">
        <v>2197</v>
      </c>
      <c r="CO147" s="1" t="s">
        <v>2198</v>
      </c>
      <c r="CR147" s="0" t="s">
        <v>2199</v>
      </c>
    </row>
    <row r="148" customFormat="false" ht="65" hidden="false" customHeight="false" outlineLevel="0" collapsed="false">
      <c r="A148" s="0" t="s">
        <v>2200</v>
      </c>
      <c r="B148" s="0" t="s">
        <v>2201</v>
      </c>
      <c r="C148" s="0" t="s">
        <v>2202</v>
      </c>
      <c r="D148" s="0" t="s">
        <v>329</v>
      </c>
      <c r="E148" s="0" t="s">
        <v>2203</v>
      </c>
      <c r="L148" s="0" t="str">
        <f aca="false">"1682"</f>
        <v>1682</v>
      </c>
      <c r="M148" s="1" t="s">
        <v>2149</v>
      </c>
      <c r="O148" s="1" t="s">
        <v>2204</v>
      </c>
      <c r="T148" s="0" t="s">
        <v>329</v>
      </c>
      <c r="U148" s="0" t="s">
        <v>2205</v>
      </c>
      <c r="AB148" s="0" t="s">
        <v>2206</v>
      </c>
      <c r="AT148" s="0" t="s">
        <v>338</v>
      </c>
      <c r="AU148" s="0" t="s">
        <v>112</v>
      </c>
      <c r="AY148" s="0" t="s">
        <v>2207</v>
      </c>
      <c r="BD148" s="0" t="s">
        <v>873</v>
      </c>
      <c r="BX148" s="0" t="s">
        <v>2208</v>
      </c>
      <c r="CF148" s="1" t="s">
        <v>2209</v>
      </c>
      <c r="CG148" s="0" t="s">
        <v>123</v>
      </c>
      <c r="CH148" s="0" t="s">
        <v>124</v>
      </c>
      <c r="CI148" s="0" t="s">
        <v>2208</v>
      </c>
      <c r="CJ148" s="0" t="s">
        <v>2210</v>
      </c>
      <c r="CL148" s="0" t="s">
        <v>2211</v>
      </c>
      <c r="CM148" s="0" t="s">
        <v>2211</v>
      </c>
      <c r="CO148" s="0" t="s">
        <v>2212</v>
      </c>
      <c r="CR148" s="0" t="s">
        <v>2213</v>
      </c>
    </row>
    <row r="149" customFormat="false" ht="128.75" hidden="false" customHeight="false" outlineLevel="0" collapsed="false">
      <c r="A149" s="0" t="s">
        <v>96</v>
      </c>
      <c r="B149" s="0" t="s">
        <v>2214</v>
      </c>
      <c r="C149" s="0" t="s">
        <v>98</v>
      </c>
      <c r="D149" s="0" t="s">
        <v>99</v>
      </c>
      <c r="E149" s="0" t="s">
        <v>2215</v>
      </c>
      <c r="F149" s="0" t="s">
        <v>219</v>
      </c>
      <c r="H149" s="0" t="s">
        <v>102</v>
      </c>
      <c r="L149" s="0" t="str">
        <f aca="false">"1601"</f>
        <v>1601</v>
      </c>
      <c r="M149" s="1" t="s">
        <v>2216</v>
      </c>
      <c r="O149" s="1" t="s">
        <v>2217</v>
      </c>
      <c r="U149" s="1" t="s">
        <v>2218</v>
      </c>
      <c r="V149" s="1" t="s">
        <v>2219</v>
      </c>
      <c r="AD149" s="0" t="s">
        <v>107</v>
      </c>
      <c r="AE149" s="0" t="s">
        <v>2220</v>
      </c>
      <c r="AF149" s="0" t="s">
        <v>109</v>
      </c>
      <c r="AO149" s="0" t="s">
        <v>161</v>
      </c>
      <c r="AT149" s="0" t="s">
        <v>139</v>
      </c>
      <c r="AU149" s="0" t="s">
        <v>112</v>
      </c>
      <c r="AV149" s="0" t="s">
        <v>113</v>
      </c>
      <c r="BA149" s="0" t="s">
        <v>317</v>
      </c>
      <c r="BB149" s="0" t="s">
        <v>735</v>
      </c>
      <c r="BD149" s="0" t="s">
        <v>265</v>
      </c>
      <c r="BE149" s="0" t="s">
        <v>2221</v>
      </c>
      <c r="BF149" s="0" t="s">
        <v>207</v>
      </c>
      <c r="BG149" s="1" t="s">
        <v>720</v>
      </c>
      <c r="BH149" s="0" t="s">
        <v>116</v>
      </c>
      <c r="BI149" s="1" t="s">
        <v>721</v>
      </c>
      <c r="BJ149" s="1" t="s">
        <v>229</v>
      </c>
      <c r="BU149" s="1" t="s">
        <v>2222</v>
      </c>
      <c r="BX149" s="0" t="s">
        <v>2223</v>
      </c>
      <c r="CF149" s="0" t="s">
        <v>2224</v>
      </c>
      <c r="CG149" s="0" t="s">
        <v>123</v>
      </c>
      <c r="CH149" s="0" t="s">
        <v>454</v>
      </c>
      <c r="CI149" s="0" t="s">
        <v>2223</v>
      </c>
      <c r="CJ149" s="0" t="s">
        <v>2225</v>
      </c>
      <c r="CL149" s="0" t="s">
        <v>2226</v>
      </c>
      <c r="CM149" s="0" t="s">
        <v>2226</v>
      </c>
      <c r="CO149" s="0" t="s">
        <v>2214</v>
      </c>
      <c r="CR149" s="0" t="s">
        <v>2227</v>
      </c>
    </row>
    <row r="150" customFormat="false" ht="12.8" hidden="false" customHeight="false" outlineLevel="0" collapsed="false">
      <c r="C150" s="0" t="s">
        <v>242</v>
      </c>
      <c r="D150" s="0" t="s">
        <v>243</v>
      </c>
      <c r="E150" s="0" t="s">
        <v>2228</v>
      </c>
      <c r="L150" s="0" t="str">
        <f aca="false">"1679"</f>
        <v>1679</v>
      </c>
      <c r="M150" s="0" t="s">
        <v>870</v>
      </c>
      <c r="O150" s="0" t="s">
        <v>2229</v>
      </c>
      <c r="T150" s="0" t="s">
        <v>243</v>
      </c>
      <c r="U150" s="0" t="s">
        <v>2230</v>
      </c>
      <c r="V150" s="0" t="s">
        <v>2231</v>
      </c>
      <c r="AB150" s="0" t="s">
        <v>2232</v>
      </c>
      <c r="AG150" s="0" t="s">
        <v>242</v>
      </c>
      <c r="AH150" s="0" t="s">
        <v>243</v>
      </c>
      <c r="AI150" s="0" t="s">
        <v>2233</v>
      </c>
      <c r="AT150" s="0" t="s">
        <v>338</v>
      </c>
      <c r="BD150" s="0" t="s">
        <v>873</v>
      </c>
      <c r="BE150" s="0" t="s">
        <v>2234</v>
      </c>
    </row>
    <row r="151" customFormat="false" ht="96.85" hidden="false" customHeight="false" outlineLevel="0" collapsed="false">
      <c r="A151" s="0" t="s">
        <v>96</v>
      </c>
      <c r="B151" s="0" t="s">
        <v>2235</v>
      </c>
      <c r="C151" s="0" t="s">
        <v>895</v>
      </c>
      <c r="D151" s="0" t="s">
        <v>896</v>
      </c>
      <c r="E151" s="0" t="s">
        <v>2236</v>
      </c>
      <c r="F151" s="0" t="s">
        <v>192</v>
      </c>
      <c r="H151" s="0" t="s">
        <v>102</v>
      </c>
      <c r="L151" s="0" t="str">
        <f aca="false">"1649"</f>
        <v>1649</v>
      </c>
      <c r="M151" s="0" t="s">
        <v>448</v>
      </c>
      <c r="O151" s="0" t="s">
        <v>1607</v>
      </c>
      <c r="T151" s="0" t="s">
        <v>99</v>
      </c>
      <c r="Z151" s="0" t="s">
        <v>2237</v>
      </c>
      <c r="AB151" s="0" t="s">
        <v>2238</v>
      </c>
      <c r="AG151" s="0" t="s">
        <v>224</v>
      </c>
      <c r="AH151" s="0" t="s">
        <v>225</v>
      </c>
      <c r="AI151" s="0" t="s">
        <v>2239</v>
      </c>
      <c r="AO151" s="0" t="s">
        <v>1568</v>
      </c>
      <c r="AS151" s="0" t="s">
        <v>1116</v>
      </c>
      <c r="AT151" s="0" t="s">
        <v>906</v>
      </c>
      <c r="AU151" s="0" t="s">
        <v>1873</v>
      </c>
      <c r="BC151" s="0" t="str">
        <f aca="false">"803281420"</f>
        <v>803281420</v>
      </c>
      <c r="BU151" s="0" t="s">
        <v>2240</v>
      </c>
      <c r="BV151" s="0" t="s">
        <v>2241</v>
      </c>
      <c r="BX151" s="1" t="s">
        <v>2242</v>
      </c>
      <c r="CH151" s="0" t="s">
        <v>124</v>
      </c>
      <c r="CI151" s="1" t="s">
        <v>2242</v>
      </c>
      <c r="CJ151" s="0" t="s">
        <v>2243</v>
      </c>
      <c r="CO151" s="0" t="s">
        <v>2244</v>
      </c>
    </row>
    <row r="152" customFormat="false" ht="43.75" hidden="false" customHeight="false" outlineLevel="0" collapsed="false">
      <c r="A152" s="0" t="s">
        <v>527</v>
      </c>
      <c r="B152" s="0" t="s">
        <v>2245</v>
      </c>
      <c r="C152" s="0" t="s">
        <v>98</v>
      </c>
      <c r="D152" s="0" t="s">
        <v>99</v>
      </c>
      <c r="E152" s="0" t="s">
        <v>2246</v>
      </c>
      <c r="F152" s="0" t="s">
        <v>255</v>
      </c>
      <c r="G152" s="0" t="s">
        <v>256</v>
      </c>
      <c r="L152" s="0" t="str">
        <f aca="false">"1628"</f>
        <v>1628</v>
      </c>
      <c r="M152" s="0" t="s">
        <v>553</v>
      </c>
      <c r="O152" s="0" t="s">
        <v>615</v>
      </c>
      <c r="U152" s="1" t="s">
        <v>2247</v>
      </c>
      <c r="V152" s="1" t="s">
        <v>2248</v>
      </c>
      <c r="AD152" s="1" t="s">
        <v>951</v>
      </c>
      <c r="AE152" s="1" t="s">
        <v>2249</v>
      </c>
      <c r="AF152" s="1" t="s">
        <v>953</v>
      </c>
      <c r="AO152" s="0" t="s">
        <v>539</v>
      </c>
      <c r="AT152" s="0" t="s">
        <v>139</v>
      </c>
      <c r="AU152" s="0" t="s">
        <v>112</v>
      </c>
      <c r="AV152" s="0" t="s">
        <v>113</v>
      </c>
      <c r="BD152" s="0" t="s">
        <v>265</v>
      </c>
      <c r="BE152" s="0" t="s">
        <v>620</v>
      </c>
      <c r="BF152" s="0" t="s">
        <v>541</v>
      </c>
      <c r="BJ152" s="1" t="s">
        <v>229</v>
      </c>
      <c r="BK152" s="1" t="s">
        <v>2250</v>
      </c>
      <c r="BL152" s="1" t="s">
        <v>2251</v>
      </c>
      <c r="BM152" s="1" t="s">
        <v>579</v>
      </c>
      <c r="BN152" s="1" t="s">
        <v>270</v>
      </c>
      <c r="BO152" s="1" t="s">
        <v>675</v>
      </c>
      <c r="BU152" s="0" t="s">
        <v>2252</v>
      </c>
      <c r="BX152" s="1" t="s">
        <v>2253</v>
      </c>
      <c r="CH152" s="0" t="s">
        <v>298</v>
      </c>
      <c r="CI152" s="1" t="s">
        <v>2253</v>
      </c>
      <c r="CJ152" s="1" t="s">
        <v>2254</v>
      </c>
      <c r="CO152" s="1" t="s">
        <v>2255</v>
      </c>
    </row>
    <row r="153" customFormat="false" ht="160.6" hidden="false" customHeight="false" outlineLevel="0" collapsed="false">
      <c r="A153" s="0" t="s">
        <v>96</v>
      </c>
      <c r="B153" s="0" t="s">
        <v>2256</v>
      </c>
      <c r="C153" s="0" t="s">
        <v>1213</v>
      </c>
      <c r="D153" s="0" t="s">
        <v>1214</v>
      </c>
      <c r="E153" s="0" t="s">
        <v>2257</v>
      </c>
      <c r="F153" s="1" t="s">
        <v>201</v>
      </c>
      <c r="H153" s="0" t="s">
        <v>102</v>
      </c>
      <c r="L153" s="0" t="str">
        <f aca="false">"1649"</f>
        <v>1649</v>
      </c>
      <c r="M153" s="1" t="s">
        <v>2258</v>
      </c>
      <c r="O153" s="1" t="s">
        <v>2259</v>
      </c>
      <c r="T153" s="0" t="s">
        <v>247</v>
      </c>
      <c r="U153" s="1" t="s">
        <v>2260</v>
      </c>
      <c r="V153" s="1" t="s">
        <v>2261</v>
      </c>
      <c r="Z153" s="0" t="s">
        <v>2262</v>
      </c>
      <c r="AB153" s="0" t="s">
        <v>2263</v>
      </c>
      <c r="AD153" s="1" t="s">
        <v>2185</v>
      </c>
      <c r="AE153" s="1" t="s">
        <v>2264</v>
      </c>
      <c r="AF153" s="0" t="s">
        <v>109</v>
      </c>
      <c r="AG153" s="0" t="s">
        <v>224</v>
      </c>
      <c r="AH153" s="0" t="s">
        <v>225</v>
      </c>
      <c r="AI153" s="0" t="s">
        <v>2265</v>
      </c>
      <c r="AO153" s="0" t="s">
        <v>161</v>
      </c>
      <c r="AT153" s="0" t="s">
        <v>2266</v>
      </c>
      <c r="AU153" s="0" t="s">
        <v>872</v>
      </c>
      <c r="BD153" s="1" t="s">
        <v>520</v>
      </c>
      <c r="BE153" s="1" t="s">
        <v>2267</v>
      </c>
      <c r="BF153" s="1" t="s">
        <v>1731</v>
      </c>
      <c r="BJ153" s="0" t="s">
        <v>118</v>
      </c>
      <c r="BU153" s="1" t="s">
        <v>2268</v>
      </c>
      <c r="BV153" s="1" t="s">
        <v>2269</v>
      </c>
      <c r="BW153" s="1" t="s">
        <v>2270</v>
      </c>
      <c r="BX153" s="0" t="s">
        <v>2271</v>
      </c>
      <c r="CF153" s="1" t="s">
        <v>2272</v>
      </c>
      <c r="CG153" s="0" t="s">
        <v>123</v>
      </c>
      <c r="CH153" s="0" t="s">
        <v>625</v>
      </c>
      <c r="CI153" s="0" t="s">
        <v>2271</v>
      </c>
      <c r="CJ153" s="1" t="s">
        <v>2273</v>
      </c>
      <c r="CL153" s="0" t="s">
        <v>2274</v>
      </c>
      <c r="CM153" s="0" t="s">
        <v>2274</v>
      </c>
      <c r="CO153" s="1" t="s">
        <v>2275</v>
      </c>
      <c r="CR153" s="0" t="s">
        <v>2276</v>
      </c>
    </row>
    <row r="154" customFormat="false" ht="22.5" hidden="false" customHeight="false" outlineLevel="0" collapsed="false">
      <c r="A154" s="0" t="s">
        <v>527</v>
      </c>
      <c r="B154" s="0" t="s">
        <v>2277</v>
      </c>
      <c r="C154" s="0" t="s">
        <v>669</v>
      </c>
      <c r="D154" s="0" t="s">
        <v>670</v>
      </c>
      <c r="E154" s="0" t="s">
        <v>2278</v>
      </c>
      <c r="F154" s="0" t="s">
        <v>255</v>
      </c>
      <c r="G154" s="0" t="s">
        <v>256</v>
      </c>
      <c r="L154" s="0" t="str">
        <f aca="false">"1648"</f>
        <v>1648</v>
      </c>
      <c r="U154" s="0" t="s">
        <v>2279</v>
      </c>
      <c r="V154" s="0" t="s">
        <v>2280</v>
      </c>
      <c r="AD154" s="1" t="s">
        <v>2281</v>
      </c>
      <c r="AE154" s="1" t="s">
        <v>2282</v>
      </c>
      <c r="AF154" s="1" t="s">
        <v>263</v>
      </c>
      <c r="AO154" s="0" t="s">
        <v>539</v>
      </c>
      <c r="AT154" s="0" t="s">
        <v>139</v>
      </c>
      <c r="AU154" s="0" t="s">
        <v>112</v>
      </c>
      <c r="BJ154" s="1" t="s">
        <v>229</v>
      </c>
      <c r="BK154" s="0" t="s">
        <v>2111</v>
      </c>
      <c r="BL154" s="1" t="s">
        <v>2283</v>
      </c>
      <c r="BM154" s="1" t="s">
        <v>2284</v>
      </c>
      <c r="BU154" s="0" t="s">
        <v>2285</v>
      </c>
      <c r="BX154" s="0" t="s">
        <v>2286</v>
      </c>
      <c r="CH154" s="0" t="s">
        <v>169</v>
      </c>
      <c r="CI154" s="0" t="s">
        <v>2286</v>
      </c>
      <c r="CJ154" s="0" t="s">
        <v>2287</v>
      </c>
      <c r="CO154" s="0" t="s">
        <v>2288</v>
      </c>
      <c r="CR154" s="0" t="s">
        <v>2289</v>
      </c>
    </row>
    <row r="155" customFormat="false" ht="203.1" hidden="false" customHeight="false" outlineLevel="0" collapsed="false">
      <c r="A155" s="0" t="s">
        <v>2290</v>
      </c>
      <c r="B155" s="0" t="s">
        <v>2291</v>
      </c>
      <c r="C155" s="0" t="s">
        <v>2292</v>
      </c>
      <c r="D155" s="0" t="s">
        <v>1057</v>
      </c>
      <c r="E155" s="0" t="s">
        <v>166</v>
      </c>
      <c r="F155" s="0" t="s">
        <v>2293</v>
      </c>
      <c r="G155" s="0" t="s">
        <v>2294</v>
      </c>
      <c r="H155" s="0" t="s">
        <v>2295</v>
      </c>
      <c r="L155" s="0" t="str">
        <f aca="false">"1648"</f>
        <v>1648</v>
      </c>
      <c r="M155" s="0" t="s">
        <v>2296</v>
      </c>
      <c r="O155" s="0" t="s">
        <v>2297</v>
      </c>
      <c r="T155" s="0" t="s">
        <v>670</v>
      </c>
      <c r="U155" s="1" t="s">
        <v>2298</v>
      </c>
      <c r="V155" s="1" t="s">
        <v>2299</v>
      </c>
      <c r="AB155" s="0" t="s">
        <v>2300</v>
      </c>
      <c r="AD155" s="0" t="s">
        <v>2301</v>
      </c>
      <c r="AE155" s="0" t="s">
        <v>2302</v>
      </c>
      <c r="AF155" s="0" t="s">
        <v>109</v>
      </c>
      <c r="AO155" s="0" t="s">
        <v>2303</v>
      </c>
      <c r="AT155" s="0" t="s">
        <v>139</v>
      </c>
      <c r="AU155" s="0" t="s">
        <v>112</v>
      </c>
      <c r="BD155" s="0" t="s">
        <v>140</v>
      </c>
      <c r="BE155" s="0" t="s">
        <v>2304</v>
      </c>
      <c r="BF155" s="0" t="s">
        <v>2305</v>
      </c>
      <c r="BJ155" s="0" t="s">
        <v>118</v>
      </c>
      <c r="BX155" s="0" t="s">
        <v>2306</v>
      </c>
      <c r="BY155" s="0" t="s">
        <v>148</v>
      </c>
      <c r="BZ155" s="0" t="s">
        <v>2290</v>
      </c>
      <c r="CH155" s="0" t="s">
        <v>169</v>
      </c>
      <c r="CI155" s="0" t="s">
        <v>2306</v>
      </c>
      <c r="CJ155" s="0" t="s">
        <v>2307</v>
      </c>
      <c r="CO155" s="0" t="s">
        <v>2291</v>
      </c>
      <c r="CQ155" s="0" t="s">
        <v>2308</v>
      </c>
      <c r="CR155" s="0" t="s">
        <v>2309</v>
      </c>
    </row>
    <row r="156" customFormat="false" ht="107.5" hidden="false" customHeight="false" outlineLevel="0" collapsed="false">
      <c r="A156" s="0" t="s">
        <v>527</v>
      </c>
      <c r="B156" s="0" t="s">
        <v>2310</v>
      </c>
      <c r="C156" s="0" t="s">
        <v>98</v>
      </c>
      <c r="D156" s="0" t="s">
        <v>99</v>
      </c>
      <c r="E156" s="0" t="s">
        <v>2311</v>
      </c>
      <c r="F156" s="0" t="s">
        <v>255</v>
      </c>
      <c r="G156" s="0" t="s">
        <v>256</v>
      </c>
      <c r="L156" s="0" t="str">
        <f aca="false">"1730"</f>
        <v>1730</v>
      </c>
      <c r="M156" s="1" t="s">
        <v>787</v>
      </c>
      <c r="O156" s="1" t="s">
        <v>2312</v>
      </c>
      <c r="T156" s="0" t="s">
        <v>247</v>
      </c>
      <c r="U156" s="1" t="s">
        <v>2313</v>
      </c>
      <c r="V156" s="1" t="s">
        <v>2314</v>
      </c>
      <c r="AD156" s="1" t="s">
        <v>2315</v>
      </c>
      <c r="AE156" s="1" t="s">
        <v>2316</v>
      </c>
      <c r="AF156" s="1" t="s">
        <v>953</v>
      </c>
      <c r="AO156" s="0" t="s">
        <v>539</v>
      </c>
      <c r="AT156" s="0" t="s">
        <v>139</v>
      </c>
      <c r="AU156" s="0" t="s">
        <v>112</v>
      </c>
      <c r="AV156" s="0" t="s">
        <v>113</v>
      </c>
      <c r="BD156" s="0" t="s">
        <v>265</v>
      </c>
      <c r="BE156" s="0" t="s">
        <v>2317</v>
      </c>
      <c r="BF156" s="0" t="s">
        <v>2305</v>
      </c>
      <c r="BJ156" s="1" t="s">
        <v>229</v>
      </c>
      <c r="BK156" s="1" t="s">
        <v>267</v>
      </c>
      <c r="BL156" s="1" t="s">
        <v>2318</v>
      </c>
      <c r="BM156" s="0" t="s">
        <v>2319</v>
      </c>
      <c r="BN156" s="1" t="s">
        <v>606</v>
      </c>
      <c r="BO156" s="1" t="s">
        <v>921</v>
      </c>
      <c r="BU156" s="1" t="s">
        <v>2320</v>
      </c>
      <c r="BX156" s="1" t="s">
        <v>2321</v>
      </c>
      <c r="CF156" s="0" t="s">
        <v>2322</v>
      </c>
      <c r="CG156" s="0" t="s">
        <v>123</v>
      </c>
      <c r="CH156" s="0" t="s">
        <v>145</v>
      </c>
      <c r="CI156" s="1" t="s">
        <v>2321</v>
      </c>
      <c r="CJ156" s="1" t="s">
        <v>2323</v>
      </c>
      <c r="CL156" s="1" t="s">
        <v>2324</v>
      </c>
      <c r="CM156" s="1" t="s">
        <v>2324</v>
      </c>
      <c r="CO156" s="1" t="s">
        <v>2325</v>
      </c>
      <c r="CR156" s="0" t="s">
        <v>2326</v>
      </c>
    </row>
    <row r="157" customFormat="false" ht="43.75" hidden="false" customHeight="false" outlineLevel="0" collapsed="false">
      <c r="A157" s="0" t="s">
        <v>527</v>
      </c>
      <c r="B157" s="0" t="s">
        <v>2327</v>
      </c>
      <c r="C157" s="0" t="s">
        <v>98</v>
      </c>
      <c r="D157" s="0" t="s">
        <v>99</v>
      </c>
      <c r="E157" s="0" t="s">
        <v>2328</v>
      </c>
      <c r="F157" s="0" t="s">
        <v>255</v>
      </c>
      <c r="G157" s="1" t="s">
        <v>684</v>
      </c>
      <c r="L157" s="0" t="str">
        <f aca="false">"1748"</f>
        <v>1748</v>
      </c>
      <c r="M157" s="0" t="s">
        <v>553</v>
      </c>
      <c r="O157" s="0" t="s">
        <v>2329</v>
      </c>
      <c r="T157" s="0" t="s">
        <v>99</v>
      </c>
      <c r="U157" s="1" t="s">
        <v>2330</v>
      </c>
      <c r="V157" s="1" t="s">
        <v>2331</v>
      </c>
      <c r="AD157" s="1" t="s">
        <v>557</v>
      </c>
      <c r="AE157" s="1" t="s">
        <v>2332</v>
      </c>
      <c r="AF157" s="1" t="s">
        <v>263</v>
      </c>
      <c r="AG157" s="0" t="s">
        <v>2333</v>
      </c>
      <c r="AH157" s="0" t="s">
        <v>512</v>
      </c>
      <c r="AI157" s="0" t="s">
        <v>2334</v>
      </c>
      <c r="AJ157" s="0" t="s">
        <v>2335</v>
      </c>
      <c r="AO157" s="0" t="s">
        <v>539</v>
      </c>
      <c r="AT157" s="0" t="s">
        <v>139</v>
      </c>
      <c r="AU157" s="0" t="s">
        <v>112</v>
      </c>
      <c r="AV157" s="0" t="s">
        <v>113</v>
      </c>
      <c r="AX157" s="0" t="s">
        <v>2336</v>
      </c>
      <c r="BD157" s="0" t="s">
        <v>542</v>
      </c>
      <c r="BE157" s="0" t="s">
        <v>2337</v>
      </c>
      <c r="BJ157" s="1" t="s">
        <v>229</v>
      </c>
      <c r="BK157" s="1" t="s">
        <v>267</v>
      </c>
      <c r="BL157" s="1" t="s">
        <v>2338</v>
      </c>
      <c r="BM157" s="1" t="s">
        <v>579</v>
      </c>
      <c r="BN157" s="1" t="s">
        <v>606</v>
      </c>
      <c r="BO157" s="1" t="s">
        <v>2339</v>
      </c>
      <c r="BU157" s="0" t="s">
        <v>2340</v>
      </c>
      <c r="BV157" s="0" t="s">
        <v>2341</v>
      </c>
      <c r="BX157" s="1" t="s">
        <v>2342</v>
      </c>
      <c r="CI157" s="1" t="s">
        <v>2342</v>
      </c>
      <c r="CJ157" s="1" t="s">
        <v>2343</v>
      </c>
      <c r="CO157" s="1" t="s">
        <v>2344</v>
      </c>
      <c r="CR157" s="0" t="s">
        <v>2345</v>
      </c>
    </row>
    <row r="158" customFormat="false" ht="12.8" hidden="false" customHeight="false" outlineLevel="0" collapsed="false">
      <c r="A158" s="0" t="s">
        <v>326</v>
      </c>
      <c r="B158" s="0" t="s">
        <v>2346</v>
      </c>
      <c r="C158" s="0" t="s">
        <v>2347</v>
      </c>
      <c r="D158" s="0" t="s">
        <v>329</v>
      </c>
      <c r="E158" s="0" t="s">
        <v>2348</v>
      </c>
      <c r="L158" s="0" t="str">
        <f aca="false">"1685"</f>
        <v>1685</v>
      </c>
      <c r="M158" s="0" t="s">
        <v>715</v>
      </c>
      <c r="O158" s="0" t="s">
        <v>2349</v>
      </c>
      <c r="T158" s="0" t="s">
        <v>308</v>
      </c>
      <c r="AB158" s="0" t="s">
        <v>2350</v>
      </c>
      <c r="AT158" s="0" t="s">
        <v>338</v>
      </c>
      <c r="AU158" s="0" t="s">
        <v>872</v>
      </c>
      <c r="CJ158" s="0" t="s">
        <v>2351</v>
      </c>
      <c r="CO158" s="0" t="s">
        <v>2352</v>
      </c>
    </row>
    <row r="159" customFormat="false" ht="22.5" hidden="false" customHeight="false" outlineLevel="0" collapsed="false">
      <c r="A159" s="0" t="s">
        <v>880</v>
      </c>
      <c r="B159" s="0" t="s">
        <v>2353</v>
      </c>
      <c r="C159" s="0" t="s">
        <v>2354</v>
      </c>
      <c r="D159" s="0" t="s">
        <v>2355</v>
      </c>
      <c r="E159" s="0" t="s">
        <v>2356</v>
      </c>
      <c r="L159" s="0" t="str">
        <f aca="false">"1685"</f>
        <v>1685</v>
      </c>
      <c r="M159" s="1" t="s">
        <v>2357</v>
      </c>
      <c r="O159" s="1" t="s">
        <v>2358</v>
      </c>
      <c r="U159" s="0" t="s">
        <v>2359</v>
      </c>
      <c r="V159" s="0" t="s">
        <v>2360</v>
      </c>
      <c r="W159" s="0" t="s">
        <v>2361</v>
      </c>
      <c r="AT159" s="0" t="s">
        <v>338</v>
      </c>
      <c r="AU159" s="0" t="s">
        <v>872</v>
      </c>
      <c r="CJ159" s="0" t="s">
        <v>2362</v>
      </c>
      <c r="CO159" s="0" t="s">
        <v>2363</v>
      </c>
    </row>
    <row r="160" customFormat="false" ht="12.8" hidden="false" customHeight="false" outlineLevel="0" collapsed="false">
      <c r="A160" s="0" t="s">
        <v>880</v>
      </c>
      <c r="B160" s="0" t="s">
        <v>2364</v>
      </c>
      <c r="C160" s="0" t="s">
        <v>2365</v>
      </c>
      <c r="D160" s="0" t="s">
        <v>868</v>
      </c>
      <c r="E160" s="0" t="s">
        <v>2366</v>
      </c>
      <c r="L160" s="0" t="str">
        <f aca="false">"1708"</f>
        <v>1708</v>
      </c>
      <c r="M160" s="0" t="s">
        <v>2367</v>
      </c>
      <c r="O160" s="0" t="s">
        <v>2368</v>
      </c>
      <c r="T160" s="0" t="s">
        <v>868</v>
      </c>
      <c r="AB160" s="0" t="s">
        <v>2369</v>
      </c>
      <c r="AT160" s="0" t="s">
        <v>338</v>
      </c>
      <c r="AU160" s="0" t="s">
        <v>872</v>
      </c>
      <c r="CJ160" s="0" t="s">
        <v>2370</v>
      </c>
      <c r="CO160" s="0" t="s">
        <v>2371</v>
      </c>
    </row>
    <row r="161" customFormat="false" ht="22.5" hidden="false" customHeight="false" outlineLevel="0" collapsed="false">
      <c r="A161" s="0" t="s">
        <v>880</v>
      </c>
      <c r="B161" s="0" t="s">
        <v>2372</v>
      </c>
      <c r="C161" s="0" t="s">
        <v>2373</v>
      </c>
      <c r="D161" s="0" t="s">
        <v>2374</v>
      </c>
      <c r="E161" s="0" t="s">
        <v>2375</v>
      </c>
      <c r="U161" s="1" t="s">
        <v>2376</v>
      </c>
      <c r="V161" s="0" t="s">
        <v>2377</v>
      </c>
      <c r="W161" s="0" t="s">
        <v>2378</v>
      </c>
      <c r="AT161" s="0" t="s">
        <v>338</v>
      </c>
      <c r="AU161" s="0" t="s">
        <v>872</v>
      </c>
    </row>
    <row r="162" customFormat="false" ht="128.75" hidden="false" customHeight="false" outlineLevel="0" collapsed="false">
      <c r="A162" s="0" t="s">
        <v>527</v>
      </c>
      <c r="B162" s="0" t="s">
        <v>2379</v>
      </c>
      <c r="C162" s="0" t="s">
        <v>98</v>
      </c>
      <c r="D162" s="0" t="s">
        <v>99</v>
      </c>
      <c r="E162" s="0" t="s">
        <v>2380</v>
      </c>
      <c r="F162" s="0" t="s">
        <v>255</v>
      </c>
      <c r="G162" s="0" t="s">
        <v>256</v>
      </c>
      <c r="L162" s="0" t="str">
        <f aca="false">"1678"</f>
        <v>1678</v>
      </c>
      <c r="M162" s="0" t="s">
        <v>685</v>
      </c>
      <c r="O162" s="0" t="s">
        <v>2381</v>
      </c>
      <c r="U162" s="1" t="s">
        <v>2382</v>
      </c>
      <c r="V162" s="1" t="s">
        <v>2383</v>
      </c>
      <c r="AD162" s="1" t="s">
        <v>951</v>
      </c>
      <c r="AE162" s="1" t="s">
        <v>2384</v>
      </c>
      <c r="AF162" s="1" t="s">
        <v>953</v>
      </c>
      <c r="AO162" s="0" t="s">
        <v>539</v>
      </c>
      <c r="AT162" s="0" t="s">
        <v>139</v>
      </c>
      <c r="AU162" s="0" t="s">
        <v>112</v>
      </c>
      <c r="AV162" s="0" t="s">
        <v>113</v>
      </c>
      <c r="BD162" s="0" t="s">
        <v>140</v>
      </c>
      <c r="BE162" s="1" t="s">
        <v>2385</v>
      </c>
      <c r="BF162" s="1" t="s">
        <v>2386</v>
      </c>
      <c r="BJ162" s="1" t="s">
        <v>467</v>
      </c>
      <c r="BK162" s="1" t="s">
        <v>267</v>
      </c>
      <c r="BL162" s="1" t="s">
        <v>2387</v>
      </c>
      <c r="BM162" s="0" t="s">
        <v>2319</v>
      </c>
      <c r="BN162" s="1" t="s">
        <v>270</v>
      </c>
      <c r="BO162" s="1" t="s">
        <v>638</v>
      </c>
      <c r="BU162" s="1" t="s">
        <v>2388</v>
      </c>
      <c r="BX162" s="1" t="s">
        <v>2389</v>
      </c>
      <c r="BY162" s="0" t="s">
        <v>2390</v>
      </c>
      <c r="BZ162" s="0" t="s">
        <v>831</v>
      </c>
      <c r="CE162" s="0" t="s">
        <v>641</v>
      </c>
      <c r="CF162" s="1" t="s">
        <v>2391</v>
      </c>
      <c r="CG162" s="0" t="s">
        <v>123</v>
      </c>
      <c r="CH162" s="0" t="s">
        <v>169</v>
      </c>
      <c r="CI162" s="1" t="s">
        <v>2389</v>
      </c>
      <c r="CJ162" s="1" t="s">
        <v>2392</v>
      </c>
      <c r="CL162" s="1" t="s">
        <v>2393</v>
      </c>
      <c r="CM162" s="1" t="s">
        <v>2393</v>
      </c>
      <c r="CO162" s="1" t="s">
        <v>2394</v>
      </c>
      <c r="CQ162" s="0" t="s">
        <v>2395</v>
      </c>
      <c r="CR162" s="0" t="s">
        <v>2396</v>
      </c>
    </row>
    <row r="163" customFormat="false" ht="171.25" hidden="false" customHeight="false" outlineLevel="0" collapsed="false">
      <c r="A163" s="0" t="s">
        <v>880</v>
      </c>
      <c r="B163" s="0" t="s">
        <v>2397</v>
      </c>
      <c r="C163" s="0" t="s">
        <v>2202</v>
      </c>
      <c r="D163" s="0" t="s">
        <v>329</v>
      </c>
      <c r="E163" s="0" t="s">
        <v>2398</v>
      </c>
      <c r="L163" s="0" t="str">
        <f aca="false">"1691"</f>
        <v>1691</v>
      </c>
      <c r="T163" s="0" t="s">
        <v>2147</v>
      </c>
      <c r="AB163" s="0" t="s">
        <v>2399</v>
      </c>
      <c r="AT163" s="0" t="s">
        <v>338</v>
      </c>
      <c r="AU163" s="0" t="s">
        <v>112</v>
      </c>
      <c r="AY163" s="0" t="s">
        <v>2400</v>
      </c>
      <c r="BD163" s="0" t="s">
        <v>873</v>
      </c>
      <c r="BE163" s="0" t="s">
        <v>2401</v>
      </c>
      <c r="BU163" s="1" t="s">
        <v>2402</v>
      </c>
      <c r="BX163" s="1" t="s">
        <v>2403</v>
      </c>
      <c r="CG163" s="0" t="s">
        <v>123</v>
      </c>
      <c r="CH163" s="0" t="s">
        <v>124</v>
      </c>
      <c r="CI163" s="1" t="s">
        <v>2403</v>
      </c>
      <c r="CJ163" s="1" t="s">
        <v>2404</v>
      </c>
      <c r="CL163" s="1" t="s">
        <v>2405</v>
      </c>
      <c r="CM163" s="1" t="s">
        <v>2405</v>
      </c>
      <c r="CO163" s="1" t="s">
        <v>2406</v>
      </c>
      <c r="CR163" s="0" t="s">
        <v>2407</v>
      </c>
    </row>
    <row r="164" customFormat="false" ht="75.6" hidden="false" customHeight="false" outlineLevel="0" collapsed="false">
      <c r="A164" s="0" t="s">
        <v>527</v>
      </c>
      <c r="B164" s="0" t="s">
        <v>2408</v>
      </c>
      <c r="C164" s="0" t="s">
        <v>98</v>
      </c>
      <c r="D164" s="0" t="s">
        <v>99</v>
      </c>
      <c r="E164" s="0" t="s">
        <v>2409</v>
      </c>
      <c r="G164" s="1" t="s">
        <v>2410</v>
      </c>
      <c r="L164" s="0" t="str">
        <f aca="false">"1641"</f>
        <v>1641</v>
      </c>
      <c r="M164" s="0" t="s">
        <v>553</v>
      </c>
      <c r="O164" s="0" t="s">
        <v>615</v>
      </c>
      <c r="U164" s="1" t="s">
        <v>2411</v>
      </c>
      <c r="V164" s="1" t="s">
        <v>2412</v>
      </c>
      <c r="AD164" s="1" t="s">
        <v>557</v>
      </c>
      <c r="AE164" s="1" t="s">
        <v>2413</v>
      </c>
      <c r="AF164" s="1" t="s">
        <v>263</v>
      </c>
      <c r="AO164" s="0" t="s">
        <v>539</v>
      </c>
      <c r="AT164" s="0" t="s">
        <v>139</v>
      </c>
      <c r="AU164" s="0" t="s">
        <v>112</v>
      </c>
      <c r="AV164" s="0" t="s">
        <v>113</v>
      </c>
      <c r="BD164" s="0" t="s">
        <v>265</v>
      </c>
      <c r="BE164" s="0" t="s">
        <v>808</v>
      </c>
      <c r="BF164" s="0" t="s">
        <v>541</v>
      </c>
      <c r="BJ164" s="1" t="s">
        <v>229</v>
      </c>
      <c r="BK164" s="0" t="s">
        <v>542</v>
      </c>
      <c r="BL164" s="1" t="s">
        <v>2414</v>
      </c>
      <c r="BN164" s="1" t="s">
        <v>270</v>
      </c>
      <c r="BO164" s="0" t="str">
        <f aca="false">"13"</f>
        <v>13</v>
      </c>
      <c r="BU164" s="0" t="s">
        <v>2415</v>
      </c>
      <c r="BV164" s="0" t="s">
        <v>2416</v>
      </c>
      <c r="BX164" s="1" t="s">
        <v>2417</v>
      </c>
      <c r="CE164" s="0" t="s">
        <v>641</v>
      </c>
      <c r="CH164" s="0" t="s">
        <v>625</v>
      </c>
      <c r="CI164" s="1" t="s">
        <v>2417</v>
      </c>
      <c r="CJ164" s="1" t="s">
        <v>2418</v>
      </c>
      <c r="CO164" s="1" t="s">
        <v>2419</v>
      </c>
      <c r="CR164" s="0" t="s">
        <v>2420</v>
      </c>
    </row>
    <row r="165" customFormat="false" ht="75.6" hidden="false" customHeight="false" outlineLevel="0" collapsed="false">
      <c r="A165" s="0" t="s">
        <v>527</v>
      </c>
      <c r="B165" s="0" t="s">
        <v>2421</v>
      </c>
      <c r="C165" s="0" t="s">
        <v>98</v>
      </c>
      <c r="D165" s="0" t="s">
        <v>99</v>
      </c>
      <c r="E165" s="0" t="s">
        <v>2422</v>
      </c>
      <c r="F165" s="0" t="s">
        <v>255</v>
      </c>
      <c r="G165" s="0" t="s">
        <v>256</v>
      </c>
      <c r="L165" s="0" t="str">
        <f aca="false">"1644"</f>
        <v>1644</v>
      </c>
      <c r="M165" s="0" t="s">
        <v>553</v>
      </c>
      <c r="O165" s="0" t="s">
        <v>615</v>
      </c>
      <c r="U165" s="1" t="s">
        <v>2423</v>
      </c>
      <c r="V165" s="1" t="s">
        <v>2424</v>
      </c>
      <c r="AD165" s="1" t="s">
        <v>951</v>
      </c>
      <c r="AE165" s="1" t="s">
        <v>2425</v>
      </c>
      <c r="AF165" s="1" t="s">
        <v>953</v>
      </c>
      <c r="AO165" s="0" t="s">
        <v>539</v>
      </c>
      <c r="AT165" s="0" t="s">
        <v>139</v>
      </c>
      <c r="AU165" s="0" t="s">
        <v>112</v>
      </c>
      <c r="AV165" s="0" t="s">
        <v>113</v>
      </c>
      <c r="BD165" s="0" t="s">
        <v>265</v>
      </c>
      <c r="BE165" s="0" t="s">
        <v>620</v>
      </c>
      <c r="BF165" s="0" t="s">
        <v>560</v>
      </c>
      <c r="BJ165" s="1" t="s">
        <v>467</v>
      </c>
      <c r="BK165" s="1" t="s">
        <v>2426</v>
      </c>
      <c r="BL165" s="1" t="s">
        <v>2427</v>
      </c>
      <c r="BM165" s="0" t="s">
        <v>560</v>
      </c>
      <c r="BN165" s="1" t="s">
        <v>270</v>
      </c>
      <c r="BO165" s="0" t="str">
        <f aca="false">"13"</f>
        <v>13</v>
      </c>
      <c r="BU165" s="0" t="s">
        <v>2428</v>
      </c>
      <c r="BX165" s="1" t="s">
        <v>2429</v>
      </c>
      <c r="CE165" s="0" t="s">
        <v>641</v>
      </c>
      <c r="CH165" s="0" t="s">
        <v>342</v>
      </c>
      <c r="CI165" s="1" t="s">
        <v>2429</v>
      </c>
      <c r="CJ165" s="1" t="s">
        <v>2430</v>
      </c>
      <c r="CO165" s="1" t="s">
        <v>2431</v>
      </c>
      <c r="CR165" s="0" t="s">
        <v>2432</v>
      </c>
    </row>
    <row r="166" customFormat="false" ht="65" hidden="false" customHeight="false" outlineLevel="0" collapsed="false">
      <c r="A166" s="0" t="s">
        <v>527</v>
      </c>
      <c r="B166" s="0" t="s">
        <v>2433</v>
      </c>
      <c r="C166" s="0" t="s">
        <v>98</v>
      </c>
      <c r="D166" s="0" t="s">
        <v>99</v>
      </c>
      <c r="E166" s="0" t="s">
        <v>2434</v>
      </c>
      <c r="F166" s="1" t="s">
        <v>2435</v>
      </c>
      <c r="G166" s="0" t="s">
        <v>256</v>
      </c>
      <c r="L166" s="0" t="str">
        <f aca="false">"1653"</f>
        <v>1653</v>
      </c>
      <c r="M166" s="0" t="s">
        <v>553</v>
      </c>
      <c r="O166" s="0" t="s">
        <v>615</v>
      </c>
      <c r="U166" s="1" t="s">
        <v>2436</v>
      </c>
      <c r="V166" s="1" t="s">
        <v>2437</v>
      </c>
      <c r="AD166" s="1" t="s">
        <v>951</v>
      </c>
      <c r="AE166" s="1" t="s">
        <v>2438</v>
      </c>
      <c r="AF166" s="1" t="s">
        <v>953</v>
      </c>
      <c r="AO166" s="0" t="s">
        <v>539</v>
      </c>
      <c r="AT166" s="0" t="s">
        <v>139</v>
      </c>
      <c r="AU166" s="0" t="s">
        <v>112</v>
      </c>
      <c r="AV166" s="0" t="s">
        <v>113</v>
      </c>
      <c r="BD166" s="0" t="s">
        <v>265</v>
      </c>
      <c r="BE166" s="0" t="s">
        <v>620</v>
      </c>
      <c r="BF166" s="0" t="s">
        <v>541</v>
      </c>
      <c r="BJ166" s="1" t="s">
        <v>229</v>
      </c>
      <c r="BK166" s="1" t="s">
        <v>267</v>
      </c>
      <c r="BL166" s="1" t="s">
        <v>2439</v>
      </c>
      <c r="BM166" s="0" t="s">
        <v>541</v>
      </c>
      <c r="BX166" s="1" t="s">
        <v>2440</v>
      </c>
      <c r="CG166" s="0" t="s">
        <v>123</v>
      </c>
      <c r="CH166" s="0" t="s">
        <v>342</v>
      </c>
      <c r="CI166" s="1" t="s">
        <v>2440</v>
      </c>
      <c r="CJ166" s="1" t="s">
        <v>2441</v>
      </c>
      <c r="CL166" s="1" t="s">
        <v>2442</v>
      </c>
      <c r="CM166" s="1" t="s">
        <v>2442</v>
      </c>
      <c r="CO166" s="1" t="s">
        <v>2443</v>
      </c>
      <c r="CR166" s="0" t="s">
        <v>2444</v>
      </c>
    </row>
    <row r="167" customFormat="false" ht="12.8" hidden="false" customHeight="false" outlineLevel="0" collapsed="false">
      <c r="A167" s="0" t="s">
        <v>2445</v>
      </c>
      <c r="B167" s="0" t="s">
        <v>2446</v>
      </c>
      <c r="C167" s="0" t="s">
        <v>2136</v>
      </c>
      <c r="D167" s="0" t="s">
        <v>329</v>
      </c>
      <c r="E167" s="0" t="s">
        <v>2447</v>
      </c>
      <c r="L167" s="0" t="str">
        <f aca="false">"1697"</f>
        <v>1697</v>
      </c>
      <c r="T167" s="0" t="s">
        <v>329</v>
      </c>
      <c r="U167" s="0" t="s">
        <v>2448</v>
      </c>
      <c r="V167" s="0" t="s">
        <v>2449</v>
      </c>
      <c r="AT167" s="0" t="s">
        <v>338</v>
      </c>
      <c r="AU167" s="0" t="s">
        <v>892</v>
      </c>
      <c r="AY167" s="0" t="s">
        <v>2450</v>
      </c>
      <c r="BD167" s="0" t="s">
        <v>873</v>
      </c>
      <c r="BE167" s="0" t="s">
        <v>2451</v>
      </c>
      <c r="CJ167" s="0" t="s">
        <v>2452</v>
      </c>
      <c r="CO167" s="0" t="s">
        <v>2453</v>
      </c>
    </row>
    <row r="168" customFormat="false" ht="12.8" hidden="false" customHeight="false" outlineLevel="0" collapsed="false">
      <c r="A168" s="0" t="s">
        <v>880</v>
      </c>
      <c r="B168" s="0" t="s">
        <v>2454</v>
      </c>
      <c r="E168" s="0" t="s">
        <v>2455</v>
      </c>
      <c r="L168" s="0" t="str">
        <f aca="false">"1697"</f>
        <v>1697</v>
      </c>
      <c r="U168" s="0" t="s">
        <v>2448</v>
      </c>
      <c r="V168" s="0" t="s">
        <v>2449</v>
      </c>
      <c r="AB168" s="0" t="s">
        <v>2456</v>
      </c>
      <c r="AT168" s="0" t="s">
        <v>338</v>
      </c>
      <c r="AU168" s="0" t="s">
        <v>2457</v>
      </c>
      <c r="CJ168" s="0" t="s">
        <v>2458</v>
      </c>
      <c r="CO168" s="0" t="s">
        <v>2459</v>
      </c>
    </row>
    <row r="169" customFormat="false" ht="96.85" hidden="false" customHeight="false" outlineLevel="0" collapsed="false">
      <c r="A169" s="0" t="s">
        <v>527</v>
      </c>
      <c r="B169" s="0" t="s">
        <v>2460</v>
      </c>
      <c r="C169" s="0" t="s">
        <v>98</v>
      </c>
      <c r="D169" s="0" t="s">
        <v>99</v>
      </c>
      <c r="E169" s="0" t="s">
        <v>2461</v>
      </c>
      <c r="F169" s="0" t="s">
        <v>664</v>
      </c>
      <c r="L169" s="0" t="str">
        <f aca="false">"1651"</f>
        <v>1651</v>
      </c>
      <c r="U169" s="1" t="s">
        <v>2462</v>
      </c>
      <c r="V169" s="1" t="s">
        <v>2463</v>
      </c>
      <c r="AD169" s="1" t="s">
        <v>951</v>
      </c>
      <c r="AE169" s="1" t="s">
        <v>2464</v>
      </c>
      <c r="AF169" s="1" t="s">
        <v>953</v>
      </c>
      <c r="AO169" s="0" t="s">
        <v>539</v>
      </c>
      <c r="AT169" s="0" t="s">
        <v>139</v>
      </c>
      <c r="AU169" s="0" t="s">
        <v>112</v>
      </c>
      <c r="AV169" s="0" t="s">
        <v>113</v>
      </c>
      <c r="BJ169" s="1" t="s">
        <v>229</v>
      </c>
      <c r="BK169" s="1" t="s">
        <v>267</v>
      </c>
      <c r="BL169" s="1" t="s">
        <v>2465</v>
      </c>
      <c r="BM169" s="0" t="s">
        <v>674</v>
      </c>
      <c r="BN169" s="1" t="s">
        <v>2466</v>
      </c>
      <c r="BO169" s="1" t="s">
        <v>2467</v>
      </c>
      <c r="BU169" s="0" t="s">
        <v>2468</v>
      </c>
      <c r="BX169" s="1" t="s">
        <v>2469</v>
      </c>
      <c r="CH169" s="0" t="s">
        <v>145</v>
      </c>
      <c r="CI169" s="1" t="s">
        <v>2469</v>
      </c>
      <c r="CJ169" s="0" t="s">
        <v>2470</v>
      </c>
      <c r="CO169" s="0" t="s">
        <v>2471</v>
      </c>
      <c r="CR169" s="0" t="s">
        <v>2472</v>
      </c>
    </row>
    <row r="170" customFormat="false" ht="65" hidden="false" customHeight="false" outlineLevel="0" collapsed="false">
      <c r="A170" s="0" t="s">
        <v>527</v>
      </c>
      <c r="B170" s="0" t="s">
        <v>2473</v>
      </c>
      <c r="C170" s="0" t="s">
        <v>98</v>
      </c>
      <c r="D170" s="0" t="s">
        <v>99</v>
      </c>
      <c r="E170" s="0" t="s">
        <v>2474</v>
      </c>
      <c r="F170" s="0" t="s">
        <v>255</v>
      </c>
      <c r="G170" s="0" t="s">
        <v>256</v>
      </c>
      <c r="L170" s="0" t="str">
        <f aca="false">"1639"</f>
        <v>1639</v>
      </c>
      <c r="M170" s="0" t="s">
        <v>553</v>
      </c>
      <c r="O170" s="0" t="s">
        <v>615</v>
      </c>
      <c r="U170" s="1" t="s">
        <v>2475</v>
      </c>
      <c r="V170" s="1" t="s">
        <v>2476</v>
      </c>
      <c r="AD170" s="1" t="s">
        <v>557</v>
      </c>
      <c r="AE170" s="1" t="s">
        <v>2477</v>
      </c>
      <c r="AF170" s="1" t="s">
        <v>263</v>
      </c>
      <c r="AO170" s="0" t="s">
        <v>539</v>
      </c>
      <c r="AT170" s="0" t="s">
        <v>139</v>
      </c>
      <c r="AU170" s="0" t="s">
        <v>112</v>
      </c>
      <c r="AV170" s="0" t="s">
        <v>113</v>
      </c>
      <c r="BD170" s="0" t="s">
        <v>265</v>
      </c>
      <c r="BE170" s="0" t="s">
        <v>620</v>
      </c>
      <c r="BF170" s="0" t="s">
        <v>541</v>
      </c>
      <c r="BJ170" s="1" t="s">
        <v>229</v>
      </c>
      <c r="BK170" s="1" t="s">
        <v>2478</v>
      </c>
      <c r="BL170" s="1" t="s">
        <v>2479</v>
      </c>
      <c r="BN170" s="1" t="s">
        <v>270</v>
      </c>
      <c r="BO170" s="1" t="s">
        <v>2480</v>
      </c>
      <c r="BU170" s="0" t="s">
        <v>2481</v>
      </c>
      <c r="BX170" s="1" t="s">
        <v>2482</v>
      </c>
      <c r="CE170" s="0" t="s">
        <v>641</v>
      </c>
      <c r="CH170" s="0" t="s">
        <v>625</v>
      </c>
      <c r="CI170" s="1" t="s">
        <v>2482</v>
      </c>
      <c r="CJ170" s="1" t="s">
        <v>2483</v>
      </c>
      <c r="CO170" s="1" t="s">
        <v>2484</v>
      </c>
      <c r="CR170" s="0" t="s">
        <v>2485</v>
      </c>
    </row>
    <row r="171" customFormat="false" ht="43.75" hidden="false" customHeight="false" outlineLevel="0" collapsed="false">
      <c r="A171" s="0" t="s">
        <v>527</v>
      </c>
      <c r="B171" s="0" t="s">
        <v>2486</v>
      </c>
      <c r="C171" s="0" t="s">
        <v>98</v>
      </c>
      <c r="D171" s="0" t="s">
        <v>99</v>
      </c>
      <c r="E171" s="0" t="s">
        <v>2487</v>
      </c>
      <c r="F171" s="0" t="s">
        <v>255</v>
      </c>
      <c r="G171" s="0" t="s">
        <v>256</v>
      </c>
      <c r="L171" s="0" t="str">
        <f aca="false">"1628"</f>
        <v>1628</v>
      </c>
      <c r="M171" s="0" t="s">
        <v>553</v>
      </c>
      <c r="O171" s="0" t="s">
        <v>615</v>
      </c>
      <c r="U171" s="1" t="s">
        <v>2488</v>
      </c>
      <c r="V171" s="1" t="s">
        <v>2489</v>
      </c>
      <c r="AD171" s="1" t="s">
        <v>557</v>
      </c>
      <c r="AE171" s="1" t="s">
        <v>2490</v>
      </c>
      <c r="AF171" s="1" t="s">
        <v>263</v>
      </c>
      <c r="AO171" s="0" t="s">
        <v>539</v>
      </c>
      <c r="AT171" s="0" t="s">
        <v>139</v>
      </c>
      <c r="AU171" s="0" t="s">
        <v>112</v>
      </c>
      <c r="AV171" s="0" t="s">
        <v>113</v>
      </c>
      <c r="BD171" s="0" t="s">
        <v>265</v>
      </c>
      <c r="BE171" s="0" t="s">
        <v>620</v>
      </c>
      <c r="BJ171" s="1" t="s">
        <v>229</v>
      </c>
      <c r="BK171" s="1" t="s">
        <v>2491</v>
      </c>
      <c r="BL171" s="1" t="s">
        <v>2492</v>
      </c>
      <c r="BN171" s="1" t="s">
        <v>270</v>
      </c>
      <c r="BO171" s="1" t="s">
        <v>675</v>
      </c>
      <c r="BU171" s="0" t="s">
        <v>2493</v>
      </c>
      <c r="BX171" s="1" t="s">
        <v>2494</v>
      </c>
      <c r="CH171" s="0" t="s">
        <v>342</v>
      </c>
      <c r="CI171" s="1" t="s">
        <v>2494</v>
      </c>
      <c r="CJ171" s="1" t="s">
        <v>2495</v>
      </c>
      <c r="CO171" s="1" t="s">
        <v>2496</v>
      </c>
      <c r="CR171" s="0" t="s">
        <v>2497</v>
      </c>
    </row>
    <row r="172" customFormat="false" ht="96.85" hidden="false" customHeight="false" outlineLevel="0" collapsed="false">
      <c r="A172" s="0" t="s">
        <v>527</v>
      </c>
      <c r="B172" s="0" t="s">
        <v>2498</v>
      </c>
      <c r="C172" s="0" t="s">
        <v>98</v>
      </c>
      <c r="D172" s="0" t="s">
        <v>99</v>
      </c>
      <c r="E172" s="0" t="s">
        <v>2499</v>
      </c>
      <c r="F172" s="0" t="s">
        <v>255</v>
      </c>
      <c r="G172" s="0" t="s">
        <v>256</v>
      </c>
      <c r="I172" s="0" t="str">
        <f aca="false">"1642"</f>
        <v>1642</v>
      </c>
      <c r="J172" s="0" t="str">
        <f aca="false">"1648"</f>
        <v>1648</v>
      </c>
      <c r="M172" s="0" t="s">
        <v>553</v>
      </c>
      <c r="O172" s="1" t="s">
        <v>2500</v>
      </c>
      <c r="U172" s="1" t="s">
        <v>2501</v>
      </c>
      <c r="V172" s="1" t="s">
        <v>2502</v>
      </c>
      <c r="AD172" s="0" t="s">
        <v>2503</v>
      </c>
      <c r="AE172" s="0" t="s">
        <v>2504</v>
      </c>
      <c r="AF172" s="0" t="s">
        <v>2505</v>
      </c>
      <c r="AO172" s="0" t="s">
        <v>539</v>
      </c>
      <c r="AT172" s="0" t="s">
        <v>139</v>
      </c>
      <c r="AU172" s="0" t="s">
        <v>112</v>
      </c>
      <c r="AV172" s="0" t="s">
        <v>113</v>
      </c>
      <c r="BD172" s="0" t="s">
        <v>265</v>
      </c>
      <c r="BE172" s="1" t="s">
        <v>2506</v>
      </c>
      <c r="BJ172" s="1" t="s">
        <v>467</v>
      </c>
      <c r="BK172" s="1" t="s">
        <v>267</v>
      </c>
      <c r="BL172" s="1" t="s">
        <v>2507</v>
      </c>
      <c r="BM172" s="0" t="s">
        <v>541</v>
      </c>
      <c r="BN172" s="1" t="s">
        <v>270</v>
      </c>
      <c r="BO172" s="1" t="s">
        <v>675</v>
      </c>
      <c r="BU172" s="0" t="s">
        <v>2508</v>
      </c>
      <c r="BV172" s="0" t="s">
        <v>2509</v>
      </c>
      <c r="BX172" s="1" t="s">
        <v>2510</v>
      </c>
      <c r="CH172" s="0" t="s">
        <v>342</v>
      </c>
      <c r="CI172" s="1" t="s">
        <v>2510</v>
      </c>
      <c r="CJ172" s="1" t="s">
        <v>2511</v>
      </c>
      <c r="CO172" s="1" t="s">
        <v>2512</v>
      </c>
      <c r="CR172" s="0" t="s">
        <v>2513</v>
      </c>
    </row>
    <row r="173" customFormat="false" ht="43.75" hidden="false" customHeight="false" outlineLevel="0" collapsed="false">
      <c r="A173" s="0" t="s">
        <v>527</v>
      </c>
      <c r="B173" s="0" t="s">
        <v>2514</v>
      </c>
      <c r="C173" s="0" t="s">
        <v>98</v>
      </c>
      <c r="D173" s="0" t="s">
        <v>99</v>
      </c>
      <c r="E173" s="0" t="s">
        <v>2515</v>
      </c>
      <c r="F173" s="1" t="s">
        <v>2516</v>
      </c>
      <c r="G173" s="0" t="s">
        <v>256</v>
      </c>
      <c r="H173" s="0" t="s">
        <v>102</v>
      </c>
      <c r="L173" s="0" t="str">
        <f aca="false">"1813"</f>
        <v>1813</v>
      </c>
      <c r="M173" s="1" t="s">
        <v>2517</v>
      </c>
      <c r="O173" s="1" t="s">
        <v>2518</v>
      </c>
      <c r="T173" s="0" t="s">
        <v>99</v>
      </c>
      <c r="U173" s="1" t="s">
        <v>2519</v>
      </c>
      <c r="V173" s="1" t="s">
        <v>2520</v>
      </c>
      <c r="AD173" s="1" t="s">
        <v>951</v>
      </c>
      <c r="AE173" s="1" t="s">
        <v>2521</v>
      </c>
      <c r="AF173" s="1" t="s">
        <v>953</v>
      </c>
      <c r="AO173" s="0" t="s">
        <v>539</v>
      </c>
      <c r="AT173" s="0" t="s">
        <v>139</v>
      </c>
      <c r="AU173" s="0" t="s">
        <v>112</v>
      </c>
      <c r="AV173" s="0" t="s">
        <v>113</v>
      </c>
      <c r="BD173" s="1" t="s">
        <v>2522</v>
      </c>
      <c r="BE173" s="1" t="s">
        <v>2523</v>
      </c>
      <c r="BF173" s="0" t="s">
        <v>560</v>
      </c>
      <c r="BJ173" s="1" t="s">
        <v>467</v>
      </c>
      <c r="BK173" s="1" t="s">
        <v>267</v>
      </c>
      <c r="BL173" s="1" t="s">
        <v>2524</v>
      </c>
      <c r="BM173" s="0" t="s">
        <v>541</v>
      </c>
      <c r="BN173" s="1" t="s">
        <v>270</v>
      </c>
      <c r="BO173" s="1" t="s">
        <v>2525</v>
      </c>
      <c r="BU173" s="0" t="s">
        <v>2526</v>
      </c>
      <c r="BX173" s="1" t="s">
        <v>2527</v>
      </c>
      <c r="CE173" s="0" t="s">
        <v>2528</v>
      </c>
      <c r="CH173" s="0" t="s">
        <v>625</v>
      </c>
      <c r="CI173" s="1" t="s">
        <v>2527</v>
      </c>
      <c r="CJ173" s="1" t="s">
        <v>2529</v>
      </c>
      <c r="CO173" s="1" t="s">
        <v>2530</v>
      </c>
      <c r="CR173" s="0" t="s">
        <v>2531</v>
      </c>
    </row>
    <row r="174" customFormat="false" ht="86.25" hidden="false" customHeight="false" outlineLevel="0" collapsed="false">
      <c r="A174" s="0" t="s">
        <v>527</v>
      </c>
      <c r="B174" s="0" t="s">
        <v>2532</v>
      </c>
      <c r="C174" s="0" t="s">
        <v>98</v>
      </c>
      <c r="D174" s="0" t="s">
        <v>99</v>
      </c>
      <c r="E174" s="0" t="s">
        <v>2533</v>
      </c>
      <c r="F174" s="0" t="s">
        <v>255</v>
      </c>
      <c r="G174" s="0" t="s">
        <v>256</v>
      </c>
      <c r="L174" s="0" t="str">
        <f aca="false">"1650"</f>
        <v>1650</v>
      </c>
      <c r="M174" s="0" t="s">
        <v>553</v>
      </c>
      <c r="O174" s="0" t="s">
        <v>615</v>
      </c>
      <c r="U174" s="1" t="s">
        <v>2534</v>
      </c>
      <c r="V174" s="1" t="s">
        <v>2535</v>
      </c>
      <c r="AD174" s="1" t="s">
        <v>951</v>
      </c>
      <c r="AE174" s="1" t="s">
        <v>2536</v>
      </c>
      <c r="AF174" s="1" t="s">
        <v>953</v>
      </c>
      <c r="AO174" s="0" t="s">
        <v>539</v>
      </c>
      <c r="AT174" s="0" t="s">
        <v>139</v>
      </c>
      <c r="AU174" s="0" t="s">
        <v>112</v>
      </c>
      <c r="AV174" s="0" t="s">
        <v>113</v>
      </c>
      <c r="BD174" s="0" t="s">
        <v>265</v>
      </c>
      <c r="BE174" s="0" t="s">
        <v>620</v>
      </c>
      <c r="BF174" s="0" t="s">
        <v>541</v>
      </c>
      <c r="BJ174" s="1" t="s">
        <v>229</v>
      </c>
      <c r="BK174" s="1" t="s">
        <v>267</v>
      </c>
      <c r="BL174" s="1" t="s">
        <v>2537</v>
      </c>
      <c r="BM174" s="0" t="s">
        <v>541</v>
      </c>
      <c r="BN174" s="1" t="s">
        <v>270</v>
      </c>
      <c r="BO174" s="1" t="s">
        <v>2538</v>
      </c>
      <c r="BU174" s="0" t="s">
        <v>2539</v>
      </c>
      <c r="BX174" s="1" t="s">
        <v>2540</v>
      </c>
      <c r="CH174" s="0" t="s">
        <v>298</v>
      </c>
      <c r="CI174" s="1" t="s">
        <v>2540</v>
      </c>
      <c r="CJ174" s="1" t="s">
        <v>2541</v>
      </c>
      <c r="CO174" s="1" t="s">
        <v>2542</v>
      </c>
      <c r="CR174" s="0" t="s">
        <v>2543</v>
      </c>
    </row>
    <row r="175" customFormat="false" ht="96.85" hidden="false" customHeight="false" outlineLevel="0" collapsed="false">
      <c r="A175" s="0" t="s">
        <v>527</v>
      </c>
      <c r="B175" s="0" t="s">
        <v>2544</v>
      </c>
      <c r="C175" s="0" t="s">
        <v>98</v>
      </c>
      <c r="D175" s="0" t="s">
        <v>99</v>
      </c>
      <c r="E175" s="0" t="s">
        <v>2545</v>
      </c>
      <c r="F175" s="0" t="s">
        <v>255</v>
      </c>
      <c r="G175" s="0" t="s">
        <v>256</v>
      </c>
      <c r="I175" s="0" t="str">
        <f aca="false">"1648"</f>
        <v>1648</v>
      </c>
      <c r="J175" s="0" t="str">
        <f aca="false">"1650"</f>
        <v>1650</v>
      </c>
      <c r="M175" s="0" t="s">
        <v>553</v>
      </c>
      <c r="O175" s="0" t="s">
        <v>615</v>
      </c>
      <c r="U175" s="1" t="s">
        <v>2546</v>
      </c>
      <c r="V175" s="1" t="s">
        <v>2547</v>
      </c>
      <c r="AD175" s="1" t="s">
        <v>951</v>
      </c>
      <c r="AE175" s="1" t="s">
        <v>2548</v>
      </c>
      <c r="AF175" s="1" t="s">
        <v>953</v>
      </c>
      <c r="AO175" s="0" t="s">
        <v>539</v>
      </c>
      <c r="AT175" s="0" t="s">
        <v>139</v>
      </c>
      <c r="AU175" s="0" t="s">
        <v>112</v>
      </c>
      <c r="AV175" s="0" t="s">
        <v>113</v>
      </c>
      <c r="BD175" s="0" t="s">
        <v>265</v>
      </c>
      <c r="BE175" s="0" t="s">
        <v>620</v>
      </c>
      <c r="BF175" s="0" t="s">
        <v>541</v>
      </c>
      <c r="BJ175" s="1" t="s">
        <v>2549</v>
      </c>
      <c r="BK175" s="1" t="s">
        <v>2550</v>
      </c>
      <c r="BL175" s="1" t="s">
        <v>2551</v>
      </c>
      <c r="BN175" s="1" t="s">
        <v>270</v>
      </c>
      <c r="BO175" s="0" t="str">
        <f aca="false">"13"</f>
        <v>13</v>
      </c>
      <c r="BU175" s="0" t="s">
        <v>2552</v>
      </c>
      <c r="BX175" s="1" t="s">
        <v>2553</v>
      </c>
      <c r="CE175" s="0" t="s">
        <v>641</v>
      </c>
      <c r="CH175" s="0" t="s">
        <v>625</v>
      </c>
      <c r="CI175" s="1" t="s">
        <v>2553</v>
      </c>
      <c r="CJ175" s="1" t="s">
        <v>2554</v>
      </c>
      <c r="CO175" s="1" t="s">
        <v>2555</v>
      </c>
      <c r="CR175" s="0" t="s">
        <v>2556</v>
      </c>
    </row>
    <row r="176" customFormat="false" ht="107.5" hidden="false" customHeight="false" outlineLevel="0" collapsed="false">
      <c r="A176" s="0" t="s">
        <v>527</v>
      </c>
      <c r="B176" s="0" t="s">
        <v>2557</v>
      </c>
      <c r="C176" s="0" t="s">
        <v>98</v>
      </c>
      <c r="D176" s="0" t="s">
        <v>99</v>
      </c>
      <c r="E176" s="0" t="s">
        <v>2558</v>
      </c>
      <c r="F176" s="0" t="s">
        <v>255</v>
      </c>
      <c r="G176" s="0" t="s">
        <v>256</v>
      </c>
      <c r="L176" s="0" t="str">
        <f aca="false">"1646"</f>
        <v>1646</v>
      </c>
      <c r="M176" s="0" t="s">
        <v>553</v>
      </c>
      <c r="O176" s="0" t="s">
        <v>615</v>
      </c>
      <c r="T176" s="0" t="s">
        <v>632</v>
      </c>
      <c r="U176" s="1" t="s">
        <v>2559</v>
      </c>
      <c r="V176" s="1" t="s">
        <v>2560</v>
      </c>
      <c r="AD176" s="1" t="s">
        <v>557</v>
      </c>
      <c r="AE176" s="1" t="s">
        <v>2561</v>
      </c>
      <c r="AF176" s="1" t="s">
        <v>263</v>
      </c>
      <c r="AO176" s="0" t="s">
        <v>539</v>
      </c>
      <c r="AT176" s="0" t="s">
        <v>139</v>
      </c>
      <c r="AU176" s="0" t="s">
        <v>112</v>
      </c>
      <c r="AV176" s="0" t="s">
        <v>113</v>
      </c>
      <c r="BD176" s="0" t="s">
        <v>265</v>
      </c>
      <c r="BE176" s="0" t="s">
        <v>620</v>
      </c>
      <c r="BF176" s="0" t="s">
        <v>541</v>
      </c>
      <c r="BJ176" s="1" t="s">
        <v>229</v>
      </c>
      <c r="BK176" s="1" t="s">
        <v>267</v>
      </c>
      <c r="BL176" s="1" t="s">
        <v>2562</v>
      </c>
      <c r="BM176" s="0" t="s">
        <v>560</v>
      </c>
      <c r="BN176" s="1" t="s">
        <v>270</v>
      </c>
      <c r="BO176" s="1" t="s">
        <v>2563</v>
      </c>
      <c r="BU176" s="0" t="s">
        <v>2564</v>
      </c>
      <c r="BX176" s="1" t="s">
        <v>2565</v>
      </c>
      <c r="CH176" s="0" t="s">
        <v>625</v>
      </c>
      <c r="CI176" s="1" t="s">
        <v>2565</v>
      </c>
      <c r="CJ176" s="1" t="s">
        <v>2566</v>
      </c>
      <c r="CO176" s="1" t="s">
        <v>2567</v>
      </c>
      <c r="CR176" s="0" t="s">
        <v>2568</v>
      </c>
    </row>
    <row r="177" customFormat="false" ht="65" hidden="false" customHeight="false" outlineLevel="0" collapsed="false">
      <c r="A177" s="0" t="s">
        <v>527</v>
      </c>
      <c r="B177" s="0" t="s">
        <v>2569</v>
      </c>
      <c r="C177" s="0" t="s">
        <v>98</v>
      </c>
      <c r="D177" s="0" t="s">
        <v>99</v>
      </c>
      <c r="E177" s="0" t="s">
        <v>2570</v>
      </c>
      <c r="F177" s="0" t="s">
        <v>255</v>
      </c>
      <c r="G177" s="0" t="s">
        <v>256</v>
      </c>
      <c r="L177" s="0" t="str">
        <f aca="false">"1648"</f>
        <v>1648</v>
      </c>
      <c r="M177" s="0" t="s">
        <v>553</v>
      </c>
      <c r="O177" s="0" t="s">
        <v>2571</v>
      </c>
      <c r="U177" s="1" t="s">
        <v>2572</v>
      </c>
      <c r="V177" s="1" t="s">
        <v>2573</v>
      </c>
      <c r="AD177" s="1" t="s">
        <v>951</v>
      </c>
      <c r="AE177" s="1" t="s">
        <v>2574</v>
      </c>
      <c r="AF177" s="1" t="s">
        <v>953</v>
      </c>
      <c r="AO177" s="0" t="s">
        <v>539</v>
      </c>
      <c r="AT177" s="0" t="s">
        <v>139</v>
      </c>
      <c r="AU177" s="0" t="s">
        <v>112</v>
      </c>
      <c r="AV177" s="0" t="s">
        <v>113</v>
      </c>
      <c r="BD177" s="0" t="s">
        <v>265</v>
      </c>
      <c r="BE177" s="0" t="s">
        <v>2575</v>
      </c>
      <c r="BJ177" s="1" t="s">
        <v>229</v>
      </c>
      <c r="BK177" s="1" t="s">
        <v>267</v>
      </c>
      <c r="BL177" s="1" t="s">
        <v>2576</v>
      </c>
      <c r="BM177" s="1" t="s">
        <v>562</v>
      </c>
      <c r="BN177" s="1" t="s">
        <v>270</v>
      </c>
      <c r="BO177" s="1" t="s">
        <v>2538</v>
      </c>
      <c r="BU177" s="0" t="s">
        <v>2577</v>
      </c>
      <c r="BX177" s="1" t="s">
        <v>2578</v>
      </c>
      <c r="CH177" s="0" t="s">
        <v>454</v>
      </c>
      <c r="CI177" s="1" t="s">
        <v>2578</v>
      </c>
      <c r="CJ177" s="1" t="s">
        <v>2579</v>
      </c>
      <c r="CO177" s="1" t="s">
        <v>2580</v>
      </c>
      <c r="CR177" s="0" t="s">
        <v>2581</v>
      </c>
    </row>
    <row r="178" customFormat="false" ht="96.85" hidden="false" customHeight="false" outlineLevel="0" collapsed="false">
      <c r="A178" s="0" t="s">
        <v>527</v>
      </c>
      <c r="B178" s="0" t="s">
        <v>2582</v>
      </c>
      <c r="C178" s="0" t="s">
        <v>98</v>
      </c>
      <c r="D178" s="0" t="s">
        <v>99</v>
      </c>
      <c r="E178" s="0" t="s">
        <v>2583</v>
      </c>
      <c r="F178" s="0" t="s">
        <v>255</v>
      </c>
      <c r="G178" s="0" t="s">
        <v>256</v>
      </c>
      <c r="L178" s="0" t="str">
        <f aca="false">"1629"</f>
        <v>1629</v>
      </c>
      <c r="M178" s="0" t="s">
        <v>553</v>
      </c>
      <c r="O178" s="0" t="s">
        <v>615</v>
      </c>
      <c r="U178" s="1" t="s">
        <v>2584</v>
      </c>
      <c r="V178" s="1" t="s">
        <v>2585</v>
      </c>
      <c r="AD178" s="1" t="s">
        <v>557</v>
      </c>
      <c r="AE178" s="1" t="s">
        <v>2586</v>
      </c>
      <c r="AF178" s="1" t="s">
        <v>263</v>
      </c>
      <c r="AO178" s="0" t="s">
        <v>539</v>
      </c>
      <c r="AT178" s="0" t="s">
        <v>139</v>
      </c>
      <c r="AU178" s="0" t="s">
        <v>112</v>
      </c>
      <c r="AV178" s="0" t="s">
        <v>113</v>
      </c>
      <c r="BJ178" s="1" t="s">
        <v>229</v>
      </c>
      <c r="BK178" s="1" t="s">
        <v>2124</v>
      </c>
      <c r="BL178" s="1" t="s">
        <v>2587</v>
      </c>
      <c r="BM178" s="0" t="s">
        <v>560</v>
      </c>
      <c r="BN178" s="1" t="s">
        <v>270</v>
      </c>
      <c r="BO178" s="0" t="str">
        <f aca="false">"13"</f>
        <v>13</v>
      </c>
      <c r="BU178" s="1" t="s">
        <v>2588</v>
      </c>
      <c r="BX178" s="1" t="s">
        <v>2589</v>
      </c>
      <c r="CE178" s="0" t="s">
        <v>641</v>
      </c>
      <c r="CF178" s="1" t="s">
        <v>2590</v>
      </c>
      <c r="CG178" s="0" t="s">
        <v>123</v>
      </c>
      <c r="CH178" s="0" t="s">
        <v>298</v>
      </c>
      <c r="CI178" s="1" t="s">
        <v>2589</v>
      </c>
      <c r="CJ178" s="1" t="s">
        <v>2591</v>
      </c>
      <c r="CL178" s="1" t="s">
        <v>2592</v>
      </c>
      <c r="CM178" s="1" t="s">
        <v>2592</v>
      </c>
      <c r="CO178" s="1" t="s">
        <v>2593</v>
      </c>
      <c r="CR178" s="0" t="s">
        <v>2594</v>
      </c>
    </row>
    <row r="179" customFormat="false" ht="33.1" hidden="false" customHeight="false" outlineLevel="0" collapsed="false">
      <c r="A179" s="0" t="s">
        <v>445</v>
      </c>
      <c r="B179" s="0" t="s">
        <v>2595</v>
      </c>
      <c r="C179" s="0" t="s">
        <v>1213</v>
      </c>
      <c r="D179" s="0" t="s">
        <v>1214</v>
      </c>
      <c r="E179" s="0" t="s">
        <v>2596</v>
      </c>
      <c r="L179" s="0" t="str">
        <f aca="false">"1605"</f>
        <v>1605</v>
      </c>
      <c r="O179" s="1" t="s">
        <v>2597</v>
      </c>
      <c r="R179" s="0" t="s">
        <v>2598</v>
      </c>
      <c r="T179" s="0" t="s">
        <v>1050</v>
      </c>
      <c r="Z179" s="0" t="s">
        <v>2599</v>
      </c>
      <c r="AB179" s="0" t="s">
        <v>2600</v>
      </c>
      <c r="AT179" s="0" t="s">
        <v>2601</v>
      </c>
      <c r="AU179" s="0" t="s">
        <v>2457</v>
      </c>
      <c r="AY179" s="0" t="s">
        <v>2602</v>
      </c>
      <c r="AZ179" s="0" t="s">
        <v>2603</v>
      </c>
      <c r="BX179" s="0" t="s">
        <v>2604</v>
      </c>
      <c r="CI179" s="0" t="s">
        <v>2604</v>
      </c>
    </row>
    <row r="180" customFormat="false" ht="22.5" hidden="false" customHeight="false" outlineLevel="0" collapsed="false">
      <c r="B180" s="0" t="s">
        <v>2605</v>
      </c>
      <c r="C180" s="0" t="s">
        <v>2606</v>
      </c>
      <c r="D180" s="0" t="s">
        <v>2607</v>
      </c>
      <c r="E180" s="0" t="s">
        <v>2608</v>
      </c>
      <c r="L180" s="0" t="str">
        <f aca="false">"1607"</f>
        <v>1607</v>
      </c>
      <c r="M180" s="1" t="s">
        <v>2609</v>
      </c>
      <c r="O180" s="1" t="s">
        <v>2610</v>
      </c>
      <c r="R180" s="0" t="s">
        <v>2611</v>
      </c>
      <c r="T180" s="0" t="s">
        <v>1057</v>
      </c>
      <c r="AB180" s="0" t="s">
        <v>2612</v>
      </c>
      <c r="AT180" s="0" t="s">
        <v>2601</v>
      </c>
      <c r="AU180" s="0" t="s">
        <v>2613</v>
      </c>
      <c r="AY180" s="0" t="s">
        <v>2614</v>
      </c>
      <c r="AZ180" s="0" t="s">
        <v>2615</v>
      </c>
      <c r="CA180" s="0" t="s">
        <v>2616</v>
      </c>
    </row>
    <row r="181" customFormat="false" ht="43.75" hidden="false" customHeight="false" outlineLevel="0" collapsed="false">
      <c r="A181" s="0" t="s">
        <v>445</v>
      </c>
      <c r="B181" s="0" t="s">
        <v>2617</v>
      </c>
      <c r="C181" s="0" t="s">
        <v>242</v>
      </c>
      <c r="D181" s="0" t="s">
        <v>243</v>
      </c>
      <c r="E181" s="0" t="s">
        <v>2618</v>
      </c>
      <c r="F181" s="0" t="s">
        <v>192</v>
      </c>
      <c r="H181" s="0" t="s">
        <v>102</v>
      </c>
      <c r="L181" s="0" t="str">
        <f aca="false">"1608"</f>
        <v>1608</v>
      </c>
      <c r="M181" s="1" t="s">
        <v>898</v>
      </c>
      <c r="O181" s="1" t="s">
        <v>2619</v>
      </c>
      <c r="T181" s="0" t="s">
        <v>2620</v>
      </c>
      <c r="Z181" s="0" t="s">
        <v>2621</v>
      </c>
      <c r="AB181" s="0" t="s">
        <v>2622</v>
      </c>
      <c r="AS181" s="0" t="s">
        <v>2623</v>
      </c>
      <c r="AT181" s="0" t="s">
        <v>2601</v>
      </c>
      <c r="AU181" s="0" t="s">
        <v>112</v>
      </c>
      <c r="AY181" s="0" t="s">
        <v>2624</v>
      </c>
      <c r="AZ181" s="0" t="s">
        <v>2625</v>
      </c>
      <c r="BC181" s="0" t="s">
        <v>2626</v>
      </c>
      <c r="BD181" s="0" t="s">
        <v>873</v>
      </c>
      <c r="BE181" s="0" t="s">
        <v>2627</v>
      </c>
      <c r="BJ181" s="0" t="s">
        <v>118</v>
      </c>
      <c r="BX181" s="1" t="s">
        <v>2628</v>
      </c>
      <c r="CF181" s="1" t="s">
        <v>2629</v>
      </c>
      <c r="CG181" s="0" t="s">
        <v>123</v>
      </c>
      <c r="CH181" s="0" t="s">
        <v>342</v>
      </c>
      <c r="CI181" s="1" t="s">
        <v>2628</v>
      </c>
      <c r="CJ181" s="0" t="s">
        <v>2630</v>
      </c>
      <c r="CL181" s="0" t="s">
        <v>2631</v>
      </c>
      <c r="CM181" s="0" t="s">
        <v>2631</v>
      </c>
      <c r="CO181" s="0" t="s">
        <v>2632</v>
      </c>
      <c r="CR181" s="0" t="s">
        <v>2633</v>
      </c>
    </row>
    <row r="182" customFormat="false" ht="22.5" hidden="false" customHeight="false" outlineLevel="0" collapsed="false">
      <c r="A182" s="0" t="s">
        <v>445</v>
      </c>
      <c r="B182" s="0" t="s">
        <v>2634</v>
      </c>
      <c r="C182" s="0" t="s">
        <v>1429</v>
      </c>
      <c r="D182" s="0" t="s">
        <v>99</v>
      </c>
      <c r="E182" s="0" t="s">
        <v>2635</v>
      </c>
      <c r="F182" s="0" t="s">
        <v>192</v>
      </c>
      <c r="H182" s="0" t="s">
        <v>102</v>
      </c>
      <c r="L182" s="0" t="str">
        <f aca="false">"1610"</f>
        <v>1610</v>
      </c>
      <c r="M182" s="1" t="s">
        <v>898</v>
      </c>
      <c r="O182" s="1" t="s">
        <v>2636</v>
      </c>
      <c r="R182" s="0" t="s">
        <v>2637</v>
      </c>
      <c r="T182" s="0" t="s">
        <v>2638</v>
      </c>
      <c r="Z182" s="0" t="s">
        <v>2639</v>
      </c>
      <c r="AS182" s="0" t="s">
        <v>2640</v>
      </c>
      <c r="AT182" s="0" t="s">
        <v>2601</v>
      </c>
      <c r="AU182" s="0" t="s">
        <v>872</v>
      </c>
      <c r="AY182" s="0" t="s">
        <v>2641</v>
      </c>
      <c r="AZ182" s="0" t="s">
        <v>2642</v>
      </c>
      <c r="BD182" s="0" t="s">
        <v>873</v>
      </c>
      <c r="BE182" s="0" t="s">
        <v>2643</v>
      </c>
      <c r="BJ182" s="0" t="s">
        <v>118</v>
      </c>
      <c r="BX182" s="0" t="s">
        <v>2644</v>
      </c>
      <c r="CC182" s="0" t="s">
        <v>2645</v>
      </c>
      <c r="CI182" s="0" t="s">
        <v>2644</v>
      </c>
      <c r="CJ182" s="0" t="s">
        <v>2646</v>
      </c>
      <c r="CO182" s="0" t="s">
        <v>2634</v>
      </c>
      <c r="CR182" s="0" t="s">
        <v>2647</v>
      </c>
    </row>
    <row r="183" customFormat="false" ht="33.1" hidden="false" customHeight="false" outlineLevel="0" collapsed="false">
      <c r="A183" s="0" t="s">
        <v>445</v>
      </c>
      <c r="B183" s="0" t="s">
        <v>2648</v>
      </c>
      <c r="C183" s="0" t="s">
        <v>2649</v>
      </c>
      <c r="D183" s="0" t="s">
        <v>2650</v>
      </c>
      <c r="E183" s="0" t="s">
        <v>2651</v>
      </c>
      <c r="L183" s="0" t="str">
        <f aca="false">"1610"</f>
        <v>1610</v>
      </c>
      <c r="M183" s="0" t="s">
        <v>448</v>
      </c>
      <c r="O183" s="1" t="s">
        <v>2652</v>
      </c>
      <c r="R183" s="0" t="s">
        <v>2653</v>
      </c>
      <c r="T183" s="0" t="s">
        <v>1050</v>
      </c>
      <c r="Z183" s="0" t="s">
        <v>2654</v>
      </c>
      <c r="AS183" s="0" t="s">
        <v>2655</v>
      </c>
      <c r="AT183" s="0" t="s">
        <v>2601</v>
      </c>
      <c r="AU183" s="0" t="s">
        <v>892</v>
      </c>
      <c r="AY183" s="0" t="s">
        <v>2656</v>
      </c>
      <c r="AZ183" s="0" t="s">
        <v>2657</v>
      </c>
      <c r="BC183" s="0" t="str">
        <f aca="false">"572731035"</f>
        <v>572731035</v>
      </c>
      <c r="BX183" s="0" t="s">
        <v>2658</v>
      </c>
      <c r="CI183" s="0" t="s">
        <v>2658</v>
      </c>
    </row>
    <row r="184" customFormat="false" ht="12.8" hidden="false" customHeight="false" outlineLevel="0" collapsed="false">
      <c r="A184" s="0" t="s">
        <v>445</v>
      </c>
      <c r="B184" s="0" t="s">
        <v>2659</v>
      </c>
      <c r="C184" s="0" t="s">
        <v>224</v>
      </c>
      <c r="D184" s="0" t="s">
        <v>225</v>
      </c>
      <c r="E184" s="0" t="s">
        <v>2660</v>
      </c>
      <c r="L184" s="0" t="str">
        <f aca="false">"1610"</f>
        <v>1610</v>
      </c>
      <c r="O184" s="0" t="s">
        <v>2661</v>
      </c>
      <c r="R184" s="0" t="s">
        <v>2653</v>
      </c>
      <c r="T184" s="0" t="s">
        <v>1050</v>
      </c>
      <c r="Z184" s="0" t="s">
        <v>2662</v>
      </c>
      <c r="AG184" s="0" t="s">
        <v>2663</v>
      </c>
      <c r="AH184" s="0" t="s">
        <v>1985</v>
      </c>
      <c r="AI184" s="0" t="s">
        <v>2664</v>
      </c>
      <c r="AM184" s="0" t="s">
        <v>2665</v>
      </c>
      <c r="AS184" s="0" t="s">
        <v>2666</v>
      </c>
      <c r="AT184" s="0" t="s">
        <v>2601</v>
      </c>
      <c r="AU184" s="0" t="s">
        <v>892</v>
      </c>
      <c r="AY184" s="0" t="s">
        <v>2667</v>
      </c>
      <c r="AZ184" s="0" t="s">
        <v>2668</v>
      </c>
      <c r="BX184" s="0" t="s">
        <v>2669</v>
      </c>
      <c r="CI184" s="0" t="s">
        <v>2669</v>
      </c>
      <c r="CJ184" s="0" t="s">
        <v>2670</v>
      </c>
      <c r="CO184" s="0" t="s">
        <v>2659</v>
      </c>
    </row>
    <row r="185" customFormat="false" ht="107.5" hidden="false" customHeight="false" outlineLevel="0" collapsed="false">
      <c r="A185" s="0" t="s">
        <v>445</v>
      </c>
      <c r="B185" s="0" t="s">
        <v>2671</v>
      </c>
      <c r="C185" s="0" t="s">
        <v>1685</v>
      </c>
      <c r="D185" s="0" t="s">
        <v>1686</v>
      </c>
      <c r="E185" s="0" t="s">
        <v>2672</v>
      </c>
      <c r="L185" s="0" t="str">
        <f aca="false">"1611"</f>
        <v>1611</v>
      </c>
      <c r="M185" s="1" t="s">
        <v>1414</v>
      </c>
      <c r="O185" s="1" t="s">
        <v>2673</v>
      </c>
      <c r="T185" s="0" t="s">
        <v>1050</v>
      </c>
      <c r="Z185" s="0" t="s">
        <v>2674</v>
      </c>
      <c r="AG185" s="0" t="s">
        <v>1213</v>
      </c>
      <c r="AH185" s="0" t="s">
        <v>1214</v>
      </c>
      <c r="AI185" s="0" t="s">
        <v>2675</v>
      </c>
      <c r="AM185" s="0" t="s">
        <v>2676</v>
      </c>
      <c r="AT185" s="0" t="s">
        <v>2601</v>
      </c>
      <c r="AU185" s="0" t="s">
        <v>112</v>
      </c>
      <c r="AY185" s="0" t="s">
        <v>2677</v>
      </c>
      <c r="BD185" s="0" t="s">
        <v>873</v>
      </c>
      <c r="BE185" s="1" t="s">
        <v>2678</v>
      </c>
      <c r="BJ185" s="0" t="s">
        <v>118</v>
      </c>
      <c r="BX185" s="0" t="s">
        <v>2679</v>
      </c>
      <c r="CF185" s="1" t="s">
        <v>2680</v>
      </c>
      <c r="CG185" s="0" t="s">
        <v>123</v>
      </c>
      <c r="CH185" s="0" t="s">
        <v>454</v>
      </c>
      <c r="CI185" s="0" t="s">
        <v>2679</v>
      </c>
      <c r="CJ185" s="0" t="s">
        <v>2681</v>
      </c>
      <c r="CL185" s="0" t="s">
        <v>2682</v>
      </c>
      <c r="CM185" s="0" t="s">
        <v>2682</v>
      </c>
      <c r="CO185" s="0" t="s">
        <v>2671</v>
      </c>
      <c r="CR185" s="0" t="s">
        <v>2683</v>
      </c>
    </row>
    <row r="186" customFormat="false" ht="12.8" hidden="false" customHeight="false" outlineLevel="0" collapsed="false">
      <c r="A186" s="0" t="s">
        <v>445</v>
      </c>
      <c r="B186" s="0" t="s">
        <v>2684</v>
      </c>
      <c r="C186" s="0" t="s">
        <v>224</v>
      </c>
      <c r="D186" s="0" t="s">
        <v>225</v>
      </c>
      <c r="E186" s="0" t="s">
        <v>2685</v>
      </c>
      <c r="L186" s="0" t="str">
        <f aca="false">"1613"</f>
        <v>1613</v>
      </c>
      <c r="M186" s="0" t="s">
        <v>448</v>
      </c>
      <c r="O186" s="0" t="s">
        <v>2686</v>
      </c>
      <c r="R186" s="0" t="s">
        <v>2687</v>
      </c>
      <c r="T186" s="0" t="s">
        <v>2688</v>
      </c>
      <c r="Z186" s="0" t="s">
        <v>2689</v>
      </c>
      <c r="AB186" s="0" t="s">
        <v>2690</v>
      </c>
      <c r="AS186" s="0" t="s">
        <v>2691</v>
      </c>
      <c r="AT186" s="0" t="s">
        <v>2601</v>
      </c>
      <c r="AU186" s="0" t="s">
        <v>2457</v>
      </c>
      <c r="AY186" s="0" t="s">
        <v>2692</v>
      </c>
      <c r="AZ186" s="0" t="s">
        <v>2693</v>
      </c>
      <c r="BX186" s="0" t="s">
        <v>2694</v>
      </c>
      <c r="CI186" s="0" t="s">
        <v>2694</v>
      </c>
    </row>
    <row r="187" customFormat="false" ht="22.5" hidden="false" customHeight="false" outlineLevel="0" collapsed="false">
      <c r="A187" s="0" t="s">
        <v>445</v>
      </c>
      <c r="B187" s="0" t="s">
        <v>2695</v>
      </c>
      <c r="C187" s="0" t="s">
        <v>2696</v>
      </c>
      <c r="D187" s="1" t="s">
        <v>2697</v>
      </c>
      <c r="L187" s="0" t="str">
        <f aca="false">"1614"</f>
        <v>1614</v>
      </c>
      <c r="M187" s="1" t="s">
        <v>898</v>
      </c>
      <c r="O187" s="1" t="s">
        <v>2698</v>
      </c>
      <c r="R187" s="0" t="s">
        <v>2653</v>
      </c>
      <c r="T187" s="0" t="s">
        <v>1050</v>
      </c>
      <c r="Z187" s="0" t="s">
        <v>2699</v>
      </c>
      <c r="AB187" s="0" t="s">
        <v>2700</v>
      </c>
      <c r="AS187" s="0" t="s">
        <v>2701</v>
      </c>
      <c r="AT187" s="0" t="s">
        <v>2601</v>
      </c>
      <c r="AU187" s="0" t="s">
        <v>872</v>
      </c>
      <c r="AY187" s="0" t="s">
        <v>2702</v>
      </c>
      <c r="AZ187" s="0" t="s">
        <v>2703</v>
      </c>
      <c r="BC187" s="0" t="str">
        <f aca="false">"166085553"</f>
        <v>166085553</v>
      </c>
      <c r="BX187" s="0" t="s">
        <v>2704</v>
      </c>
      <c r="CI187" s="0" t="s">
        <v>2704</v>
      </c>
      <c r="CO187" s="0" t="s">
        <v>2695</v>
      </c>
    </row>
    <row r="188" customFormat="false" ht="22.5" hidden="false" customHeight="false" outlineLevel="0" collapsed="false">
      <c r="B188" s="0" t="s">
        <v>2684</v>
      </c>
      <c r="C188" s="0" t="s">
        <v>224</v>
      </c>
      <c r="D188" s="0" t="s">
        <v>225</v>
      </c>
      <c r="E188" s="0" t="s">
        <v>2705</v>
      </c>
      <c r="L188" s="0" t="str">
        <f aca="false">"1615"</f>
        <v>1615</v>
      </c>
      <c r="M188" s="0" t="s">
        <v>448</v>
      </c>
      <c r="O188" s="1" t="s">
        <v>2706</v>
      </c>
      <c r="R188" s="0" t="s">
        <v>2707</v>
      </c>
      <c r="T188" s="0" t="s">
        <v>2708</v>
      </c>
      <c r="Z188" s="0" t="s">
        <v>2709</v>
      </c>
      <c r="AB188" s="0" t="s">
        <v>2710</v>
      </c>
      <c r="AS188" s="0" t="s">
        <v>2711</v>
      </c>
      <c r="AT188" s="0" t="s">
        <v>2601</v>
      </c>
      <c r="AU188" s="0" t="s">
        <v>2457</v>
      </c>
      <c r="AY188" s="0" t="s">
        <v>2712</v>
      </c>
      <c r="AZ188" s="0" t="s">
        <v>2713</v>
      </c>
      <c r="BX188" s="0" t="s">
        <v>2714</v>
      </c>
      <c r="CI188" s="0" t="s">
        <v>2714</v>
      </c>
    </row>
    <row r="189" customFormat="false" ht="22.5" hidden="false" customHeight="false" outlineLevel="0" collapsed="false">
      <c r="A189" s="0" t="s">
        <v>445</v>
      </c>
      <c r="B189" s="0" t="s">
        <v>2715</v>
      </c>
      <c r="C189" s="0" t="s">
        <v>224</v>
      </c>
      <c r="D189" s="0" t="s">
        <v>225</v>
      </c>
      <c r="E189" s="0" t="s">
        <v>2716</v>
      </c>
      <c r="F189" s="0" t="s">
        <v>192</v>
      </c>
      <c r="H189" s="0" t="s">
        <v>102</v>
      </c>
      <c r="L189" s="0" t="str">
        <f aca="false">"1616"</f>
        <v>1616</v>
      </c>
      <c r="M189" s="1" t="s">
        <v>898</v>
      </c>
      <c r="O189" s="1" t="s">
        <v>2717</v>
      </c>
      <c r="T189" s="0" t="s">
        <v>2718</v>
      </c>
      <c r="Z189" s="0" t="s">
        <v>2719</v>
      </c>
      <c r="AB189" s="0" t="s">
        <v>2720</v>
      </c>
      <c r="AS189" s="0" t="s">
        <v>2721</v>
      </c>
      <c r="AT189" s="0" t="s">
        <v>2601</v>
      </c>
      <c r="AU189" s="0" t="s">
        <v>872</v>
      </c>
      <c r="AY189" s="0" t="s">
        <v>2722</v>
      </c>
      <c r="BD189" s="0" t="s">
        <v>873</v>
      </c>
      <c r="BE189" s="0" t="s">
        <v>2723</v>
      </c>
      <c r="BJ189" s="0" t="s">
        <v>118</v>
      </c>
      <c r="BV189" s="0" t="s">
        <v>2724</v>
      </c>
      <c r="BX189" s="0" t="s">
        <v>2725</v>
      </c>
      <c r="CI189" s="0" t="s">
        <v>2725</v>
      </c>
      <c r="CJ189" s="0" t="s">
        <v>2726</v>
      </c>
      <c r="CO189" s="0" t="s">
        <v>2715</v>
      </c>
      <c r="CR189" s="0" t="s">
        <v>2727</v>
      </c>
    </row>
    <row r="190" customFormat="false" ht="33.1" hidden="false" customHeight="false" outlineLevel="0" collapsed="false">
      <c r="A190" s="0" t="s">
        <v>445</v>
      </c>
      <c r="B190" s="0" t="s">
        <v>2728</v>
      </c>
      <c r="C190" s="0" t="s">
        <v>242</v>
      </c>
      <c r="D190" s="0" t="s">
        <v>243</v>
      </c>
      <c r="E190" s="0" t="s">
        <v>2729</v>
      </c>
      <c r="L190" s="0" t="str">
        <f aca="false">"1617"</f>
        <v>1617</v>
      </c>
      <c r="M190" s="0" t="s">
        <v>448</v>
      </c>
      <c r="O190" s="1" t="s">
        <v>2730</v>
      </c>
      <c r="R190" s="1" t="s">
        <v>2731</v>
      </c>
      <c r="T190" s="0" t="s">
        <v>1050</v>
      </c>
      <c r="Z190" s="0" t="s">
        <v>2732</v>
      </c>
      <c r="AB190" s="0" t="s">
        <v>2733</v>
      </c>
      <c r="AS190" s="0" t="s">
        <v>2734</v>
      </c>
      <c r="AT190" s="0" t="s">
        <v>2601</v>
      </c>
      <c r="AU190" s="0" t="s">
        <v>892</v>
      </c>
      <c r="AZ190" s="0" t="s">
        <v>2735</v>
      </c>
      <c r="BC190" s="0" t="str">
        <f aca="false">"324132913"</f>
        <v>324132913</v>
      </c>
      <c r="BX190" s="0" t="s">
        <v>2736</v>
      </c>
      <c r="CI190" s="0" t="s">
        <v>2736</v>
      </c>
      <c r="CJ190" s="0" t="s">
        <v>2737</v>
      </c>
      <c r="CO190" s="0" t="s">
        <v>2728</v>
      </c>
    </row>
    <row r="191" customFormat="false" ht="43.75" hidden="false" customHeight="false" outlineLevel="0" collapsed="false">
      <c r="A191" s="0" t="s">
        <v>445</v>
      </c>
      <c r="B191" s="0" t="s">
        <v>2738</v>
      </c>
      <c r="C191" s="0" t="s">
        <v>224</v>
      </c>
      <c r="D191" s="0" t="s">
        <v>225</v>
      </c>
      <c r="E191" s="0" t="s">
        <v>2739</v>
      </c>
      <c r="L191" s="0" t="str">
        <f aca="false">"1617"</f>
        <v>1617</v>
      </c>
      <c r="O191" s="1" t="s">
        <v>2740</v>
      </c>
      <c r="T191" s="0" t="s">
        <v>2741</v>
      </c>
      <c r="Z191" s="0" t="s">
        <v>2742</v>
      </c>
      <c r="AS191" s="0" t="s">
        <v>2743</v>
      </c>
      <c r="AT191" s="0" t="s">
        <v>2601</v>
      </c>
      <c r="AU191" s="0" t="s">
        <v>892</v>
      </c>
      <c r="AY191" s="0" t="s">
        <v>2744</v>
      </c>
      <c r="AZ191" s="0" t="s">
        <v>2745</v>
      </c>
      <c r="BV191" s="0" t="s">
        <v>2746</v>
      </c>
    </row>
    <row r="192" customFormat="false" ht="12.8" hidden="false" customHeight="false" outlineLevel="0" collapsed="false">
      <c r="A192" s="0" t="s">
        <v>445</v>
      </c>
      <c r="B192" s="0" t="s">
        <v>2747</v>
      </c>
      <c r="C192" s="0" t="s">
        <v>224</v>
      </c>
      <c r="D192" s="0" t="s">
        <v>225</v>
      </c>
      <c r="E192" s="0" t="s">
        <v>2748</v>
      </c>
      <c r="L192" s="0" t="str">
        <f aca="false">"1618"</f>
        <v>1618</v>
      </c>
      <c r="M192" s="0" t="s">
        <v>448</v>
      </c>
      <c r="O192" s="0" t="s">
        <v>2749</v>
      </c>
      <c r="R192" s="0" t="s">
        <v>2750</v>
      </c>
      <c r="T192" s="0" t="s">
        <v>2751</v>
      </c>
      <c r="U192" s="0" t="s">
        <v>2752</v>
      </c>
      <c r="V192" s="0" t="s">
        <v>2753</v>
      </c>
      <c r="Z192" s="0" t="s">
        <v>2754</v>
      </c>
      <c r="AB192" s="0" t="s">
        <v>2755</v>
      </c>
      <c r="AS192" s="0" t="s">
        <v>2756</v>
      </c>
      <c r="AT192" s="0" t="s">
        <v>2601</v>
      </c>
      <c r="AU192" s="0" t="s">
        <v>112</v>
      </c>
      <c r="AY192" s="0" t="s">
        <v>2757</v>
      </c>
      <c r="AZ192" s="0" t="s">
        <v>2758</v>
      </c>
      <c r="BD192" s="0" t="s">
        <v>873</v>
      </c>
      <c r="BE192" s="0" t="s">
        <v>2759</v>
      </c>
      <c r="BJ192" s="0" t="s">
        <v>118</v>
      </c>
      <c r="BX192" s="0" t="s">
        <v>2760</v>
      </c>
      <c r="CF192" s="0" t="s">
        <v>2761</v>
      </c>
      <c r="CG192" s="0" t="s">
        <v>123</v>
      </c>
      <c r="CH192" s="0" t="s">
        <v>124</v>
      </c>
      <c r="CI192" s="0" t="s">
        <v>2760</v>
      </c>
      <c r="CJ192" s="0" t="s">
        <v>2762</v>
      </c>
      <c r="CL192" s="0" t="s">
        <v>2763</v>
      </c>
      <c r="CM192" s="0" t="s">
        <v>2763</v>
      </c>
      <c r="CO192" s="0" t="s">
        <v>2764</v>
      </c>
      <c r="CR192" s="0" t="s">
        <v>2765</v>
      </c>
    </row>
    <row r="193" customFormat="false" ht="22.5" hidden="false" customHeight="false" outlineLevel="0" collapsed="false">
      <c r="A193" s="0" t="s">
        <v>445</v>
      </c>
      <c r="B193" s="0" t="s">
        <v>2766</v>
      </c>
      <c r="C193" s="0" t="s">
        <v>1429</v>
      </c>
      <c r="D193" s="0" t="s">
        <v>99</v>
      </c>
      <c r="E193" s="0" t="s">
        <v>2767</v>
      </c>
      <c r="L193" s="0" t="str">
        <f aca="false">"1619"</f>
        <v>1619</v>
      </c>
      <c r="M193" s="1" t="s">
        <v>898</v>
      </c>
      <c r="O193" s="1" t="s">
        <v>2768</v>
      </c>
      <c r="R193" s="0" t="s">
        <v>2769</v>
      </c>
      <c r="T193" s="0" t="s">
        <v>1881</v>
      </c>
      <c r="Z193" s="0" t="s">
        <v>2770</v>
      </c>
      <c r="AB193" s="0" t="s">
        <v>2771</v>
      </c>
      <c r="AT193" s="0" t="s">
        <v>2601</v>
      </c>
      <c r="AU193" s="0" t="s">
        <v>892</v>
      </c>
      <c r="AY193" s="0" t="s">
        <v>2772</v>
      </c>
      <c r="BX193" s="0" t="s">
        <v>2773</v>
      </c>
      <c r="CI193" s="0" t="s">
        <v>2773</v>
      </c>
      <c r="CJ193" s="0" t="s">
        <v>2774</v>
      </c>
      <c r="CO193" s="0" t="s">
        <v>2775</v>
      </c>
    </row>
    <row r="194" customFormat="false" ht="54.35" hidden="false" customHeight="false" outlineLevel="0" collapsed="false">
      <c r="B194" s="0" t="s">
        <v>2776</v>
      </c>
      <c r="C194" s="0" t="s">
        <v>1685</v>
      </c>
      <c r="D194" s="0" t="s">
        <v>1686</v>
      </c>
      <c r="E194" s="0" t="s">
        <v>2777</v>
      </c>
      <c r="L194" s="0" t="str">
        <f aca="false">"1619"</f>
        <v>1619</v>
      </c>
      <c r="M194" s="0" t="s">
        <v>448</v>
      </c>
      <c r="O194" s="1" t="s">
        <v>2778</v>
      </c>
      <c r="R194" s="0" t="s">
        <v>2779</v>
      </c>
      <c r="T194" s="0" t="s">
        <v>2780</v>
      </c>
      <c r="Z194" s="0" t="s">
        <v>2781</v>
      </c>
      <c r="AB194" s="0" t="s">
        <v>2782</v>
      </c>
      <c r="AP194" s="0" t="s">
        <v>2783</v>
      </c>
      <c r="AQ194" s="0" t="s">
        <v>2784</v>
      </c>
      <c r="AS194" s="0" t="s">
        <v>2785</v>
      </c>
      <c r="AT194" s="0" t="s">
        <v>2601</v>
      </c>
      <c r="AU194" s="0" t="s">
        <v>892</v>
      </c>
      <c r="BX194" s="0" t="s">
        <v>2786</v>
      </c>
      <c r="CI194" s="0" t="s">
        <v>2786</v>
      </c>
    </row>
    <row r="195" customFormat="false" ht="12.8" hidden="false" customHeight="false" outlineLevel="0" collapsed="false">
      <c r="B195" s="0" t="s">
        <v>2783</v>
      </c>
      <c r="CP195" s="0" t="s">
        <v>2787</v>
      </c>
    </row>
    <row r="196" customFormat="false" ht="12.8" hidden="false" customHeight="false" outlineLevel="0" collapsed="false">
      <c r="A196" s="0" t="s">
        <v>445</v>
      </c>
      <c r="B196" s="0" t="s">
        <v>2788</v>
      </c>
      <c r="C196" s="0" t="s">
        <v>242</v>
      </c>
      <c r="D196" s="0" t="s">
        <v>243</v>
      </c>
      <c r="E196" s="0" t="s">
        <v>2789</v>
      </c>
      <c r="L196" s="0" t="str">
        <f aca="false">"1619"</f>
        <v>1619</v>
      </c>
      <c r="M196" s="0" t="s">
        <v>448</v>
      </c>
      <c r="O196" s="0" t="s">
        <v>2790</v>
      </c>
      <c r="R196" s="0" t="s">
        <v>2791</v>
      </c>
      <c r="T196" s="0" t="s">
        <v>2638</v>
      </c>
      <c r="Z196" s="0" t="s">
        <v>2792</v>
      </c>
      <c r="AB196" s="0" t="s">
        <v>2793</v>
      </c>
      <c r="AS196" s="0" t="s">
        <v>2794</v>
      </c>
      <c r="AT196" s="0" t="s">
        <v>2601</v>
      </c>
      <c r="AU196" s="0" t="s">
        <v>2457</v>
      </c>
      <c r="AY196" s="0" t="s">
        <v>2795</v>
      </c>
      <c r="BC196" s="0" t="str">
        <f aca="false">"371738008"</f>
        <v>371738008</v>
      </c>
      <c r="BU196" s="0" t="s">
        <v>2796</v>
      </c>
      <c r="BX196" s="0" t="s">
        <v>2797</v>
      </c>
      <c r="CA196" s="0" t="s">
        <v>2798</v>
      </c>
      <c r="CI196" s="0" t="s">
        <v>2797</v>
      </c>
    </row>
    <row r="197" customFormat="false" ht="12.8" hidden="false" customHeight="false" outlineLevel="0" collapsed="false">
      <c r="B197" s="0" t="s">
        <v>2799</v>
      </c>
      <c r="C197" s="0" t="s">
        <v>242</v>
      </c>
      <c r="D197" s="0" t="s">
        <v>243</v>
      </c>
      <c r="E197" s="0" t="s">
        <v>2800</v>
      </c>
      <c r="L197" s="0" t="str">
        <f aca="false">"1619"</f>
        <v>1619</v>
      </c>
      <c r="M197" s="0" t="s">
        <v>448</v>
      </c>
      <c r="O197" s="0" t="s">
        <v>2749</v>
      </c>
      <c r="R197" s="0" t="s">
        <v>2801</v>
      </c>
      <c r="T197" s="0" t="s">
        <v>2751</v>
      </c>
      <c r="Z197" s="0" t="s">
        <v>2802</v>
      </c>
      <c r="AB197" s="0" t="s">
        <v>2803</v>
      </c>
      <c r="AS197" s="0" t="s">
        <v>2804</v>
      </c>
      <c r="AT197" s="0" t="s">
        <v>2601</v>
      </c>
      <c r="AU197" s="0" t="s">
        <v>2457</v>
      </c>
      <c r="AY197" s="0" t="s">
        <v>2805</v>
      </c>
      <c r="AZ197" s="0" t="s">
        <v>2806</v>
      </c>
      <c r="BX197" s="0" t="s">
        <v>2807</v>
      </c>
      <c r="CI197" s="0" t="s">
        <v>2807</v>
      </c>
    </row>
    <row r="198" customFormat="false" ht="22.5" hidden="false" customHeight="false" outlineLevel="0" collapsed="false">
      <c r="A198" s="0" t="s">
        <v>445</v>
      </c>
      <c r="B198" s="0" t="s">
        <v>2808</v>
      </c>
      <c r="C198" s="0" t="s">
        <v>242</v>
      </c>
      <c r="D198" s="0" t="s">
        <v>243</v>
      </c>
      <c r="E198" s="0" t="s">
        <v>2809</v>
      </c>
      <c r="L198" s="0" t="str">
        <f aca="false">"1620"</f>
        <v>1620</v>
      </c>
      <c r="M198" s="1" t="s">
        <v>2810</v>
      </c>
      <c r="O198" s="1" t="s">
        <v>2811</v>
      </c>
      <c r="R198" s="0" t="s">
        <v>2812</v>
      </c>
      <c r="T198" s="0" t="s">
        <v>2638</v>
      </c>
      <c r="Z198" s="0" t="s">
        <v>2813</v>
      </c>
      <c r="AB198" s="0" t="s">
        <v>2814</v>
      </c>
      <c r="AT198" s="0" t="s">
        <v>2601</v>
      </c>
      <c r="AU198" s="0" t="s">
        <v>892</v>
      </c>
      <c r="AY198" s="0" t="s">
        <v>2815</v>
      </c>
      <c r="BV198" s="0" t="s">
        <v>2816</v>
      </c>
      <c r="BX198" s="0" t="s">
        <v>2817</v>
      </c>
      <c r="CA198" s="0" t="s">
        <v>2798</v>
      </c>
      <c r="CI198" s="0" t="s">
        <v>2817</v>
      </c>
      <c r="CJ198" s="0" t="s">
        <v>2818</v>
      </c>
      <c r="CO198" s="0" t="s">
        <v>2819</v>
      </c>
    </row>
    <row r="199" customFormat="false" ht="22.5" hidden="false" customHeight="false" outlineLevel="0" collapsed="false">
      <c r="A199" s="0" t="s">
        <v>445</v>
      </c>
      <c r="B199" s="0" t="s">
        <v>2820</v>
      </c>
      <c r="C199" s="0" t="s">
        <v>224</v>
      </c>
      <c r="D199" s="0" t="s">
        <v>225</v>
      </c>
      <c r="E199" s="0" t="s">
        <v>2821</v>
      </c>
      <c r="L199" s="0" t="str">
        <f aca="false">"1621"</f>
        <v>1621</v>
      </c>
      <c r="M199" s="1" t="s">
        <v>898</v>
      </c>
      <c r="O199" s="1" t="s">
        <v>2822</v>
      </c>
      <c r="R199" s="0" t="s">
        <v>2823</v>
      </c>
      <c r="T199" s="0" t="s">
        <v>930</v>
      </c>
      <c r="Z199" s="0" t="s">
        <v>2824</v>
      </c>
      <c r="AB199" s="0" t="s">
        <v>2825</v>
      </c>
      <c r="AG199" s="0" t="s">
        <v>1685</v>
      </c>
      <c r="AH199" s="0" t="s">
        <v>1686</v>
      </c>
      <c r="AI199" s="0" t="s">
        <v>2826</v>
      </c>
      <c r="AS199" s="0" t="s">
        <v>2827</v>
      </c>
      <c r="AT199" s="0" t="s">
        <v>2601</v>
      </c>
      <c r="AU199" s="0" t="s">
        <v>872</v>
      </c>
      <c r="AY199" s="0" t="s">
        <v>2828</v>
      </c>
      <c r="AZ199" s="0" t="s">
        <v>2829</v>
      </c>
      <c r="BC199" s="0" t="str">
        <f aca="false">"151382743"</f>
        <v>151382743</v>
      </c>
      <c r="BX199" s="0" t="s">
        <v>2830</v>
      </c>
      <c r="CF199" s="0" t="s">
        <v>2831</v>
      </c>
      <c r="CI199" s="0" t="s">
        <v>2830</v>
      </c>
      <c r="CJ199" s="0" t="s">
        <v>2832</v>
      </c>
      <c r="CO199" s="0" t="s">
        <v>2833</v>
      </c>
      <c r="CS199" s="0" t="s">
        <v>2834</v>
      </c>
    </row>
    <row r="200" customFormat="false" ht="33.1" hidden="false" customHeight="false" outlineLevel="0" collapsed="false">
      <c r="A200" s="0" t="s">
        <v>445</v>
      </c>
      <c r="B200" s="0" t="s">
        <v>2835</v>
      </c>
      <c r="C200" s="0" t="s">
        <v>1685</v>
      </c>
      <c r="D200" s="0" t="s">
        <v>1686</v>
      </c>
      <c r="E200" s="0" t="s">
        <v>2836</v>
      </c>
      <c r="L200" s="0" t="str">
        <f aca="false">"1621"</f>
        <v>1621</v>
      </c>
      <c r="M200" s="0" t="s">
        <v>448</v>
      </c>
      <c r="O200" s="0" t="s">
        <v>2837</v>
      </c>
      <c r="R200" s="1" t="s">
        <v>2838</v>
      </c>
      <c r="T200" s="0" t="s">
        <v>930</v>
      </c>
      <c r="Z200" s="0" t="s">
        <v>2839</v>
      </c>
      <c r="AB200" s="0" t="s">
        <v>2840</v>
      </c>
      <c r="AS200" s="0" t="s">
        <v>2841</v>
      </c>
      <c r="AT200" s="0" t="s">
        <v>2601</v>
      </c>
      <c r="AU200" s="0" t="s">
        <v>892</v>
      </c>
      <c r="AZ200" s="0" t="s">
        <v>2842</v>
      </c>
      <c r="BX200" s="0" t="s">
        <v>2843</v>
      </c>
      <c r="CI200" s="0" t="s">
        <v>2843</v>
      </c>
      <c r="CJ200" s="0" t="s">
        <v>2844</v>
      </c>
      <c r="CO200" s="0" t="s">
        <v>2835</v>
      </c>
    </row>
    <row r="201" customFormat="false" ht="12.8" hidden="false" customHeight="false" outlineLevel="0" collapsed="false">
      <c r="B201" s="0" t="s">
        <v>2845</v>
      </c>
      <c r="C201" s="0" t="s">
        <v>2846</v>
      </c>
      <c r="D201" s="0" t="s">
        <v>2847</v>
      </c>
      <c r="E201" s="0" t="s">
        <v>2848</v>
      </c>
      <c r="L201" s="0" t="str">
        <f aca="false">"1622"</f>
        <v>1622</v>
      </c>
      <c r="O201" s="0" t="s">
        <v>2849</v>
      </c>
      <c r="R201" s="0" t="s">
        <v>2850</v>
      </c>
      <c r="T201" s="0" t="s">
        <v>1057</v>
      </c>
      <c r="AB201" s="0" t="s">
        <v>2851</v>
      </c>
      <c r="AT201" s="0" t="s">
        <v>2601</v>
      </c>
      <c r="AU201" s="0" t="s">
        <v>2613</v>
      </c>
      <c r="AY201" s="0" t="s">
        <v>2852</v>
      </c>
      <c r="CA201" s="0" t="s">
        <v>2853</v>
      </c>
    </row>
    <row r="202" customFormat="false" ht="22.5" hidden="false" customHeight="false" outlineLevel="0" collapsed="false">
      <c r="B202" s="0" t="s">
        <v>2854</v>
      </c>
      <c r="C202" s="0" t="s">
        <v>2696</v>
      </c>
      <c r="D202" s="1" t="s">
        <v>2697</v>
      </c>
      <c r="E202" s="0" t="s">
        <v>2855</v>
      </c>
      <c r="I202" s="0" t="str">
        <f aca="false">"1622"</f>
        <v>1622</v>
      </c>
      <c r="J202" s="0" t="str">
        <f aca="false">"1623"</f>
        <v>1623</v>
      </c>
      <c r="M202" s="1" t="s">
        <v>2810</v>
      </c>
      <c r="O202" s="1" t="s">
        <v>2856</v>
      </c>
      <c r="R202" s="0" t="s">
        <v>2801</v>
      </c>
      <c r="T202" s="0" t="s">
        <v>2751</v>
      </c>
      <c r="Z202" s="0" t="s">
        <v>2857</v>
      </c>
      <c r="AB202" s="0" t="s">
        <v>2858</v>
      </c>
      <c r="AG202" s="0" t="s">
        <v>224</v>
      </c>
      <c r="AH202" s="0" t="s">
        <v>225</v>
      </c>
      <c r="AI202" s="0" t="s">
        <v>2859</v>
      </c>
      <c r="AJ202" s="0" t="s">
        <v>2860</v>
      </c>
      <c r="AM202" s="0" t="s">
        <v>2861</v>
      </c>
      <c r="AR202" s="0" t="str">
        <f aca="false">"3"</f>
        <v>3</v>
      </c>
      <c r="AT202" s="0" t="s">
        <v>2601</v>
      </c>
      <c r="AU202" s="0" t="s">
        <v>2457</v>
      </c>
      <c r="AY202" s="0" t="s">
        <v>2862</v>
      </c>
      <c r="AZ202" s="0" t="s">
        <v>2863</v>
      </c>
      <c r="BX202" s="0" t="s">
        <v>2864</v>
      </c>
      <c r="CI202" s="0" t="s">
        <v>2864</v>
      </c>
    </row>
    <row r="203" customFormat="false" ht="12.8" hidden="false" customHeight="false" outlineLevel="0" collapsed="false">
      <c r="A203" s="0" t="s">
        <v>445</v>
      </c>
      <c r="B203" s="0" t="s">
        <v>2865</v>
      </c>
      <c r="C203" s="0" t="s">
        <v>224</v>
      </c>
      <c r="D203" s="0" t="s">
        <v>225</v>
      </c>
      <c r="E203" s="0" t="s">
        <v>2866</v>
      </c>
      <c r="L203" s="0" t="str">
        <f aca="false">"1629"</f>
        <v>1629</v>
      </c>
      <c r="M203" s="0" t="s">
        <v>448</v>
      </c>
      <c r="O203" s="0" t="s">
        <v>2867</v>
      </c>
      <c r="R203" s="0" t="s">
        <v>2868</v>
      </c>
      <c r="S203" s="0" t="s">
        <v>715</v>
      </c>
      <c r="T203" s="0" t="s">
        <v>2869</v>
      </c>
      <c r="Z203" s="0" t="s">
        <v>2870</v>
      </c>
      <c r="AB203" s="0" t="s">
        <v>2871</v>
      </c>
      <c r="AG203" s="0" t="s">
        <v>224</v>
      </c>
      <c r="AH203" s="0" t="s">
        <v>225</v>
      </c>
      <c r="AI203" s="0" t="s">
        <v>2872</v>
      </c>
      <c r="AS203" s="0" t="s">
        <v>2873</v>
      </c>
      <c r="AT203" s="0" t="s">
        <v>2601</v>
      </c>
      <c r="AU203" s="0" t="s">
        <v>872</v>
      </c>
      <c r="AY203" s="0" t="s">
        <v>2874</v>
      </c>
      <c r="AZ203" s="0" t="s">
        <v>2875</v>
      </c>
      <c r="BC203" s="0" t="str">
        <f aca="false">"005166764"</f>
        <v>005166764</v>
      </c>
      <c r="BD203" s="0" t="s">
        <v>873</v>
      </c>
      <c r="BE203" s="0" t="s">
        <v>2876</v>
      </c>
      <c r="BJ203" s="0" t="s">
        <v>118</v>
      </c>
      <c r="BX203" s="0" t="s">
        <v>2877</v>
      </c>
      <c r="CI203" s="0" t="s">
        <v>2877</v>
      </c>
      <c r="CR203" s="0" t="s">
        <v>2878</v>
      </c>
    </row>
    <row r="204" customFormat="false" ht="22.5" hidden="false" customHeight="false" outlineLevel="0" collapsed="false">
      <c r="A204" s="0" t="s">
        <v>445</v>
      </c>
      <c r="B204" s="0" t="s">
        <v>2879</v>
      </c>
      <c r="C204" s="0" t="s">
        <v>224</v>
      </c>
      <c r="D204" s="0" t="s">
        <v>225</v>
      </c>
      <c r="E204" s="0" t="s">
        <v>2880</v>
      </c>
      <c r="L204" s="0" t="str">
        <f aca="false">"1629"</f>
        <v>1629</v>
      </c>
      <c r="M204" s="0" t="s">
        <v>448</v>
      </c>
      <c r="O204" s="0" t="s">
        <v>2881</v>
      </c>
      <c r="R204" s="1" t="s">
        <v>2882</v>
      </c>
      <c r="T204" s="0" t="s">
        <v>532</v>
      </c>
      <c r="Z204" s="0" t="s">
        <v>2883</v>
      </c>
      <c r="AG204" s="0" t="s">
        <v>1685</v>
      </c>
      <c r="AH204" s="0" t="s">
        <v>1686</v>
      </c>
      <c r="AI204" s="0" t="s">
        <v>2884</v>
      </c>
      <c r="AS204" s="0" t="s">
        <v>2885</v>
      </c>
      <c r="AT204" s="0" t="s">
        <v>2601</v>
      </c>
      <c r="AU204" s="0" t="s">
        <v>872</v>
      </c>
      <c r="AY204" s="0" t="s">
        <v>2886</v>
      </c>
      <c r="AZ204" s="0" t="s">
        <v>2887</v>
      </c>
      <c r="BC204" s="0" t="str">
        <f aca="false">"001027336"</f>
        <v>001027336</v>
      </c>
      <c r="BV204" s="0" t="s">
        <v>2888</v>
      </c>
      <c r="BX204" s="0" t="s">
        <v>2889</v>
      </c>
      <c r="CI204" s="0" t="s">
        <v>2889</v>
      </c>
      <c r="CJ204" s="0" t="s">
        <v>2890</v>
      </c>
      <c r="CO204" s="0" t="s">
        <v>2879</v>
      </c>
      <c r="CS204" s="0" t="s">
        <v>2891</v>
      </c>
    </row>
    <row r="205" customFormat="false" ht="22.5" hidden="false" customHeight="false" outlineLevel="0" collapsed="false">
      <c r="A205" s="0" t="s">
        <v>445</v>
      </c>
      <c r="B205" s="0" t="s">
        <v>2892</v>
      </c>
      <c r="C205" s="0" t="s">
        <v>224</v>
      </c>
      <c r="D205" s="0" t="s">
        <v>225</v>
      </c>
      <c r="E205" s="0" t="s">
        <v>2893</v>
      </c>
      <c r="L205" s="0" t="str">
        <f aca="false">"1630"</f>
        <v>1630</v>
      </c>
      <c r="M205" s="0" t="s">
        <v>448</v>
      </c>
      <c r="O205" s="0" t="s">
        <v>2894</v>
      </c>
      <c r="R205" s="1" t="s">
        <v>2895</v>
      </c>
      <c r="T205" s="0" t="s">
        <v>1050</v>
      </c>
      <c r="Z205" s="0" t="s">
        <v>2896</v>
      </c>
      <c r="AB205" s="0" t="s">
        <v>2897</v>
      </c>
      <c r="AS205" s="0" t="s">
        <v>2898</v>
      </c>
      <c r="AT205" s="0" t="s">
        <v>2601</v>
      </c>
      <c r="AU205" s="0" t="s">
        <v>892</v>
      </c>
      <c r="AY205" s="0" t="s">
        <v>2899</v>
      </c>
      <c r="AZ205" s="0" t="s">
        <v>2900</v>
      </c>
      <c r="BC205" s="0" t="str">
        <f aca="false">"535973349"</f>
        <v>535973349</v>
      </c>
      <c r="BS205" s="0" t="s">
        <v>2901</v>
      </c>
      <c r="BT205" s="0" t="str">
        <f aca="false">"2"</f>
        <v>2</v>
      </c>
      <c r="BX205" s="0" t="s">
        <v>2902</v>
      </c>
      <c r="CI205" s="0" t="s">
        <v>2902</v>
      </c>
      <c r="CJ205" s="0" t="s">
        <v>2903</v>
      </c>
      <c r="CO205" s="0" t="s">
        <v>2892</v>
      </c>
    </row>
    <row r="206" customFormat="false" ht="22.5" hidden="false" customHeight="false" outlineLevel="0" collapsed="false">
      <c r="B206" s="0" t="s">
        <v>2901</v>
      </c>
      <c r="C206" s="0" t="s">
        <v>224</v>
      </c>
      <c r="D206" s="0" t="s">
        <v>225</v>
      </c>
      <c r="E206" s="0" t="s">
        <v>2904</v>
      </c>
      <c r="L206" s="0" t="str">
        <f aca="false">"1630"</f>
        <v>1630</v>
      </c>
      <c r="O206" s="0" t="s">
        <v>2894</v>
      </c>
      <c r="R206" s="1" t="s">
        <v>2905</v>
      </c>
      <c r="T206" s="0" t="s">
        <v>1050</v>
      </c>
      <c r="Z206" s="0" t="s">
        <v>2906</v>
      </c>
      <c r="AB206" s="0" t="s">
        <v>2907</v>
      </c>
      <c r="AT206" s="0" t="s">
        <v>2601</v>
      </c>
      <c r="AU206" s="0" t="s">
        <v>2613</v>
      </c>
    </row>
    <row r="207" customFormat="false" ht="22.5" hidden="false" customHeight="false" outlineLevel="0" collapsed="false">
      <c r="A207" s="0" t="s">
        <v>445</v>
      </c>
      <c r="B207" s="0" t="s">
        <v>2908</v>
      </c>
      <c r="C207" s="0" t="s">
        <v>2696</v>
      </c>
      <c r="D207" s="1" t="s">
        <v>2697</v>
      </c>
      <c r="E207" s="0" t="s">
        <v>2909</v>
      </c>
      <c r="L207" s="0" t="str">
        <f aca="false">"1630"</f>
        <v>1630</v>
      </c>
      <c r="M207" s="1" t="s">
        <v>898</v>
      </c>
      <c r="O207" s="0" t="s">
        <v>2910</v>
      </c>
      <c r="T207" s="0" t="s">
        <v>1050</v>
      </c>
      <c r="Z207" s="0" t="s">
        <v>2911</v>
      </c>
      <c r="AB207" s="0" t="s">
        <v>2912</v>
      </c>
      <c r="AT207" s="0" t="s">
        <v>2601</v>
      </c>
      <c r="AU207" s="0" t="s">
        <v>872</v>
      </c>
      <c r="AY207" s="0" t="s">
        <v>2913</v>
      </c>
      <c r="BD207" s="0" t="s">
        <v>873</v>
      </c>
      <c r="BE207" s="0" t="s">
        <v>2914</v>
      </c>
      <c r="BJ207" s="0" t="s">
        <v>118</v>
      </c>
      <c r="BX207" s="0" t="s">
        <v>2915</v>
      </c>
      <c r="CA207" s="0" t="s">
        <v>2916</v>
      </c>
      <c r="CI207" s="0" t="s">
        <v>2915</v>
      </c>
      <c r="CJ207" s="0" t="s">
        <v>2917</v>
      </c>
      <c r="CO207" s="0" t="s">
        <v>2908</v>
      </c>
    </row>
    <row r="208" customFormat="false" ht="65" hidden="false" customHeight="false" outlineLevel="0" collapsed="false">
      <c r="A208" s="0" t="s">
        <v>96</v>
      </c>
      <c r="B208" s="0" t="s">
        <v>2918</v>
      </c>
      <c r="C208" s="0" t="s">
        <v>1429</v>
      </c>
      <c r="D208" s="0" t="s">
        <v>99</v>
      </c>
      <c r="E208" s="0" t="s">
        <v>2919</v>
      </c>
      <c r="F208" s="0" t="s">
        <v>192</v>
      </c>
      <c r="L208" s="0" t="str">
        <f aca="false">"1649"</f>
        <v>1649</v>
      </c>
      <c r="M208" s="1" t="s">
        <v>193</v>
      </c>
      <c r="O208" s="1" t="s">
        <v>1313</v>
      </c>
      <c r="T208" s="0" t="s">
        <v>99</v>
      </c>
      <c r="U208" s="0" t="s">
        <v>2920</v>
      </c>
      <c r="V208" s="0" t="s">
        <v>2921</v>
      </c>
      <c r="Z208" s="0" t="s">
        <v>2922</v>
      </c>
      <c r="AB208" s="0" t="s">
        <v>2923</v>
      </c>
      <c r="AT208" s="0" t="s">
        <v>906</v>
      </c>
      <c r="AU208" s="0" t="s">
        <v>1873</v>
      </c>
      <c r="BU208" s="1" t="s">
        <v>2924</v>
      </c>
      <c r="BX208" s="1" t="s">
        <v>2925</v>
      </c>
      <c r="CF208" s="1" t="s">
        <v>2926</v>
      </c>
      <c r="CG208" s="0" t="s">
        <v>123</v>
      </c>
      <c r="CH208" s="0" t="s">
        <v>124</v>
      </c>
      <c r="CI208" s="1" t="s">
        <v>2925</v>
      </c>
      <c r="CJ208" s="0" t="s">
        <v>2927</v>
      </c>
      <c r="CL208" s="0" t="s">
        <v>2928</v>
      </c>
      <c r="CM208" s="0" t="s">
        <v>2928</v>
      </c>
      <c r="CO208" s="0" t="s">
        <v>2918</v>
      </c>
      <c r="CR208" s="0" t="s">
        <v>2929</v>
      </c>
    </row>
    <row r="209" customFormat="false" ht="43.75" hidden="false" customHeight="false" outlineLevel="0" collapsed="false">
      <c r="A209" s="0" t="s">
        <v>96</v>
      </c>
      <c r="B209" s="0" t="s">
        <v>2930</v>
      </c>
      <c r="C209" s="0" t="s">
        <v>224</v>
      </c>
      <c r="D209" s="0" t="s">
        <v>225</v>
      </c>
      <c r="E209" s="0" t="s">
        <v>2931</v>
      </c>
      <c r="F209" s="0" t="s">
        <v>192</v>
      </c>
      <c r="H209" s="0" t="s">
        <v>102</v>
      </c>
      <c r="L209" s="0" t="str">
        <f aca="false">"1649"</f>
        <v>1649</v>
      </c>
      <c r="M209" s="1" t="s">
        <v>193</v>
      </c>
      <c r="O209" s="1" t="s">
        <v>1313</v>
      </c>
      <c r="T209" s="0" t="s">
        <v>99</v>
      </c>
      <c r="Z209" s="0" t="s">
        <v>2932</v>
      </c>
      <c r="AB209" s="0" t="s">
        <v>2933</v>
      </c>
      <c r="AO209" s="0" t="s">
        <v>2934</v>
      </c>
      <c r="AS209" s="0" t="s">
        <v>2935</v>
      </c>
      <c r="AT209" s="0" t="s">
        <v>111</v>
      </c>
      <c r="AU209" s="0" t="s">
        <v>112</v>
      </c>
      <c r="AW209" s="0" t="s">
        <v>907</v>
      </c>
      <c r="BX209" s="0" t="s">
        <v>2936</v>
      </c>
      <c r="CF209" s="1" t="s">
        <v>2937</v>
      </c>
      <c r="CG209" s="0" t="s">
        <v>123</v>
      </c>
      <c r="CH209" s="0" t="s">
        <v>342</v>
      </c>
      <c r="CI209" s="0" t="s">
        <v>2936</v>
      </c>
      <c r="CJ209" s="0" t="s">
        <v>2938</v>
      </c>
      <c r="CL209" s="0" t="s">
        <v>2939</v>
      </c>
      <c r="CM209" s="0" t="s">
        <v>2939</v>
      </c>
      <c r="CO209" s="0" t="s">
        <v>2930</v>
      </c>
      <c r="CR209" s="0" t="s">
        <v>2940</v>
      </c>
    </row>
    <row r="210" customFormat="false" ht="65" hidden="false" customHeight="false" outlineLevel="0" collapsed="false">
      <c r="A210" s="0" t="s">
        <v>527</v>
      </c>
      <c r="B210" s="0" t="s">
        <v>2941</v>
      </c>
      <c r="C210" s="0" t="s">
        <v>98</v>
      </c>
      <c r="D210" s="0" t="s">
        <v>99</v>
      </c>
      <c r="E210" s="0" t="s">
        <v>2942</v>
      </c>
      <c r="F210" s="0" t="s">
        <v>255</v>
      </c>
      <c r="G210" s="0" t="s">
        <v>256</v>
      </c>
      <c r="L210" s="0" t="str">
        <f aca="false">"1628"</f>
        <v>1628</v>
      </c>
      <c r="M210" s="0" t="s">
        <v>553</v>
      </c>
      <c r="O210" s="0" t="s">
        <v>615</v>
      </c>
      <c r="U210" s="1" t="s">
        <v>2943</v>
      </c>
      <c r="V210" s="1" t="s">
        <v>2944</v>
      </c>
      <c r="AD210" s="1" t="s">
        <v>2281</v>
      </c>
      <c r="AE210" s="1" t="s">
        <v>2945</v>
      </c>
      <c r="AF210" s="1" t="s">
        <v>263</v>
      </c>
      <c r="AT210" s="0" t="s">
        <v>139</v>
      </c>
      <c r="AU210" s="0" t="s">
        <v>112</v>
      </c>
      <c r="AV210" s="0" t="s">
        <v>113</v>
      </c>
      <c r="BJ210" s="1" t="s">
        <v>467</v>
      </c>
      <c r="BK210" s="0" t="s">
        <v>542</v>
      </c>
      <c r="BL210" s="1" t="s">
        <v>2946</v>
      </c>
      <c r="BN210" s="1" t="s">
        <v>606</v>
      </c>
      <c r="BO210" s="1" t="s">
        <v>2538</v>
      </c>
      <c r="BU210" s="1" t="s">
        <v>2947</v>
      </c>
      <c r="BX210" s="1" t="s">
        <v>2948</v>
      </c>
      <c r="CF210" s="0" t="s">
        <v>2949</v>
      </c>
      <c r="CG210" s="0" t="s">
        <v>123</v>
      </c>
      <c r="CH210" s="0" t="s">
        <v>454</v>
      </c>
      <c r="CI210" s="1" t="s">
        <v>2948</v>
      </c>
      <c r="CJ210" s="1" t="s">
        <v>2950</v>
      </c>
      <c r="CL210" s="1" t="s">
        <v>2951</v>
      </c>
      <c r="CM210" s="1" t="s">
        <v>2951</v>
      </c>
      <c r="CO210" s="1" t="s">
        <v>2952</v>
      </c>
      <c r="CR210" s="0" t="s">
        <v>2953</v>
      </c>
    </row>
    <row r="211" customFormat="false" ht="75.6" hidden="false" customHeight="false" outlineLevel="0" collapsed="false">
      <c r="A211" s="0" t="s">
        <v>527</v>
      </c>
      <c r="B211" s="0" t="s">
        <v>2954</v>
      </c>
      <c r="C211" s="0" t="s">
        <v>551</v>
      </c>
      <c r="D211" s="0" t="s">
        <v>99</v>
      </c>
      <c r="E211" s="0" t="s">
        <v>2955</v>
      </c>
      <c r="F211" s="0" t="s">
        <v>255</v>
      </c>
      <c r="G211" s="0" t="s">
        <v>256</v>
      </c>
      <c r="L211" s="0" t="str">
        <f aca="false">"1748"</f>
        <v>1748</v>
      </c>
      <c r="M211" s="0" t="s">
        <v>553</v>
      </c>
      <c r="O211" s="0" t="s">
        <v>2956</v>
      </c>
      <c r="T211" s="0" t="s">
        <v>99</v>
      </c>
      <c r="U211" s="1" t="s">
        <v>2957</v>
      </c>
      <c r="V211" s="1" t="s">
        <v>2958</v>
      </c>
      <c r="AD211" s="1" t="s">
        <v>951</v>
      </c>
      <c r="AE211" s="1" t="s">
        <v>2959</v>
      </c>
      <c r="AF211" s="1" t="s">
        <v>953</v>
      </c>
      <c r="AT211" s="0" t="s">
        <v>139</v>
      </c>
      <c r="AU211" s="0" t="s">
        <v>112</v>
      </c>
      <c r="AV211" s="0" t="s">
        <v>113</v>
      </c>
      <c r="BD211" s="0" t="s">
        <v>265</v>
      </c>
      <c r="BE211" s="0" t="s">
        <v>825</v>
      </c>
      <c r="BJ211" s="1" t="s">
        <v>229</v>
      </c>
      <c r="BK211" s="1" t="s">
        <v>267</v>
      </c>
      <c r="BL211" s="1" t="s">
        <v>2960</v>
      </c>
      <c r="BM211" s="0" t="s">
        <v>560</v>
      </c>
      <c r="BN211" s="1" t="s">
        <v>2466</v>
      </c>
      <c r="BO211" s="1" t="s">
        <v>2961</v>
      </c>
      <c r="BU211" s="0" t="s">
        <v>2962</v>
      </c>
      <c r="BX211" s="1" t="s">
        <v>2963</v>
      </c>
      <c r="CE211" s="0" t="s">
        <v>2964</v>
      </c>
      <c r="CH211" s="0" t="s">
        <v>145</v>
      </c>
      <c r="CI211" s="1" t="s">
        <v>2963</v>
      </c>
      <c r="CJ211" s="1" t="s">
        <v>2965</v>
      </c>
      <c r="CO211" s="1" t="s">
        <v>2966</v>
      </c>
      <c r="CR211" s="0" t="s">
        <v>2967</v>
      </c>
    </row>
    <row r="212" customFormat="false" ht="65" hidden="false" customHeight="false" outlineLevel="0" collapsed="false">
      <c r="A212" s="0" t="s">
        <v>527</v>
      </c>
      <c r="B212" s="0" t="s">
        <v>2968</v>
      </c>
      <c r="C212" s="0" t="s">
        <v>98</v>
      </c>
      <c r="D212" s="0" t="s">
        <v>99</v>
      </c>
      <c r="E212" s="0" t="s">
        <v>2969</v>
      </c>
      <c r="F212" s="0" t="s">
        <v>255</v>
      </c>
      <c r="G212" s="0" t="s">
        <v>256</v>
      </c>
      <c r="L212" s="0" t="str">
        <f aca="false">"1745"</f>
        <v>1745</v>
      </c>
      <c r="M212" s="0" t="s">
        <v>553</v>
      </c>
      <c r="O212" s="1" t="s">
        <v>2970</v>
      </c>
      <c r="T212" s="0" t="s">
        <v>99</v>
      </c>
      <c r="U212" s="1" t="s">
        <v>2971</v>
      </c>
      <c r="V212" s="1" t="s">
        <v>2972</v>
      </c>
      <c r="AD212" s="1" t="s">
        <v>557</v>
      </c>
      <c r="AE212" s="1" t="s">
        <v>2973</v>
      </c>
      <c r="AF212" s="1" t="s">
        <v>263</v>
      </c>
      <c r="AT212" s="0" t="s">
        <v>139</v>
      </c>
      <c r="AU212" s="0" t="s">
        <v>112</v>
      </c>
      <c r="AV212" s="0" t="s">
        <v>113</v>
      </c>
      <c r="BD212" s="1" t="s">
        <v>999</v>
      </c>
      <c r="BE212" s="1" t="s">
        <v>2974</v>
      </c>
      <c r="BF212" s="1" t="s">
        <v>1001</v>
      </c>
      <c r="BJ212" s="1" t="s">
        <v>229</v>
      </c>
      <c r="BK212" s="1" t="s">
        <v>267</v>
      </c>
      <c r="BL212" s="1" t="s">
        <v>2975</v>
      </c>
      <c r="BN212" s="1" t="s">
        <v>2466</v>
      </c>
      <c r="BO212" s="1" t="s">
        <v>2976</v>
      </c>
      <c r="BU212" s="1" t="s">
        <v>2977</v>
      </c>
      <c r="BX212" s="1" t="s">
        <v>2978</v>
      </c>
      <c r="CE212" s="0" t="s">
        <v>641</v>
      </c>
      <c r="CF212" s="0" t="s">
        <v>2979</v>
      </c>
      <c r="CG212" s="0" t="s">
        <v>123</v>
      </c>
      <c r="CH212" s="0" t="s">
        <v>1265</v>
      </c>
      <c r="CI212" s="1" t="s">
        <v>2978</v>
      </c>
      <c r="CJ212" s="1" t="s">
        <v>2980</v>
      </c>
      <c r="CL212" s="1" t="s">
        <v>2981</v>
      </c>
      <c r="CM212" s="1" t="s">
        <v>2981</v>
      </c>
      <c r="CO212" s="1" t="s">
        <v>2982</v>
      </c>
      <c r="CR212" s="0" t="s">
        <v>2983</v>
      </c>
    </row>
    <row r="213" customFormat="false" ht="75.6" hidden="false" customHeight="false" outlineLevel="0" collapsed="false">
      <c r="A213" s="0" t="s">
        <v>527</v>
      </c>
      <c r="B213" s="0" t="s">
        <v>2984</v>
      </c>
      <c r="C213" s="0" t="s">
        <v>98</v>
      </c>
      <c r="D213" s="0" t="s">
        <v>99</v>
      </c>
      <c r="E213" s="0" t="s">
        <v>2985</v>
      </c>
      <c r="F213" s="0" t="s">
        <v>255</v>
      </c>
      <c r="G213" s="0" t="s">
        <v>256</v>
      </c>
      <c r="L213" s="0" t="str">
        <f aca="false">"1745"</f>
        <v>1745</v>
      </c>
      <c r="M213" s="0" t="s">
        <v>553</v>
      </c>
      <c r="O213" s="0" t="s">
        <v>554</v>
      </c>
      <c r="T213" s="0" t="s">
        <v>99</v>
      </c>
      <c r="U213" s="1" t="s">
        <v>2986</v>
      </c>
      <c r="V213" s="1" t="s">
        <v>2987</v>
      </c>
      <c r="AD213" s="0" t="s">
        <v>2121</v>
      </c>
      <c r="AE213" s="0" t="str">
        <f aca="false">"44"</f>
        <v>44</v>
      </c>
      <c r="AF213" s="0" t="s">
        <v>518</v>
      </c>
      <c r="AT213" s="0" t="s">
        <v>139</v>
      </c>
      <c r="AU213" s="0" t="s">
        <v>112</v>
      </c>
      <c r="AV213" s="0" t="s">
        <v>113</v>
      </c>
      <c r="BD213" s="0" t="s">
        <v>265</v>
      </c>
      <c r="BE213" s="0" t="s">
        <v>2988</v>
      </c>
      <c r="BF213" s="0" t="s">
        <v>541</v>
      </c>
      <c r="BJ213" s="1" t="s">
        <v>229</v>
      </c>
      <c r="BK213" s="1" t="s">
        <v>2989</v>
      </c>
      <c r="BL213" s="1" t="s">
        <v>2990</v>
      </c>
      <c r="BM213" s="1" t="s">
        <v>579</v>
      </c>
      <c r="BU213" s="0" t="s">
        <v>2991</v>
      </c>
      <c r="BX213" s="1" t="s">
        <v>2992</v>
      </c>
      <c r="CE213" s="0" t="s">
        <v>641</v>
      </c>
      <c r="CH213" s="0" t="s">
        <v>625</v>
      </c>
      <c r="CI213" s="1" t="s">
        <v>2992</v>
      </c>
      <c r="CJ213" s="1" t="s">
        <v>2993</v>
      </c>
      <c r="CO213" s="1" t="s">
        <v>2994</v>
      </c>
      <c r="CR213" s="0" t="s">
        <v>2995</v>
      </c>
    </row>
    <row r="214" customFormat="false" ht="65" hidden="false" customHeight="false" outlineLevel="0" collapsed="false">
      <c r="A214" s="0" t="s">
        <v>527</v>
      </c>
      <c r="B214" s="0" t="s">
        <v>2996</v>
      </c>
      <c r="C214" s="0" t="s">
        <v>98</v>
      </c>
      <c r="D214" s="0" t="s">
        <v>99</v>
      </c>
      <c r="E214" s="0" t="s">
        <v>2997</v>
      </c>
      <c r="F214" s="0" t="s">
        <v>255</v>
      </c>
      <c r="G214" s="1" t="s">
        <v>684</v>
      </c>
      <c r="L214" s="0" t="str">
        <f aca="false">"1779"</f>
        <v>1779</v>
      </c>
      <c r="M214" s="0" t="s">
        <v>553</v>
      </c>
      <c r="O214" s="0" t="s">
        <v>2998</v>
      </c>
      <c r="U214" s="1" t="s">
        <v>2999</v>
      </c>
      <c r="V214" s="1" t="s">
        <v>3000</v>
      </c>
      <c r="AD214" s="1" t="s">
        <v>3001</v>
      </c>
      <c r="AE214" s="1" t="s">
        <v>3002</v>
      </c>
      <c r="AF214" s="1" t="s">
        <v>263</v>
      </c>
      <c r="AT214" s="0" t="s">
        <v>139</v>
      </c>
      <c r="AU214" s="0" t="s">
        <v>112</v>
      </c>
      <c r="AV214" s="0" t="s">
        <v>113</v>
      </c>
      <c r="BD214" s="0" t="s">
        <v>265</v>
      </c>
      <c r="BE214" s="0" t="s">
        <v>3003</v>
      </c>
      <c r="BF214" s="0" t="s">
        <v>541</v>
      </c>
      <c r="BJ214" s="1" t="s">
        <v>229</v>
      </c>
      <c r="BK214" s="1" t="s">
        <v>267</v>
      </c>
      <c r="BL214" s="1" t="s">
        <v>3004</v>
      </c>
      <c r="BM214" s="1" t="s">
        <v>579</v>
      </c>
      <c r="BN214" s="1" t="s">
        <v>3005</v>
      </c>
      <c r="BO214" s="1" t="s">
        <v>2525</v>
      </c>
      <c r="BU214" s="1" t="s">
        <v>3006</v>
      </c>
      <c r="BX214" s="1" t="s">
        <v>3007</v>
      </c>
      <c r="CE214" s="0" t="s">
        <v>2528</v>
      </c>
      <c r="CF214" s="1" t="s">
        <v>3008</v>
      </c>
      <c r="CG214" s="0" t="s">
        <v>123</v>
      </c>
      <c r="CH214" s="0" t="s">
        <v>625</v>
      </c>
      <c r="CI214" s="1" t="s">
        <v>3007</v>
      </c>
      <c r="CJ214" s="1" t="s">
        <v>3009</v>
      </c>
      <c r="CL214" s="1" t="s">
        <v>3010</v>
      </c>
      <c r="CM214" s="1" t="s">
        <v>3010</v>
      </c>
      <c r="CO214" s="1" t="s">
        <v>3011</v>
      </c>
      <c r="CR214" s="0" t="s">
        <v>3012</v>
      </c>
    </row>
    <row r="215" customFormat="false" ht="43.75" hidden="false" customHeight="false" outlineLevel="0" collapsed="false">
      <c r="A215" s="0" t="s">
        <v>3013</v>
      </c>
      <c r="B215" s="0" t="s">
        <v>3014</v>
      </c>
      <c r="C215" s="0" t="s">
        <v>98</v>
      </c>
      <c r="D215" s="0" t="s">
        <v>99</v>
      </c>
      <c r="E215" s="0" t="s">
        <v>3015</v>
      </c>
      <c r="F215" s="0" t="s">
        <v>255</v>
      </c>
      <c r="G215" s="0" t="s">
        <v>256</v>
      </c>
      <c r="L215" s="0" t="str">
        <f aca="false">"1779"</f>
        <v>1779</v>
      </c>
      <c r="M215" s="0" t="s">
        <v>3016</v>
      </c>
      <c r="O215" s="0" t="s">
        <v>3017</v>
      </c>
      <c r="S215" s="0" t="s">
        <v>3018</v>
      </c>
      <c r="U215" s="1" t="s">
        <v>3019</v>
      </c>
      <c r="V215" s="1" t="s">
        <v>3020</v>
      </c>
      <c r="AD215" s="1" t="s">
        <v>3001</v>
      </c>
      <c r="AE215" s="1" t="s">
        <v>3021</v>
      </c>
      <c r="AF215" s="1" t="s">
        <v>263</v>
      </c>
      <c r="AT215" s="0" t="s">
        <v>139</v>
      </c>
      <c r="AU215" s="0" t="s">
        <v>112</v>
      </c>
      <c r="AV215" s="0" t="s">
        <v>113</v>
      </c>
      <c r="BD215" s="0" t="s">
        <v>265</v>
      </c>
      <c r="BE215" s="0" t="s">
        <v>3022</v>
      </c>
      <c r="BF215" s="0" t="s">
        <v>560</v>
      </c>
      <c r="BJ215" s="1" t="s">
        <v>229</v>
      </c>
      <c r="BK215" s="1" t="s">
        <v>267</v>
      </c>
      <c r="BL215" s="1" t="s">
        <v>3023</v>
      </c>
      <c r="BM215" s="1" t="s">
        <v>2284</v>
      </c>
      <c r="BN215" s="1" t="s">
        <v>2466</v>
      </c>
      <c r="BO215" s="1" t="s">
        <v>3024</v>
      </c>
      <c r="BU215" s="0" t="s">
        <v>3025</v>
      </c>
      <c r="BX215" s="1" t="s">
        <v>3026</v>
      </c>
      <c r="CE215" s="0" t="s">
        <v>641</v>
      </c>
      <c r="CH215" s="0" t="s">
        <v>342</v>
      </c>
      <c r="CI215" s="1" t="s">
        <v>3026</v>
      </c>
      <c r="CJ215" s="0" t="s">
        <v>3027</v>
      </c>
      <c r="CO215" s="0" t="s">
        <v>3014</v>
      </c>
      <c r="CR215" s="0" t="s">
        <v>3028</v>
      </c>
    </row>
    <row r="216" customFormat="false" ht="54.35" hidden="false" customHeight="false" outlineLevel="0" collapsed="false">
      <c r="A216" s="0" t="s">
        <v>3013</v>
      </c>
      <c r="B216" s="0" t="s">
        <v>3029</v>
      </c>
      <c r="C216" s="0" t="s">
        <v>98</v>
      </c>
      <c r="D216" s="0" t="s">
        <v>99</v>
      </c>
      <c r="E216" s="0" t="s">
        <v>3030</v>
      </c>
      <c r="F216" s="0" t="s">
        <v>255</v>
      </c>
      <c r="G216" s="0" t="s">
        <v>256</v>
      </c>
      <c r="L216" s="0" t="str">
        <f aca="false">"1648"</f>
        <v>1648</v>
      </c>
      <c r="M216" s="0" t="s">
        <v>257</v>
      </c>
      <c r="O216" s="0" t="s">
        <v>2571</v>
      </c>
      <c r="T216" s="0" t="s">
        <v>670</v>
      </c>
      <c r="U216" s="1" t="s">
        <v>3031</v>
      </c>
      <c r="V216" s="1" t="s">
        <v>3032</v>
      </c>
      <c r="AD216" s="1" t="s">
        <v>557</v>
      </c>
      <c r="AE216" s="1" t="s">
        <v>3033</v>
      </c>
      <c r="AF216" s="1" t="s">
        <v>263</v>
      </c>
      <c r="AT216" s="0" t="s">
        <v>139</v>
      </c>
      <c r="AU216" s="0" t="s">
        <v>112</v>
      </c>
      <c r="AV216" s="0" t="s">
        <v>113</v>
      </c>
      <c r="BD216" s="0" t="s">
        <v>265</v>
      </c>
      <c r="BE216" s="0" t="s">
        <v>2575</v>
      </c>
      <c r="BF216" s="0" t="s">
        <v>541</v>
      </c>
      <c r="BJ216" s="1" t="s">
        <v>229</v>
      </c>
      <c r="BK216" s="1" t="s">
        <v>267</v>
      </c>
      <c r="BL216" s="1" t="s">
        <v>3034</v>
      </c>
      <c r="BN216" s="1" t="s">
        <v>270</v>
      </c>
      <c r="BO216" s="0" t="str">
        <f aca="false">"13"</f>
        <v>13</v>
      </c>
      <c r="BU216" s="0" t="s">
        <v>3035</v>
      </c>
      <c r="BX216" s="1" t="s">
        <v>3036</v>
      </c>
      <c r="CE216" s="0" t="s">
        <v>641</v>
      </c>
      <c r="CH216" s="0" t="s">
        <v>298</v>
      </c>
      <c r="CI216" s="1" t="s">
        <v>3036</v>
      </c>
      <c r="CJ216" s="1" t="s">
        <v>3037</v>
      </c>
      <c r="CO216" s="1" t="s">
        <v>3038</v>
      </c>
      <c r="CR216" s="0" t="s">
        <v>3039</v>
      </c>
    </row>
    <row r="217" customFormat="false" ht="65" hidden="false" customHeight="false" outlineLevel="0" collapsed="false">
      <c r="A217" s="0" t="s">
        <v>445</v>
      </c>
      <c r="B217" s="0" t="s">
        <v>3040</v>
      </c>
      <c r="C217" s="0" t="s">
        <v>224</v>
      </c>
      <c r="D217" s="0" t="s">
        <v>225</v>
      </c>
      <c r="E217" s="0" t="s">
        <v>3041</v>
      </c>
      <c r="L217" s="0" t="str">
        <f aca="false">"1637"</f>
        <v>1637</v>
      </c>
      <c r="M217" s="1" t="s">
        <v>898</v>
      </c>
      <c r="O217" s="1" t="s">
        <v>3042</v>
      </c>
      <c r="T217" s="0" t="s">
        <v>3043</v>
      </c>
      <c r="Z217" s="0" t="s">
        <v>3044</v>
      </c>
      <c r="AB217" s="0" t="s">
        <v>3045</v>
      </c>
      <c r="AP217" s="0" t="s">
        <v>3046</v>
      </c>
      <c r="AQ217" s="0" t="s">
        <v>3047</v>
      </c>
      <c r="AT217" s="0" t="s">
        <v>906</v>
      </c>
      <c r="AU217" s="0" t="s">
        <v>112</v>
      </c>
      <c r="AV217" s="0" t="s">
        <v>113</v>
      </c>
      <c r="BC217" s="0" t="str">
        <f aca="false">"223509094"</f>
        <v>223509094</v>
      </c>
      <c r="BU217" s="0" t="s">
        <v>3048</v>
      </c>
      <c r="BX217" s="1" t="s">
        <v>3049</v>
      </c>
      <c r="CI217" s="1" t="s">
        <v>3049</v>
      </c>
      <c r="CJ217" s="0" t="s">
        <v>3050</v>
      </c>
      <c r="CO217" s="0" t="s">
        <v>3051</v>
      </c>
    </row>
    <row r="218" customFormat="false" ht="33.1" hidden="false" customHeight="false" outlineLevel="0" collapsed="false">
      <c r="A218" s="0" t="s">
        <v>190</v>
      </c>
      <c r="B218" s="0" t="s">
        <v>3046</v>
      </c>
      <c r="C218" s="0" t="s">
        <v>224</v>
      </c>
      <c r="D218" s="0" t="s">
        <v>225</v>
      </c>
      <c r="E218" s="0" t="s">
        <v>3052</v>
      </c>
      <c r="L218" s="0" t="str">
        <f aca="false">"1652"</f>
        <v>1652</v>
      </c>
      <c r="M218" s="1" t="s">
        <v>898</v>
      </c>
      <c r="O218" s="1" t="s">
        <v>3042</v>
      </c>
      <c r="U218" s="1" t="s">
        <v>3053</v>
      </c>
      <c r="AT218" s="0" t="s">
        <v>906</v>
      </c>
      <c r="AU218" s="0" t="s">
        <v>112</v>
      </c>
      <c r="BD218" s="0" t="s">
        <v>1117</v>
      </c>
      <c r="BE218" s="0" t="s">
        <v>3054</v>
      </c>
      <c r="BJ218" s="0" t="s">
        <v>118</v>
      </c>
      <c r="BU218" s="0" t="s">
        <v>3055</v>
      </c>
      <c r="BV218" s="0" t="s">
        <v>3056</v>
      </c>
      <c r="BX218" s="1" t="s">
        <v>3057</v>
      </c>
      <c r="CI218" s="1" t="s">
        <v>3057</v>
      </c>
      <c r="CP218" s="1" t="s">
        <v>3058</v>
      </c>
    </row>
    <row r="219" customFormat="false" ht="75.6" hidden="false" customHeight="false" outlineLevel="0" collapsed="false">
      <c r="A219" s="0" t="s">
        <v>445</v>
      </c>
      <c r="B219" s="0" t="s">
        <v>3059</v>
      </c>
      <c r="C219" s="0" t="s">
        <v>224</v>
      </c>
      <c r="D219" s="0" t="s">
        <v>225</v>
      </c>
      <c r="E219" s="0" t="s">
        <v>3060</v>
      </c>
      <c r="L219" s="0" t="str">
        <f aca="false">"1652"</f>
        <v>1652</v>
      </c>
      <c r="M219" s="1" t="s">
        <v>898</v>
      </c>
      <c r="O219" s="1" t="s">
        <v>3042</v>
      </c>
      <c r="T219" s="0" t="s">
        <v>3043</v>
      </c>
      <c r="Z219" s="0" t="s">
        <v>3044</v>
      </c>
      <c r="AB219" s="0" t="s">
        <v>3061</v>
      </c>
      <c r="AP219" s="0" t="s">
        <v>3046</v>
      </c>
      <c r="AQ219" s="0" t="s">
        <v>3062</v>
      </c>
      <c r="AT219" s="0" t="s">
        <v>906</v>
      </c>
      <c r="AU219" s="0" t="s">
        <v>112</v>
      </c>
      <c r="AV219" s="0" t="s">
        <v>113</v>
      </c>
      <c r="BC219" s="0" t="str">
        <f aca="false">"223509094"</f>
        <v>223509094</v>
      </c>
      <c r="BU219" s="0" t="s">
        <v>3063</v>
      </c>
      <c r="BX219" s="1" t="s">
        <v>3064</v>
      </c>
      <c r="CI219" s="1" t="s">
        <v>3064</v>
      </c>
      <c r="CJ219" s="0" t="s">
        <v>3065</v>
      </c>
      <c r="CO219" s="0" t="s">
        <v>3066</v>
      </c>
    </row>
    <row r="220" customFormat="false" ht="22.5" hidden="false" customHeight="false" outlineLevel="0" collapsed="false">
      <c r="A220" s="0" t="s">
        <v>445</v>
      </c>
      <c r="B220" s="0" t="s">
        <v>3067</v>
      </c>
      <c r="C220" s="0" t="s">
        <v>224</v>
      </c>
      <c r="D220" s="0" t="s">
        <v>225</v>
      </c>
      <c r="E220" s="0" t="s">
        <v>3068</v>
      </c>
      <c r="F220" s="0" t="s">
        <v>192</v>
      </c>
      <c r="H220" s="0" t="s">
        <v>102</v>
      </c>
      <c r="L220" s="0" t="str">
        <f aca="false">"1642"</f>
        <v>1642</v>
      </c>
      <c r="M220" s="1" t="s">
        <v>2008</v>
      </c>
      <c r="O220" s="1" t="s">
        <v>3069</v>
      </c>
      <c r="T220" s="0" t="s">
        <v>3070</v>
      </c>
      <c r="U220" s="0" t="s">
        <v>3071</v>
      </c>
      <c r="Z220" s="0" t="s">
        <v>3072</v>
      </c>
      <c r="AB220" s="0" t="s">
        <v>3073</v>
      </c>
      <c r="AP220" s="0" t="s">
        <v>3074</v>
      </c>
      <c r="AQ220" s="0" t="s">
        <v>3075</v>
      </c>
      <c r="AT220" s="0" t="s">
        <v>906</v>
      </c>
      <c r="AU220" s="0" t="s">
        <v>112</v>
      </c>
      <c r="BC220" s="0" t="str">
        <f aca="false">"151822603"</f>
        <v>151822603</v>
      </c>
      <c r="BD220" s="0" t="s">
        <v>873</v>
      </c>
      <c r="BE220" s="0" t="s">
        <v>3076</v>
      </c>
      <c r="BJ220" s="0" t="s">
        <v>118</v>
      </c>
      <c r="BU220" s="0" t="s">
        <v>3077</v>
      </c>
      <c r="CH220" s="0" t="s">
        <v>298</v>
      </c>
      <c r="CJ220" s="0" t="s">
        <v>3078</v>
      </c>
      <c r="CO220" s="0" t="s">
        <v>3067</v>
      </c>
    </row>
    <row r="221" customFormat="false" ht="12.8" hidden="false" customHeight="false" outlineLevel="0" collapsed="false">
      <c r="A221" s="0" t="s">
        <v>190</v>
      </c>
      <c r="B221" s="0" t="s">
        <v>3074</v>
      </c>
      <c r="C221" s="0" t="s">
        <v>224</v>
      </c>
      <c r="D221" s="0" t="s">
        <v>225</v>
      </c>
      <c r="E221" s="0" t="s">
        <v>3068</v>
      </c>
      <c r="F221" s="0" t="s">
        <v>192</v>
      </c>
      <c r="H221" s="0" t="s">
        <v>102</v>
      </c>
      <c r="L221" s="0" t="str">
        <f aca="false">"1649"</f>
        <v>1649</v>
      </c>
      <c r="M221" s="0" t="s">
        <v>870</v>
      </c>
      <c r="O221" s="0" t="s">
        <v>3079</v>
      </c>
      <c r="T221" s="0" t="s">
        <v>3070</v>
      </c>
      <c r="Z221" s="0" t="s">
        <v>3080</v>
      </c>
      <c r="AB221" s="0" t="s">
        <v>3081</v>
      </c>
      <c r="AO221" s="0" t="s">
        <v>765</v>
      </c>
      <c r="AS221" s="0" t="s">
        <v>3082</v>
      </c>
      <c r="AT221" s="0" t="s">
        <v>906</v>
      </c>
      <c r="AU221" s="0" t="s">
        <v>112</v>
      </c>
      <c r="AZ221" s="0" t="s">
        <v>3083</v>
      </c>
      <c r="BC221" s="0" t="str">
        <f aca="false">"151822603"</f>
        <v>151822603</v>
      </c>
      <c r="BD221" s="0" t="s">
        <v>873</v>
      </c>
      <c r="BE221" s="0" t="s">
        <v>3084</v>
      </c>
      <c r="BJ221" s="0" t="s">
        <v>118</v>
      </c>
      <c r="CP221" s="0" t="s">
        <v>3085</v>
      </c>
    </row>
    <row r="222" customFormat="false" ht="54.35" hidden="false" customHeight="false" outlineLevel="0" collapsed="false">
      <c r="A222" s="0" t="s">
        <v>445</v>
      </c>
      <c r="B222" s="0" t="s">
        <v>3086</v>
      </c>
      <c r="C222" s="0" t="s">
        <v>224</v>
      </c>
      <c r="D222" s="0" t="s">
        <v>225</v>
      </c>
      <c r="E222" s="0" t="s">
        <v>3087</v>
      </c>
      <c r="L222" s="0" t="str">
        <f aca="false">"1652"</f>
        <v>1652</v>
      </c>
      <c r="M222" s="1" t="s">
        <v>898</v>
      </c>
      <c r="O222" s="1" t="s">
        <v>3042</v>
      </c>
      <c r="T222" s="0" t="s">
        <v>3043</v>
      </c>
      <c r="U222" s="0" t="s">
        <v>3088</v>
      </c>
      <c r="Z222" s="0" t="s">
        <v>3044</v>
      </c>
      <c r="AB222" s="0" t="s">
        <v>3045</v>
      </c>
      <c r="AP222" s="0" t="s">
        <v>3046</v>
      </c>
      <c r="AQ222" s="0" t="s">
        <v>3089</v>
      </c>
      <c r="AT222" s="0" t="s">
        <v>906</v>
      </c>
      <c r="AU222" s="0" t="s">
        <v>112</v>
      </c>
      <c r="AV222" s="0" t="s">
        <v>113</v>
      </c>
      <c r="BC222" s="0" t="str">
        <f aca="false">"223509094"</f>
        <v>223509094</v>
      </c>
      <c r="BU222" s="0" t="s">
        <v>3090</v>
      </c>
      <c r="BV222" s="0" t="s">
        <v>3091</v>
      </c>
      <c r="BX222" s="1" t="s">
        <v>3092</v>
      </c>
      <c r="CI222" s="1" t="s">
        <v>3092</v>
      </c>
      <c r="CJ222" s="0" t="s">
        <v>3093</v>
      </c>
      <c r="CO222" s="0" t="s">
        <v>3086</v>
      </c>
    </row>
    <row r="223" customFormat="false" ht="150" hidden="false" customHeight="false" outlineLevel="0" collapsed="false">
      <c r="A223" s="0" t="s">
        <v>527</v>
      </c>
      <c r="B223" s="0" t="s">
        <v>3094</v>
      </c>
      <c r="C223" s="0" t="s">
        <v>98</v>
      </c>
      <c r="D223" s="0" t="s">
        <v>99</v>
      </c>
      <c r="E223" s="0" t="s">
        <v>3095</v>
      </c>
      <c r="F223" s="0" t="s">
        <v>255</v>
      </c>
      <c r="G223" s="0" t="s">
        <v>256</v>
      </c>
      <c r="L223" s="0" t="str">
        <f aca="false">"1649"</f>
        <v>1649</v>
      </c>
      <c r="M223" s="0" t="s">
        <v>553</v>
      </c>
      <c r="O223" s="0" t="s">
        <v>615</v>
      </c>
      <c r="U223" s="1" t="s">
        <v>3096</v>
      </c>
      <c r="V223" s="1" t="s">
        <v>3097</v>
      </c>
      <c r="AD223" s="1" t="s">
        <v>951</v>
      </c>
      <c r="AE223" s="1" t="s">
        <v>3098</v>
      </c>
      <c r="AF223" s="1" t="s">
        <v>953</v>
      </c>
      <c r="AO223" s="0" t="s">
        <v>539</v>
      </c>
      <c r="AT223" s="0" t="s">
        <v>139</v>
      </c>
      <c r="AU223" s="0" t="s">
        <v>112</v>
      </c>
      <c r="AV223" s="0" t="s">
        <v>113</v>
      </c>
      <c r="BD223" s="0" t="s">
        <v>1117</v>
      </c>
      <c r="BE223" s="0" t="s">
        <v>3099</v>
      </c>
      <c r="BF223" s="0" t="s">
        <v>560</v>
      </c>
      <c r="BJ223" s="1" t="s">
        <v>467</v>
      </c>
      <c r="BK223" s="1" t="s">
        <v>267</v>
      </c>
      <c r="BL223" s="1" t="s">
        <v>3100</v>
      </c>
      <c r="BN223" s="1" t="s">
        <v>3101</v>
      </c>
      <c r="BO223" s="1" t="s">
        <v>843</v>
      </c>
      <c r="BU223" s="0" t="s">
        <v>3102</v>
      </c>
      <c r="BX223" s="1" t="s">
        <v>3103</v>
      </c>
      <c r="CE223" s="0" t="s">
        <v>641</v>
      </c>
      <c r="CH223" s="0" t="s">
        <v>625</v>
      </c>
      <c r="CI223" s="1" t="s">
        <v>3103</v>
      </c>
      <c r="CJ223" s="1" t="s">
        <v>3104</v>
      </c>
      <c r="CO223" s="1" t="s">
        <v>3105</v>
      </c>
      <c r="CR223" s="0" t="s">
        <v>3106</v>
      </c>
    </row>
    <row r="224" customFormat="false" ht="65" hidden="false" customHeight="false" outlineLevel="0" collapsed="false">
      <c r="A224" s="0" t="s">
        <v>527</v>
      </c>
      <c r="B224" s="0" t="s">
        <v>3107</v>
      </c>
      <c r="C224" s="0" t="s">
        <v>98</v>
      </c>
      <c r="D224" s="0" t="s">
        <v>99</v>
      </c>
      <c r="E224" s="0" t="s">
        <v>3108</v>
      </c>
      <c r="F224" s="0" t="s">
        <v>255</v>
      </c>
      <c r="G224" s="0" t="s">
        <v>256</v>
      </c>
      <c r="L224" s="0" t="str">
        <f aca="false">"1648"</f>
        <v>1648</v>
      </c>
      <c r="M224" s="0" t="s">
        <v>257</v>
      </c>
      <c r="O224" s="0" t="s">
        <v>2571</v>
      </c>
      <c r="T224" s="0" t="s">
        <v>670</v>
      </c>
      <c r="U224" s="1" t="s">
        <v>3109</v>
      </c>
      <c r="V224" s="1" t="s">
        <v>3110</v>
      </c>
      <c r="AD224" s="1" t="s">
        <v>557</v>
      </c>
      <c r="AE224" s="1" t="s">
        <v>3111</v>
      </c>
      <c r="AF224" s="1" t="s">
        <v>263</v>
      </c>
      <c r="AO224" s="0" t="s">
        <v>539</v>
      </c>
      <c r="AT224" s="0" t="s">
        <v>139</v>
      </c>
      <c r="AU224" s="0" t="s">
        <v>112</v>
      </c>
      <c r="AV224" s="0" t="s">
        <v>113</v>
      </c>
      <c r="BD224" s="0" t="s">
        <v>265</v>
      </c>
      <c r="BE224" s="0" t="s">
        <v>3112</v>
      </c>
      <c r="BJ224" s="1" t="s">
        <v>229</v>
      </c>
      <c r="BK224" s="1" t="s">
        <v>267</v>
      </c>
      <c r="BL224" s="1" t="s">
        <v>3113</v>
      </c>
      <c r="BM224" s="1" t="s">
        <v>579</v>
      </c>
      <c r="BN224" s="1" t="s">
        <v>270</v>
      </c>
      <c r="BO224" s="0" t="str">
        <f aca="false">"13"</f>
        <v>13</v>
      </c>
      <c r="BU224" s="0" t="s">
        <v>3114</v>
      </c>
      <c r="BX224" s="1" t="s">
        <v>3115</v>
      </c>
      <c r="CE224" s="0" t="s">
        <v>641</v>
      </c>
      <c r="CH224" s="0" t="s">
        <v>342</v>
      </c>
      <c r="CI224" s="1" t="s">
        <v>3115</v>
      </c>
      <c r="CJ224" s="1" t="s">
        <v>3116</v>
      </c>
      <c r="CO224" s="1" t="s">
        <v>3117</v>
      </c>
      <c r="CR224" s="0" t="s">
        <v>3118</v>
      </c>
    </row>
    <row r="225" customFormat="false" ht="65" hidden="false" customHeight="false" outlineLevel="0" collapsed="false">
      <c r="A225" s="0" t="s">
        <v>527</v>
      </c>
      <c r="B225" s="0" t="s">
        <v>3119</v>
      </c>
      <c r="C225" s="0" t="s">
        <v>98</v>
      </c>
      <c r="D225" s="0" t="s">
        <v>99</v>
      </c>
      <c r="E225" s="0" t="s">
        <v>3120</v>
      </c>
      <c r="F225" s="0" t="s">
        <v>255</v>
      </c>
      <c r="G225" s="0" t="s">
        <v>256</v>
      </c>
      <c r="L225" s="0" t="str">
        <f aca="false">"1648"</f>
        <v>1648</v>
      </c>
      <c r="M225" s="0" t="s">
        <v>553</v>
      </c>
      <c r="O225" s="0" t="s">
        <v>615</v>
      </c>
      <c r="U225" s="1" t="s">
        <v>3121</v>
      </c>
      <c r="V225" s="1" t="s">
        <v>3122</v>
      </c>
      <c r="AD225" s="1" t="s">
        <v>557</v>
      </c>
      <c r="AE225" s="1" t="s">
        <v>3123</v>
      </c>
      <c r="AF225" s="1" t="s">
        <v>263</v>
      </c>
      <c r="AO225" s="0" t="s">
        <v>539</v>
      </c>
      <c r="AT225" s="0" t="s">
        <v>139</v>
      </c>
      <c r="AU225" s="0" t="s">
        <v>112</v>
      </c>
      <c r="AV225" s="0" t="s">
        <v>113</v>
      </c>
      <c r="BD225" s="0" t="s">
        <v>265</v>
      </c>
      <c r="BE225" s="0" t="s">
        <v>3124</v>
      </c>
      <c r="BF225" s="0" t="s">
        <v>541</v>
      </c>
      <c r="BJ225" s="1" t="s">
        <v>229</v>
      </c>
      <c r="BK225" s="1" t="s">
        <v>2478</v>
      </c>
      <c r="BL225" s="1" t="s">
        <v>3125</v>
      </c>
      <c r="BN225" s="1" t="s">
        <v>270</v>
      </c>
      <c r="BO225" s="1" t="s">
        <v>3126</v>
      </c>
      <c r="BU225" s="0" t="s">
        <v>3127</v>
      </c>
      <c r="BX225" s="1" t="s">
        <v>3128</v>
      </c>
      <c r="CE225" s="0" t="s">
        <v>641</v>
      </c>
      <c r="CH225" s="0" t="s">
        <v>298</v>
      </c>
      <c r="CI225" s="1" t="s">
        <v>3128</v>
      </c>
      <c r="CJ225" s="1" t="s">
        <v>3129</v>
      </c>
      <c r="CO225" s="1" t="s">
        <v>3130</v>
      </c>
      <c r="CR225" s="0" t="s">
        <v>3131</v>
      </c>
    </row>
    <row r="226" customFormat="false" ht="54.35" hidden="false" customHeight="false" outlineLevel="0" collapsed="false">
      <c r="A226" s="0" t="s">
        <v>527</v>
      </c>
      <c r="B226" s="0" t="s">
        <v>3132</v>
      </c>
      <c r="C226" s="0" t="s">
        <v>98</v>
      </c>
      <c r="D226" s="0" t="s">
        <v>99</v>
      </c>
      <c r="E226" s="0" t="s">
        <v>3133</v>
      </c>
      <c r="F226" s="1" t="s">
        <v>3134</v>
      </c>
      <c r="G226" s="0" t="s">
        <v>256</v>
      </c>
      <c r="H226" s="0" t="s">
        <v>102</v>
      </c>
      <c r="L226" s="0" t="str">
        <f aca="false">"1763"</f>
        <v>1763</v>
      </c>
      <c r="M226" s="1" t="s">
        <v>3135</v>
      </c>
      <c r="O226" s="1" t="s">
        <v>3136</v>
      </c>
      <c r="T226" s="0" t="s">
        <v>247</v>
      </c>
      <c r="U226" s="1" t="s">
        <v>3137</v>
      </c>
      <c r="V226" s="1" t="s">
        <v>3138</v>
      </c>
      <c r="AD226" s="1" t="s">
        <v>557</v>
      </c>
      <c r="AE226" s="1" t="s">
        <v>3139</v>
      </c>
      <c r="AF226" s="1" t="s">
        <v>263</v>
      </c>
      <c r="AT226" s="0" t="s">
        <v>139</v>
      </c>
      <c r="AU226" s="0" t="s">
        <v>112</v>
      </c>
      <c r="AV226" s="0" t="s">
        <v>113</v>
      </c>
      <c r="BD226" s="1" t="s">
        <v>999</v>
      </c>
      <c r="BE226" s="1" t="s">
        <v>3140</v>
      </c>
      <c r="BF226" s="1" t="s">
        <v>955</v>
      </c>
      <c r="BJ226" s="1" t="s">
        <v>229</v>
      </c>
      <c r="BK226" s="1" t="s">
        <v>267</v>
      </c>
      <c r="BL226" s="1" t="s">
        <v>3141</v>
      </c>
      <c r="BM226" s="0" t="s">
        <v>541</v>
      </c>
      <c r="BN226" s="1" t="s">
        <v>2466</v>
      </c>
      <c r="BO226" s="1" t="s">
        <v>2538</v>
      </c>
      <c r="BU226" s="0" t="s">
        <v>3142</v>
      </c>
      <c r="BX226" s="1" t="s">
        <v>3143</v>
      </c>
      <c r="CH226" s="0" t="s">
        <v>625</v>
      </c>
      <c r="CI226" s="1" t="s">
        <v>3143</v>
      </c>
      <c r="CJ226" s="1" t="s">
        <v>3144</v>
      </c>
      <c r="CO226" s="1" t="s">
        <v>3145</v>
      </c>
      <c r="CR226" s="0" t="s">
        <v>3146</v>
      </c>
    </row>
    <row r="227" customFormat="false" ht="150" hidden="false" customHeight="false" outlineLevel="0" collapsed="false">
      <c r="A227" s="0" t="s">
        <v>445</v>
      </c>
      <c r="B227" s="0" t="s">
        <v>3147</v>
      </c>
      <c r="C227" s="0" t="s">
        <v>1685</v>
      </c>
      <c r="D227" s="0" t="s">
        <v>1686</v>
      </c>
      <c r="E227" s="0" t="s">
        <v>3148</v>
      </c>
      <c r="L227" s="0" t="str">
        <f aca="false">"1649"</f>
        <v>1649</v>
      </c>
      <c r="M227" s="1" t="s">
        <v>898</v>
      </c>
      <c r="O227" s="1" t="s">
        <v>3149</v>
      </c>
      <c r="T227" s="0" t="s">
        <v>3150</v>
      </c>
      <c r="Z227" s="0" t="s">
        <v>3151</v>
      </c>
      <c r="AB227" s="0" t="s">
        <v>3152</v>
      </c>
      <c r="AS227" s="0" t="s">
        <v>1199</v>
      </c>
      <c r="AT227" s="0" t="s">
        <v>906</v>
      </c>
      <c r="AU227" s="0" t="s">
        <v>112</v>
      </c>
      <c r="AW227" s="0" t="s">
        <v>907</v>
      </c>
      <c r="AY227" s="0" t="s">
        <v>3153</v>
      </c>
      <c r="BC227" s="2" t="s">
        <v>3154</v>
      </c>
      <c r="BU227" s="1" t="s">
        <v>3155</v>
      </c>
      <c r="BV227" s="1" t="s">
        <v>3156</v>
      </c>
      <c r="BX227" s="0" t="s">
        <v>3157</v>
      </c>
      <c r="CF227" s="1" t="s">
        <v>3158</v>
      </c>
      <c r="CG227" s="0" t="s">
        <v>123</v>
      </c>
      <c r="CH227" s="0" t="s">
        <v>454</v>
      </c>
      <c r="CI227" s="0" t="s">
        <v>3157</v>
      </c>
      <c r="CJ227" s="0" t="s">
        <v>3159</v>
      </c>
      <c r="CL227" s="0" t="s">
        <v>3160</v>
      </c>
      <c r="CM227" s="0" t="s">
        <v>3160</v>
      </c>
      <c r="CO227" s="0" t="s">
        <v>3161</v>
      </c>
      <c r="CR227" s="0" t="s">
        <v>3162</v>
      </c>
    </row>
    <row r="228" customFormat="false" ht="3276.75" hidden="false" customHeight="false" outlineLevel="0" collapsed="false">
      <c r="A228" s="0" t="s">
        <v>96</v>
      </c>
      <c r="B228" s="0" t="s">
        <v>3163</v>
      </c>
      <c r="C228" s="0" t="s">
        <v>1213</v>
      </c>
      <c r="D228" s="0" t="s">
        <v>1214</v>
      </c>
      <c r="E228" s="0" t="s">
        <v>3164</v>
      </c>
      <c r="F228" s="0" t="s">
        <v>131</v>
      </c>
      <c r="H228" s="0" t="s">
        <v>102</v>
      </c>
      <c r="L228" s="0" t="str">
        <f aca="false">"1649"</f>
        <v>1649</v>
      </c>
      <c r="M228" s="0" t="s">
        <v>150</v>
      </c>
      <c r="T228" s="0" t="s">
        <v>3165</v>
      </c>
      <c r="U228" s="0" t="s">
        <v>2920</v>
      </c>
      <c r="AB228" s="0" t="s">
        <v>3166</v>
      </c>
      <c r="AD228" s="0" t="s">
        <v>136</v>
      </c>
      <c r="AE228" s="0" t="s">
        <v>3167</v>
      </c>
      <c r="AF228" s="0" t="s">
        <v>109</v>
      </c>
      <c r="AS228" s="0" t="str">
        <f aca="false">"1"</f>
        <v>1</v>
      </c>
      <c r="AT228" s="0" t="s">
        <v>906</v>
      </c>
      <c r="AU228" s="0" t="s">
        <v>1873</v>
      </c>
      <c r="AV228" s="0" t="s">
        <v>113</v>
      </c>
      <c r="BD228" s="0" t="s">
        <v>873</v>
      </c>
      <c r="BE228" s="0" t="s">
        <v>3168</v>
      </c>
      <c r="BJ228" s="0" t="s">
        <v>118</v>
      </c>
      <c r="BU228" s="1" t="s">
        <v>3169</v>
      </c>
      <c r="BW228" s="1" t="s">
        <v>3170</v>
      </c>
      <c r="BX228" s="0" t="s">
        <v>3171</v>
      </c>
      <c r="CC228" s="1" t="s">
        <v>3172</v>
      </c>
      <c r="CF228" s="1" t="s">
        <v>3173</v>
      </c>
      <c r="CG228" s="0" t="s">
        <v>123</v>
      </c>
      <c r="CH228" s="0" t="s">
        <v>625</v>
      </c>
      <c r="CI228" s="0" t="s">
        <v>3171</v>
      </c>
      <c r="CJ228" s="1" t="s">
        <v>3174</v>
      </c>
      <c r="CL228" s="0" t="s">
        <v>3175</v>
      </c>
      <c r="CM228" s="0" t="s">
        <v>3175</v>
      </c>
      <c r="CO228" s="1" t="s">
        <v>3176</v>
      </c>
      <c r="CR228" s="0" t="s">
        <v>3177</v>
      </c>
    </row>
    <row r="229" customFormat="false" ht="54.35" hidden="false" customHeight="false" outlineLevel="0" collapsed="false">
      <c r="A229" s="0" t="s">
        <v>96</v>
      </c>
      <c r="B229" s="0" t="s">
        <v>3178</v>
      </c>
      <c r="C229" s="0" t="s">
        <v>224</v>
      </c>
      <c r="D229" s="0" t="s">
        <v>225</v>
      </c>
      <c r="E229" s="0" t="s">
        <v>3179</v>
      </c>
      <c r="F229" s="0" t="s">
        <v>131</v>
      </c>
      <c r="H229" s="0" t="s">
        <v>102</v>
      </c>
      <c r="L229" s="0" t="str">
        <f aca="false">"1650"</f>
        <v>1650</v>
      </c>
      <c r="M229" s="1" t="s">
        <v>3180</v>
      </c>
      <c r="N229" s="0" t="s">
        <v>1701</v>
      </c>
      <c r="O229" s="1" t="s">
        <v>3181</v>
      </c>
      <c r="T229" s="0" t="s">
        <v>99</v>
      </c>
      <c r="U229" s="1" t="s">
        <v>3182</v>
      </c>
      <c r="V229" s="1" t="s">
        <v>3183</v>
      </c>
      <c r="Z229" s="0" t="s">
        <v>3184</v>
      </c>
      <c r="AB229" s="0" t="s">
        <v>3185</v>
      </c>
      <c r="AD229" s="0" t="s">
        <v>136</v>
      </c>
      <c r="AE229" s="0" t="s">
        <v>3186</v>
      </c>
      <c r="AF229" s="0" t="s">
        <v>109</v>
      </c>
      <c r="AS229" s="0" t="str">
        <f aca="false">"1"</f>
        <v>1</v>
      </c>
      <c r="AT229" s="0" t="s">
        <v>2266</v>
      </c>
      <c r="AU229" s="0" t="s">
        <v>1873</v>
      </c>
      <c r="AY229" s="0" t="s">
        <v>3187</v>
      </c>
      <c r="BC229" s="2" t="s">
        <v>3188</v>
      </c>
      <c r="BU229" s="0" t="s">
        <v>3189</v>
      </c>
      <c r="BV229" s="0" t="s">
        <v>3190</v>
      </c>
      <c r="BW229" s="0" t="s">
        <v>3191</v>
      </c>
      <c r="BX229" s="0" t="s">
        <v>3192</v>
      </c>
      <c r="CH229" s="0" t="s">
        <v>124</v>
      </c>
      <c r="CI229" s="0" t="s">
        <v>3192</v>
      </c>
      <c r="CJ229" s="1" t="s">
        <v>3193</v>
      </c>
      <c r="CO229" s="1" t="s">
        <v>3194</v>
      </c>
    </row>
    <row r="230" customFormat="false" ht="43.75" hidden="false" customHeight="false" outlineLevel="0" collapsed="false">
      <c r="A230" s="0" t="s">
        <v>190</v>
      </c>
      <c r="B230" s="0" t="s">
        <v>3195</v>
      </c>
      <c r="C230" s="0" t="s">
        <v>1685</v>
      </c>
      <c r="D230" s="0" t="s">
        <v>1686</v>
      </c>
      <c r="E230" s="0" t="s">
        <v>3196</v>
      </c>
      <c r="L230" s="0" t="str">
        <f aca="false">"1650"</f>
        <v>1650</v>
      </c>
      <c r="M230" s="1" t="s">
        <v>898</v>
      </c>
      <c r="O230" s="1" t="s">
        <v>3197</v>
      </c>
      <c r="T230" s="0" t="s">
        <v>3198</v>
      </c>
      <c r="Z230" s="0" t="s">
        <v>3199</v>
      </c>
      <c r="AB230" s="0" t="s">
        <v>3200</v>
      </c>
      <c r="AG230" s="0" t="s">
        <v>242</v>
      </c>
      <c r="AH230" s="0" t="s">
        <v>243</v>
      </c>
      <c r="AI230" s="0" t="s">
        <v>3201</v>
      </c>
      <c r="AS230" s="0" t="s">
        <v>3202</v>
      </c>
      <c r="AT230" s="0" t="s">
        <v>906</v>
      </c>
      <c r="AU230" s="0" t="s">
        <v>112</v>
      </c>
      <c r="BC230" s="0" t="str">
        <f aca="false">"147776791"</f>
        <v>147776791</v>
      </c>
      <c r="BV230" s="1" t="s">
        <v>3203</v>
      </c>
      <c r="BX230" s="0" t="s">
        <v>3204</v>
      </c>
      <c r="CF230" s="1" t="s">
        <v>3205</v>
      </c>
      <c r="CG230" s="0" t="s">
        <v>123</v>
      </c>
      <c r="CH230" s="0" t="s">
        <v>124</v>
      </c>
      <c r="CI230" s="0" t="s">
        <v>3204</v>
      </c>
      <c r="CJ230" s="0" t="s">
        <v>3206</v>
      </c>
      <c r="CL230" s="0" t="s">
        <v>3207</v>
      </c>
      <c r="CM230" s="0" t="s">
        <v>3207</v>
      </c>
      <c r="CO230" s="0" t="s">
        <v>3195</v>
      </c>
      <c r="CR230" s="0" t="s">
        <v>3208</v>
      </c>
    </row>
    <row r="231" customFormat="false" ht="22.5" hidden="false" customHeight="false" outlineLevel="0" collapsed="false">
      <c r="A231" s="0" t="s">
        <v>190</v>
      </c>
      <c r="B231" s="0" t="s">
        <v>3209</v>
      </c>
      <c r="C231" s="0" t="s">
        <v>1685</v>
      </c>
      <c r="D231" s="0" t="s">
        <v>1686</v>
      </c>
      <c r="E231" s="0" t="s">
        <v>3210</v>
      </c>
      <c r="L231" s="0" t="str">
        <f aca="false">"1650"</f>
        <v>1650</v>
      </c>
      <c r="M231" s="1" t="s">
        <v>2008</v>
      </c>
      <c r="O231" s="1" t="s">
        <v>3211</v>
      </c>
      <c r="T231" s="0" t="s">
        <v>243</v>
      </c>
      <c r="Z231" s="0" t="s">
        <v>3212</v>
      </c>
      <c r="AB231" s="0" t="s">
        <v>3213</v>
      </c>
      <c r="AS231" s="0" t="s">
        <v>3214</v>
      </c>
      <c r="AT231" s="0" t="s">
        <v>906</v>
      </c>
      <c r="AU231" s="0" t="s">
        <v>872</v>
      </c>
      <c r="BC231" s="2" t="s">
        <v>3215</v>
      </c>
      <c r="BX231" s="0" t="s">
        <v>3216</v>
      </c>
      <c r="CI231" s="0" t="s">
        <v>3216</v>
      </c>
      <c r="CJ231" s="0" t="s">
        <v>3217</v>
      </c>
      <c r="CO231" s="0" t="s">
        <v>3218</v>
      </c>
    </row>
    <row r="232" customFormat="false" ht="22.5" hidden="false" customHeight="false" outlineLevel="0" collapsed="false">
      <c r="A232" s="0" t="s">
        <v>190</v>
      </c>
      <c r="B232" s="0" t="s">
        <v>3219</v>
      </c>
      <c r="C232" s="0" t="s">
        <v>224</v>
      </c>
      <c r="D232" s="0" t="s">
        <v>225</v>
      </c>
      <c r="E232" s="0" t="s">
        <v>3220</v>
      </c>
      <c r="L232" s="0" t="str">
        <f aca="false">"1650"</f>
        <v>1650</v>
      </c>
      <c r="M232" s="1" t="s">
        <v>898</v>
      </c>
      <c r="O232" s="1" t="s">
        <v>3221</v>
      </c>
      <c r="T232" s="0" t="s">
        <v>3198</v>
      </c>
      <c r="AT232" s="0" t="s">
        <v>906</v>
      </c>
      <c r="AU232" s="0" t="s">
        <v>892</v>
      </c>
      <c r="BC232" s="2" t="s">
        <v>3222</v>
      </c>
      <c r="CJ232" s="0" t="s">
        <v>3223</v>
      </c>
      <c r="CO232" s="0" t="s">
        <v>3219</v>
      </c>
    </row>
    <row r="233" customFormat="false" ht="12.8" hidden="false" customHeight="false" outlineLevel="0" collapsed="false">
      <c r="A233" s="0" t="s">
        <v>96</v>
      </c>
      <c r="B233" s="0" t="s">
        <v>3224</v>
      </c>
      <c r="C233" s="0" t="s">
        <v>397</v>
      </c>
      <c r="D233" s="0" t="s">
        <v>398</v>
      </c>
      <c r="E233" s="0" t="s">
        <v>3225</v>
      </c>
      <c r="F233" s="0" t="s">
        <v>219</v>
      </c>
      <c r="H233" s="0" t="s">
        <v>102</v>
      </c>
      <c r="L233" s="0" t="str">
        <f aca="false">"1643"</f>
        <v>1643</v>
      </c>
      <c r="M233" s="0" t="s">
        <v>150</v>
      </c>
      <c r="O233" s="0" t="s">
        <v>3226</v>
      </c>
      <c r="U233" s="0" t="s">
        <v>1546</v>
      </c>
      <c r="V233" s="0" t="s">
        <v>3227</v>
      </c>
      <c r="AG233" s="0" t="s">
        <v>224</v>
      </c>
      <c r="AH233" s="0" t="s">
        <v>225</v>
      </c>
      <c r="AI233" s="0" t="s">
        <v>3228</v>
      </c>
      <c r="AS233" s="0" t="str">
        <f aca="false">"1"</f>
        <v>1</v>
      </c>
      <c r="AT233" s="0" t="s">
        <v>906</v>
      </c>
      <c r="AU233" s="0" t="s">
        <v>892</v>
      </c>
      <c r="AV233" s="0" t="s">
        <v>113</v>
      </c>
      <c r="BC233" s="0" t="str">
        <f aca="false">"236194933"</f>
        <v>236194933</v>
      </c>
      <c r="CJ233" s="0" t="s">
        <v>3229</v>
      </c>
      <c r="CO233" s="0" t="s">
        <v>3230</v>
      </c>
    </row>
    <row r="234" customFormat="false" ht="65" hidden="false" customHeight="false" outlineLevel="0" collapsed="false">
      <c r="A234" s="0" t="s">
        <v>96</v>
      </c>
      <c r="B234" s="0" t="s">
        <v>3231</v>
      </c>
      <c r="C234" s="0" t="s">
        <v>98</v>
      </c>
      <c r="D234" s="0" t="s">
        <v>99</v>
      </c>
      <c r="E234" s="0" t="s">
        <v>524</v>
      </c>
      <c r="F234" s="0" t="s">
        <v>219</v>
      </c>
      <c r="H234" s="0" t="s">
        <v>102</v>
      </c>
      <c r="L234" s="0" t="str">
        <f aca="false">"1630"</f>
        <v>1630</v>
      </c>
      <c r="M234" s="1" t="s">
        <v>3232</v>
      </c>
      <c r="O234" s="1" t="s">
        <v>3233</v>
      </c>
      <c r="U234" s="1" t="s">
        <v>3234</v>
      </c>
      <c r="V234" s="1" t="s">
        <v>3235</v>
      </c>
      <c r="AD234" s="0" t="s">
        <v>136</v>
      </c>
      <c r="AE234" s="0" t="s">
        <v>3236</v>
      </c>
      <c r="AF234" s="0" t="s">
        <v>109</v>
      </c>
      <c r="AO234" s="0" t="s">
        <v>161</v>
      </c>
      <c r="AT234" s="0" t="s">
        <v>139</v>
      </c>
      <c r="AU234" s="0" t="s">
        <v>112</v>
      </c>
      <c r="AV234" s="0" t="s">
        <v>113</v>
      </c>
      <c r="BA234" s="0" t="s">
        <v>317</v>
      </c>
      <c r="BB234" s="0" t="s">
        <v>318</v>
      </c>
      <c r="BD234" s="0" t="s">
        <v>265</v>
      </c>
      <c r="BF234" s="0" t="s">
        <v>207</v>
      </c>
      <c r="BJ234" s="0" t="s">
        <v>118</v>
      </c>
      <c r="BU234" s="1" t="s">
        <v>3237</v>
      </c>
      <c r="BX234" s="0" t="s">
        <v>3238</v>
      </c>
      <c r="BY234" s="1" t="s">
        <v>3239</v>
      </c>
      <c r="BZ234" s="0" t="s">
        <v>3240</v>
      </c>
      <c r="CF234" s="1" t="s">
        <v>3241</v>
      </c>
      <c r="CG234" s="0" t="s">
        <v>123</v>
      </c>
      <c r="CH234" s="0" t="s">
        <v>145</v>
      </c>
      <c r="CI234" s="0" t="s">
        <v>3238</v>
      </c>
      <c r="CJ234" s="0" t="s">
        <v>3242</v>
      </c>
      <c r="CL234" s="0" t="s">
        <v>3243</v>
      </c>
      <c r="CM234" s="0" t="s">
        <v>3243</v>
      </c>
      <c r="CO234" s="0" t="s">
        <v>3231</v>
      </c>
      <c r="CQ234" s="1" t="s">
        <v>3244</v>
      </c>
      <c r="CR234" s="0" t="s">
        <v>3245</v>
      </c>
    </row>
    <row r="235" customFormat="false" ht="86.25" hidden="false" customHeight="false" outlineLevel="0" collapsed="false">
      <c r="A235" s="0" t="s">
        <v>527</v>
      </c>
      <c r="B235" s="0" t="s">
        <v>3246</v>
      </c>
      <c r="C235" s="0" t="s">
        <v>98</v>
      </c>
      <c r="D235" s="0" t="s">
        <v>99</v>
      </c>
      <c r="E235" s="0" t="s">
        <v>3247</v>
      </c>
      <c r="F235" s="0" t="s">
        <v>255</v>
      </c>
      <c r="G235" s="0" t="s">
        <v>256</v>
      </c>
      <c r="L235" s="0" t="str">
        <f aca="false">"1755"</f>
        <v>1755</v>
      </c>
      <c r="M235" s="1" t="s">
        <v>787</v>
      </c>
      <c r="O235" s="1" t="s">
        <v>3248</v>
      </c>
      <c r="S235" s="0" t="s">
        <v>3249</v>
      </c>
      <c r="T235" s="0" t="s">
        <v>1985</v>
      </c>
      <c r="U235" s="1" t="s">
        <v>3250</v>
      </c>
      <c r="V235" s="1" t="s">
        <v>3251</v>
      </c>
      <c r="AD235" s="1" t="s">
        <v>951</v>
      </c>
      <c r="AE235" s="1" t="s">
        <v>3252</v>
      </c>
      <c r="AF235" s="1" t="s">
        <v>953</v>
      </c>
      <c r="AO235" s="0" t="s">
        <v>792</v>
      </c>
      <c r="AT235" s="0" t="s">
        <v>139</v>
      </c>
      <c r="AU235" s="0" t="s">
        <v>112</v>
      </c>
      <c r="AV235" s="0" t="s">
        <v>113</v>
      </c>
      <c r="BD235" s="0" t="s">
        <v>140</v>
      </c>
      <c r="BE235" s="0" t="s">
        <v>3253</v>
      </c>
      <c r="BF235" s="0" t="s">
        <v>207</v>
      </c>
      <c r="BJ235" s="1" t="s">
        <v>229</v>
      </c>
      <c r="BK235" s="1" t="s">
        <v>267</v>
      </c>
      <c r="BL235" s="1" t="s">
        <v>3254</v>
      </c>
      <c r="BM235" s="1" t="s">
        <v>562</v>
      </c>
      <c r="BN235" s="1" t="s">
        <v>270</v>
      </c>
      <c r="BO235" s="1" t="s">
        <v>3255</v>
      </c>
      <c r="BX235" s="1" t="s">
        <v>3256</v>
      </c>
      <c r="CH235" s="0" t="s">
        <v>145</v>
      </c>
      <c r="CI235" s="1" t="s">
        <v>3256</v>
      </c>
      <c r="CJ235" s="0" t="s">
        <v>3257</v>
      </c>
      <c r="CO235" s="0" t="s">
        <v>3258</v>
      </c>
      <c r="CR235" s="0" t="s">
        <v>3259</v>
      </c>
    </row>
    <row r="236" customFormat="false" ht="75.6" hidden="false" customHeight="false" outlineLevel="0" collapsed="false">
      <c r="A236" s="0" t="s">
        <v>527</v>
      </c>
      <c r="B236" s="0" t="s">
        <v>3260</v>
      </c>
      <c r="C236" s="0" t="s">
        <v>98</v>
      </c>
      <c r="D236" s="0" t="s">
        <v>99</v>
      </c>
      <c r="E236" s="0" t="s">
        <v>3261</v>
      </c>
      <c r="F236" s="0" t="s">
        <v>255</v>
      </c>
      <c r="G236" s="0" t="s">
        <v>256</v>
      </c>
      <c r="L236" s="0" t="str">
        <f aca="false">"1755"</f>
        <v>1755</v>
      </c>
      <c r="M236" s="0" t="s">
        <v>553</v>
      </c>
      <c r="O236" s="0" t="s">
        <v>3262</v>
      </c>
      <c r="S236" s="0" t="s">
        <v>3263</v>
      </c>
      <c r="T236" s="0" t="s">
        <v>1150</v>
      </c>
      <c r="U236" s="1" t="s">
        <v>3264</v>
      </c>
      <c r="V236" s="1" t="s">
        <v>3265</v>
      </c>
      <c r="AD236" s="1" t="s">
        <v>557</v>
      </c>
      <c r="AE236" s="1" t="s">
        <v>3266</v>
      </c>
      <c r="AF236" s="1" t="s">
        <v>263</v>
      </c>
      <c r="AO236" s="0" t="s">
        <v>792</v>
      </c>
      <c r="AT236" s="0" t="s">
        <v>139</v>
      </c>
      <c r="AU236" s="0" t="s">
        <v>112</v>
      </c>
      <c r="AV236" s="0" t="s">
        <v>113</v>
      </c>
      <c r="BD236" s="0" t="s">
        <v>265</v>
      </c>
      <c r="BE236" s="0" t="s">
        <v>3267</v>
      </c>
      <c r="BF236" s="0" t="s">
        <v>560</v>
      </c>
      <c r="BJ236" s="1" t="s">
        <v>229</v>
      </c>
      <c r="BK236" s="1" t="s">
        <v>267</v>
      </c>
      <c r="BL236" s="1" t="s">
        <v>3268</v>
      </c>
      <c r="BM236" s="1" t="s">
        <v>579</v>
      </c>
      <c r="BU236" s="1" t="s">
        <v>3269</v>
      </c>
      <c r="BX236" s="1" t="s">
        <v>3270</v>
      </c>
      <c r="CE236" s="0" t="s">
        <v>641</v>
      </c>
      <c r="CF236" s="0" t="s">
        <v>3271</v>
      </c>
      <c r="CG236" s="0" t="s">
        <v>123</v>
      </c>
      <c r="CH236" s="0" t="s">
        <v>145</v>
      </c>
      <c r="CI236" s="1" t="s">
        <v>3270</v>
      </c>
      <c r="CJ236" s="1" t="s">
        <v>3272</v>
      </c>
      <c r="CL236" s="1" t="s">
        <v>3273</v>
      </c>
      <c r="CM236" s="1" t="s">
        <v>3273</v>
      </c>
      <c r="CO236" s="1" t="s">
        <v>3274</v>
      </c>
      <c r="CR236" s="0" t="s">
        <v>3275</v>
      </c>
    </row>
    <row r="237" customFormat="false" ht="22.5" hidden="false" customHeight="false" outlineLevel="0" collapsed="false">
      <c r="A237" s="0" t="s">
        <v>96</v>
      </c>
      <c r="B237" s="0" t="s">
        <v>3276</v>
      </c>
      <c r="C237" s="0" t="s">
        <v>98</v>
      </c>
      <c r="D237" s="0" t="s">
        <v>99</v>
      </c>
      <c r="E237" s="0" t="s">
        <v>3277</v>
      </c>
      <c r="F237" s="0" t="s">
        <v>219</v>
      </c>
      <c r="H237" s="0" t="s">
        <v>3278</v>
      </c>
      <c r="L237" s="0" t="str">
        <f aca="false">"1763"</f>
        <v>1763</v>
      </c>
      <c r="M237" s="0" t="s">
        <v>150</v>
      </c>
      <c r="O237" s="0" t="s">
        <v>3279</v>
      </c>
      <c r="U237" s="1" t="s">
        <v>3280</v>
      </c>
      <c r="V237" s="1" t="s">
        <v>3281</v>
      </c>
      <c r="AD237" s="0" t="s">
        <v>2301</v>
      </c>
      <c r="AE237" s="0" t="s">
        <v>3282</v>
      </c>
      <c r="AF237" s="0" t="s">
        <v>2068</v>
      </c>
      <c r="AT237" s="0" t="s">
        <v>139</v>
      </c>
      <c r="AU237" s="0" t="s">
        <v>112</v>
      </c>
      <c r="AV237" s="0" t="s">
        <v>113</v>
      </c>
      <c r="BG237" s="0" t="s">
        <v>98</v>
      </c>
      <c r="BH237" s="0" t="s">
        <v>116</v>
      </c>
      <c r="BI237" s="0" t="s">
        <v>228</v>
      </c>
      <c r="BJ237" s="0" t="s">
        <v>185</v>
      </c>
      <c r="BU237" s="0" t="s">
        <v>3283</v>
      </c>
      <c r="BW237" s="0" t="s">
        <v>3284</v>
      </c>
      <c r="BX237" s="1" t="s">
        <v>3285</v>
      </c>
      <c r="CH237" s="0" t="s">
        <v>625</v>
      </c>
      <c r="CI237" s="1" t="s">
        <v>3285</v>
      </c>
      <c r="CJ237" s="0" t="s">
        <v>3286</v>
      </c>
      <c r="CO237" s="0" t="s">
        <v>3276</v>
      </c>
      <c r="CR237" s="0" t="s">
        <v>3287</v>
      </c>
    </row>
    <row r="238" customFormat="false" ht="12.8" hidden="false" customHeight="false" outlineLevel="0" collapsed="false">
      <c r="A238" s="0" t="s">
        <v>96</v>
      </c>
      <c r="B238" s="0" t="s">
        <v>3288</v>
      </c>
      <c r="C238" s="0" t="s">
        <v>98</v>
      </c>
      <c r="D238" s="0" t="s">
        <v>99</v>
      </c>
      <c r="E238" s="0" t="s">
        <v>3289</v>
      </c>
      <c r="F238" s="0" t="s">
        <v>219</v>
      </c>
      <c r="H238" s="0" t="s">
        <v>3278</v>
      </c>
      <c r="L238" s="0" t="str">
        <f aca="false">"1763"</f>
        <v>1763</v>
      </c>
      <c r="M238" s="0" t="s">
        <v>150</v>
      </c>
      <c r="O238" s="0" t="s">
        <v>3279</v>
      </c>
      <c r="AD238" s="0" t="s">
        <v>2301</v>
      </c>
      <c r="AE238" s="0" t="s">
        <v>3290</v>
      </c>
      <c r="AF238" s="0" t="s">
        <v>2068</v>
      </c>
      <c r="AT238" s="0" t="s">
        <v>139</v>
      </c>
      <c r="AU238" s="0" t="s">
        <v>112</v>
      </c>
      <c r="AV238" s="0" t="s">
        <v>113</v>
      </c>
      <c r="BG238" s="0" t="s">
        <v>98</v>
      </c>
      <c r="BH238" s="0" t="s">
        <v>116</v>
      </c>
      <c r="BI238" s="0" t="s">
        <v>228</v>
      </c>
      <c r="BJ238" s="0" t="s">
        <v>118</v>
      </c>
      <c r="BU238" s="0" t="s">
        <v>3291</v>
      </c>
      <c r="BX238" s="0" t="s">
        <v>3292</v>
      </c>
      <c r="CI238" s="0" t="s">
        <v>3292</v>
      </c>
      <c r="CR238" s="0" t="s">
        <v>3293</v>
      </c>
    </row>
    <row r="239" customFormat="false" ht="22.5" hidden="false" customHeight="false" outlineLevel="0" collapsed="false">
      <c r="A239" s="0" t="s">
        <v>96</v>
      </c>
      <c r="B239" s="0" t="s">
        <v>3294</v>
      </c>
      <c r="C239" s="0" t="s">
        <v>98</v>
      </c>
      <c r="D239" s="0" t="s">
        <v>99</v>
      </c>
      <c r="E239" s="0" t="s">
        <v>3295</v>
      </c>
      <c r="F239" s="1" t="s">
        <v>1488</v>
      </c>
      <c r="H239" s="0" t="s">
        <v>3278</v>
      </c>
      <c r="I239" s="0" t="str">
        <f aca="false">"1721"</f>
        <v>1721</v>
      </c>
      <c r="J239" s="0" t="str">
        <f aca="false">"1725"</f>
        <v>1725</v>
      </c>
      <c r="AD239" s="0" t="s">
        <v>2301</v>
      </c>
      <c r="AE239" s="0" t="s">
        <v>3296</v>
      </c>
      <c r="AF239" s="0" t="s">
        <v>109</v>
      </c>
      <c r="AT239" s="0" t="s">
        <v>139</v>
      </c>
      <c r="AU239" s="0" t="s">
        <v>112</v>
      </c>
      <c r="AV239" s="0" t="s">
        <v>113</v>
      </c>
      <c r="BG239" s="0" t="s">
        <v>98</v>
      </c>
      <c r="BH239" s="0" t="s">
        <v>116</v>
      </c>
      <c r="BI239" s="0" t="s">
        <v>228</v>
      </c>
      <c r="BJ239" s="0" t="s">
        <v>185</v>
      </c>
      <c r="BU239" s="0" t="s">
        <v>3297</v>
      </c>
      <c r="BW239" s="0" t="s">
        <v>3298</v>
      </c>
      <c r="BX239" s="0" t="s">
        <v>3299</v>
      </c>
      <c r="CH239" s="0" t="s">
        <v>1265</v>
      </c>
      <c r="CI239" s="0" t="s">
        <v>3299</v>
      </c>
      <c r="CJ239" s="1" t="s">
        <v>3300</v>
      </c>
      <c r="CO239" s="1" t="s">
        <v>3301</v>
      </c>
      <c r="CR239" s="0" t="s">
        <v>3302</v>
      </c>
    </row>
    <row r="240" customFormat="false" ht="224.35" hidden="false" customHeight="false" outlineLevel="0" collapsed="false">
      <c r="A240" s="0" t="s">
        <v>96</v>
      </c>
      <c r="B240" s="0" t="s">
        <v>3303</v>
      </c>
      <c r="C240" s="0" t="s">
        <v>98</v>
      </c>
      <c r="D240" s="0" t="s">
        <v>99</v>
      </c>
      <c r="E240" s="0" t="s">
        <v>3304</v>
      </c>
      <c r="F240" s="0" t="s">
        <v>219</v>
      </c>
      <c r="H240" s="0" t="s">
        <v>102</v>
      </c>
      <c r="L240" s="0" t="str">
        <f aca="false">"1763"</f>
        <v>1763</v>
      </c>
      <c r="M240" s="1" t="s">
        <v>354</v>
      </c>
      <c r="O240" s="0" t="s">
        <v>3305</v>
      </c>
      <c r="U240" s="1" t="s">
        <v>3306</v>
      </c>
      <c r="V240" s="1" t="s">
        <v>3307</v>
      </c>
      <c r="AD240" s="1" t="s">
        <v>285</v>
      </c>
      <c r="AE240" s="1" t="s">
        <v>3308</v>
      </c>
      <c r="AF240" s="0" t="s">
        <v>109</v>
      </c>
      <c r="AT240" s="0" t="s">
        <v>139</v>
      </c>
      <c r="AU240" s="0" t="s">
        <v>112</v>
      </c>
      <c r="AV240" s="0" t="s">
        <v>113</v>
      </c>
      <c r="BD240" s="0" t="s">
        <v>140</v>
      </c>
      <c r="BE240" s="0" t="s">
        <v>3309</v>
      </c>
      <c r="BJ240" s="0" t="s">
        <v>118</v>
      </c>
      <c r="BU240" s="1" t="s">
        <v>3310</v>
      </c>
      <c r="BW240" s="1" t="s">
        <v>3311</v>
      </c>
      <c r="BX240" s="0" t="s">
        <v>3312</v>
      </c>
      <c r="CF240" s="1" t="s">
        <v>3313</v>
      </c>
      <c r="CG240" s="0" t="s">
        <v>123</v>
      </c>
      <c r="CH240" s="0" t="s">
        <v>625</v>
      </c>
      <c r="CI240" s="0" t="s">
        <v>3312</v>
      </c>
      <c r="CJ240" s="0" t="s">
        <v>3314</v>
      </c>
      <c r="CL240" s="0" t="s">
        <v>3315</v>
      </c>
      <c r="CM240" s="0" t="s">
        <v>3315</v>
      </c>
      <c r="CO240" s="0" t="s">
        <v>3303</v>
      </c>
      <c r="CR240" s="0" t="s">
        <v>3316</v>
      </c>
    </row>
    <row r="241" customFormat="false" ht="22.5" hidden="false" customHeight="false" outlineLevel="0" collapsed="false">
      <c r="A241" s="0" t="s">
        <v>96</v>
      </c>
      <c r="B241" s="0" t="s">
        <v>3317</v>
      </c>
      <c r="C241" s="0" t="s">
        <v>98</v>
      </c>
      <c r="D241" s="0" t="s">
        <v>99</v>
      </c>
      <c r="E241" s="0" t="s">
        <v>3318</v>
      </c>
      <c r="F241" s="1" t="s">
        <v>149</v>
      </c>
      <c r="H241" s="0" t="s">
        <v>102</v>
      </c>
      <c r="I241" s="0" t="str">
        <f aca="false">"1757"</f>
        <v>1757</v>
      </c>
      <c r="J241" s="0" t="str">
        <f aca="false">"1761"</f>
        <v>1761</v>
      </c>
      <c r="M241" s="0" t="s">
        <v>150</v>
      </c>
      <c r="O241" s="0" t="s">
        <v>3319</v>
      </c>
      <c r="T241" s="0" t="s">
        <v>247</v>
      </c>
      <c r="U241" s="1" t="s">
        <v>3320</v>
      </c>
      <c r="V241" s="1" t="s">
        <v>3321</v>
      </c>
      <c r="AD241" s="0" t="s">
        <v>136</v>
      </c>
      <c r="AE241" s="0" t="s">
        <v>3322</v>
      </c>
      <c r="AF241" s="0" t="s">
        <v>109</v>
      </c>
      <c r="AT241" s="0" t="s">
        <v>139</v>
      </c>
      <c r="AU241" s="0" t="s">
        <v>112</v>
      </c>
      <c r="AV241" s="0" t="s">
        <v>113</v>
      </c>
      <c r="BG241" s="0" t="s">
        <v>3323</v>
      </c>
      <c r="BH241" s="0" t="s">
        <v>116</v>
      </c>
      <c r="BI241" s="0" t="s">
        <v>3324</v>
      </c>
      <c r="BJ241" s="0" t="s">
        <v>185</v>
      </c>
      <c r="BX241" s="0" t="s">
        <v>3325</v>
      </c>
      <c r="CG241" s="0" t="s">
        <v>123</v>
      </c>
      <c r="CH241" s="0" t="s">
        <v>342</v>
      </c>
      <c r="CI241" s="0" t="s">
        <v>3325</v>
      </c>
      <c r="CJ241" s="0" t="s">
        <v>3326</v>
      </c>
      <c r="CL241" s="0" t="s">
        <v>3327</v>
      </c>
      <c r="CM241" s="0" t="s">
        <v>3327</v>
      </c>
      <c r="CO241" s="0" t="s">
        <v>3317</v>
      </c>
      <c r="CR241" s="0" t="s">
        <v>3328</v>
      </c>
    </row>
    <row r="242" customFormat="false" ht="33.1" hidden="false" customHeight="false" outlineLevel="0" collapsed="false">
      <c r="A242" s="0" t="s">
        <v>96</v>
      </c>
      <c r="B242" s="0" t="s">
        <v>3329</v>
      </c>
      <c r="C242" s="0" t="s">
        <v>98</v>
      </c>
      <c r="D242" s="0" t="s">
        <v>99</v>
      </c>
      <c r="E242" s="0" t="s">
        <v>3330</v>
      </c>
      <c r="F242" s="1" t="s">
        <v>149</v>
      </c>
      <c r="H242" s="0" t="s">
        <v>102</v>
      </c>
      <c r="L242" s="0" t="str">
        <f aca="false">"1759"</f>
        <v>1759</v>
      </c>
      <c r="M242" s="1" t="s">
        <v>458</v>
      </c>
      <c r="O242" s="0" t="s">
        <v>490</v>
      </c>
      <c r="T242" s="0" t="s">
        <v>247</v>
      </c>
      <c r="U242" s="0" t="s">
        <v>3331</v>
      </c>
      <c r="V242" s="0" t="s">
        <v>3332</v>
      </c>
      <c r="AD242" s="1" t="s">
        <v>285</v>
      </c>
      <c r="AE242" s="1" t="s">
        <v>3333</v>
      </c>
      <c r="AF242" s="0" t="s">
        <v>109</v>
      </c>
      <c r="AT242" s="0" t="s">
        <v>139</v>
      </c>
      <c r="AU242" s="0" t="s">
        <v>112</v>
      </c>
      <c r="AV242" s="0" t="s">
        <v>113</v>
      </c>
      <c r="BD242" s="0" t="s">
        <v>140</v>
      </c>
      <c r="BE242" s="0" t="s">
        <v>3334</v>
      </c>
      <c r="BF242" s="0" t="s">
        <v>142</v>
      </c>
      <c r="BG242" s="0" t="s">
        <v>98</v>
      </c>
      <c r="BH242" s="0" t="s">
        <v>3335</v>
      </c>
      <c r="BI242" s="0" t="s">
        <v>228</v>
      </c>
      <c r="BJ242" s="1" t="s">
        <v>467</v>
      </c>
      <c r="BU242" s="0" t="s">
        <v>3336</v>
      </c>
      <c r="BX242" s="0" t="s">
        <v>3337</v>
      </c>
      <c r="CH242" s="0" t="s">
        <v>625</v>
      </c>
      <c r="CI242" s="0" t="s">
        <v>3337</v>
      </c>
      <c r="CJ242" s="0" t="s">
        <v>3338</v>
      </c>
      <c r="CO242" s="0" t="s">
        <v>3339</v>
      </c>
      <c r="CR242" s="0" t="s">
        <v>3340</v>
      </c>
    </row>
    <row r="243" customFormat="false" ht="22.5" hidden="false" customHeight="false" outlineLevel="0" collapsed="false">
      <c r="A243" s="0" t="s">
        <v>96</v>
      </c>
      <c r="B243" s="0" t="s">
        <v>3341</v>
      </c>
      <c r="C243" s="0" t="s">
        <v>98</v>
      </c>
      <c r="D243" s="0" t="s">
        <v>99</v>
      </c>
      <c r="E243" s="0" t="s">
        <v>3342</v>
      </c>
      <c r="F243" s="0" t="s">
        <v>219</v>
      </c>
      <c r="H243" s="0" t="s">
        <v>102</v>
      </c>
      <c r="K243" s="0" t="s">
        <v>3343</v>
      </c>
      <c r="L243" s="0" t="str">
        <f aca="false">"1760"</f>
        <v>1760</v>
      </c>
      <c r="AD243" s="1" t="s">
        <v>3344</v>
      </c>
      <c r="AE243" s="1" t="s">
        <v>3345</v>
      </c>
      <c r="AF243" s="0" t="s">
        <v>109</v>
      </c>
      <c r="AT243" s="0" t="s">
        <v>139</v>
      </c>
      <c r="AU243" s="0" t="s">
        <v>112</v>
      </c>
      <c r="AV243" s="0" t="s">
        <v>113</v>
      </c>
      <c r="BG243" s="0" t="s">
        <v>98</v>
      </c>
      <c r="BH243" s="0" t="s">
        <v>116</v>
      </c>
      <c r="BI243" s="0" t="s">
        <v>1477</v>
      </c>
      <c r="BJ243" s="0" t="s">
        <v>185</v>
      </c>
      <c r="BU243" s="0" t="s">
        <v>3346</v>
      </c>
      <c r="BX243" s="0" t="s">
        <v>3347</v>
      </c>
      <c r="CH243" s="0" t="s">
        <v>625</v>
      </c>
      <c r="CI243" s="0" t="s">
        <v>3347</v>
      </c>
      <c r="CJ243" s="1" t="s">
        <v>3348</v>
      </c>
      <c r="CO243" s="1" t="s">
        <v>3349</v>
      </c>
      <c r="CR243" s="0" t="s">
        <v>3350</v>
      </c>
    </row>
    <row r="244" customFormat="false" ht="33.1" hidden="false" customHeight="false" outlineLevel="0" collapsed="false">
      <c r="A244" s="0" t="s">
        <v>96</v>
      </c>
      <c r="B244" s="0" t="s">
        <v>3351</v>
      </c>
      <c r="C244" s="0" t="s">
        <v>98</v>
      </c>
      <c r="D244" s="0" t="s">
        <v>99</v>
      </c>
      <c r="E244" s="0" t="s">
        <v>3352</v>
      </c>
      <c r="F244" s="1" t="s">
        <v>149</v>
      </c>
      <c r="H244" s="0" t="s">
        <v>102</v>
      </c>
      <c r="L244" s="0" t="str">
        <f aca="false">"1763"</f>
        <v>1763</v>
      </c>
      <c r="M244" s="0" t="s">
        <v>715</v>
      </c>
      <c r="O244" s="0" t="s">
        <v>3353</v>
      </c>
      <c r="T244" s="0" t="s">
        <v>247</v>
      </c>
      <c r="U244" s="1" t="s">
        <v>3354</v>
      </c>
      <c r="V244" s="1" t="s">
        <v>3355</v>
      </c>
      <c r="AD244" s="1" t="s">
        <v>3356</v>
      </c>
      <c r="AE244" s="1" t="s">
        <v>3357</v>
      </c>
      <c r="AF244" s="0" t="s">
        <v>109</v>
      </c>
      <c r="AT244" s="0" t="s">
        <v>139</v>
      </c>
      <c r="AU244" s="0" t="s">
        <v>112</v>
      </c>
      <c r="AV244" s="0" t="s">
        <v>113</v>
      </c>
      <c r="BG244" s="0" t="s">
        <v>98</v>
      </c>
      <c r="BH244" s="0" t="s">
        <v>116</v>
      </c>
      <c r="BI244" s="0" t="s">
        <v>1477</v>
      </c>
      <c r="BJ244" s="0" t="s">
        <v>118</v>
      </c>
      <c r="BU244" s="0" t="s">
        <v>3358</v>
      </c>
      <c r="BX244" s="0" t="s">
        <v>3359</v>
      </c>
      <c r="CH244" s="0" t="s">
        <v>625</v>
      </c>
      <c r="CI244" s="0" t="s">
        <v>3359</v>
      </c>
      <c r="CJ244" s="0" t="s">
        <v>3360</v>
      </c>
      <c r="CO244" s="0" t="s">
        <v>3351</v>
      </c>
      <c r="CR244" s="0" t="s">
        <v>3361</v>
      </c>
    </row>
    <row r="245" customFormat="false" ht="43.75" hidden="false" customHeight="false" outlineLevel="0" collapsed="false">
      <c r="A245" s="0" t="s">
        <v>96</v>
      </c>
      <c r="B245" s="0" t="s">
        <v>3362</v>
      </c>
      <c r="C245" s="0" t="s">
        <v>98</v>
      </c>
      <c r="D245" s="0" t="s">
        <v>99</v>
      </c>
      <c r="E245" s="0" t="s">
        <v>3363</v>
      </c>
      <c r="F245" s="0" t="s">
        <v>131</v>
      </c>
      <c r="H245" s="0" t="s">
        <v>102</v>
      </c>
      <c r="M245" s="1" t="s">
        <v>370</v>
      </c>
      <c r="O245" s="1" t="s">
        <v>3364</v>
      </c>
      <c r="T245" s="0" t="s">
        <v>398</v>
      </c>
      <c r="U245" s="1" t="s">
        <v>3365</v>
      </c>
      <c r="V245" s="1" t="s">
        <v>3366</v>
      </c>
      <c r="AD245" s="1" t="s">
        <v>285</v>
      </c>
      <c r="AE245" s="1" t="s">
        <v>3367</v>
      </c>
      <c r="AF245" s="1" t="s">
        <v>3368</v>
      </c>
      <c r="AT245" s="0" t="s">
        <v>139</v>
      </c>
      <c r="AU245" s="0" t="s">
        <v>112</v>
      </c>
      <c r="AV245" s="0" t="s">
        <v>113</v>
      </c>
      <c r="AY245" s="0" t="s">
        <v>3369</v>
      </c>
      <c r="BD245" s="1" t="s">
        <v>3370</v>
      </c>
      <c r="BE245" s="1" t="s">
        <v>3371</v>
      </c>
      <c r="BJ245" s="0" t="s">
        <v>118</v>
      </c>
      <c r="BX245" s="0" t="s">
        <v>3372</v>
      </c>
      <c r="CG245" s="0" t="s">
        <v>123</v>
      </c>
      <c r="CH245" s="0" t="s">
        <v>625</v>
      </c>
      <c r="CI245" s="0" t="s">
        <v>3372</v>
      </c>
      <c r="CJ245" s="1" t="s">
        <v>3373</v>
      </c>
      <c r="CL245" s="0" t="s">
        <v>3374</v>
      </c>
      <c r="CM245" s="0" t="s">
        <v>3374</v>
      </c>
      <c r="CO245" s="1" t="s">
        <v>3375</v>
      </c>
      <c r="CR245" s="0" t="s">
        <v>3376</v>
      </c>
    </row>
    <row r="246" customFormat="false" ht="33.1" hidden="false" customHeight="false" outlineLevel="0" collapsed="false">
      <c r="A246" s="0" t="s">
        <v>96</v>
      </c>
      <c r="B246" s="0" t="s">
        <v>3377</v>
      </c>
      <c r="C246" s="0" t="s">
        <v>98</v>
      </c>
      <c r="D246" s="0" t="s">
        <v>99</v>
      </c>
      <c r="E246" s="0" t="s">
        <v>3378</v>
      </c>
      <c r="F246" s="1" t="s">
        <v>1471</v>
      </c>
      <c r="G246" s="0" t="s">
        <v>3379</v>
      </c>
      <c r="H246" s="0" t="s">
        <v>102</v>
      </c>
      <c r="L246" s="0" t="str">
        <f aca="false">"1763"</f>
        <v>1763</v>
      </c>
      <c r="M246" s="1" t="s">
        <v>489</v>
      </c>
      <c r="O246" s="0" t="s">
        <v>3380</v>
      </c>
      <c r="T246" s="0" t="s">
        <v>99</v>
      </c>
      <c r="U246" s="0" t="s">
        <v>3381</v>
      </c>
      <c r="V246" s="0" t="s">
        <v>3382</v>
      </c>
      <c r="AB246" s="0" t="s">
        <v>3383</v>
      </c>
      <c r="AD246" s="1" t="s">
        <v>285</v>
      </c>
      <c r="AE246" s="1" t="s">
        <v>3384</v>
      </c>
      <c r="AF246" s="0" t="s">
        <v>109</v>
      </c>
      <c r="AG246" s="0" t="s">
        <v>242</v>
      </c>
      <c r="AH246" s="0" t="s">
        <v>243</v>
      </c>
      <c r="AI246" s="0" t="s">
        <v>3385</v>
      </c>
      <c r="AO246" s="0" t="s">
        <v>161</v>
      </c>
      <c r="AT246" s="0" t="s">
        <v>111</v>
      </c>
      <c r="AU246" s="0" t="s">
        <v>112</v>
      </c>
      <c r="AV246" s="0" t="s">
        <v>113</v>
      </c>
      <c r="AY246" s="0" t="s">
        <v>3386</v>
      </c>
      <c r="BD246" s="0" t="s">
        <v>140</v>
      </c>
      <c r="BE246" s="0" t="s">
        <v>3387</v>
      </c>
      <c r="BJ246" s="0" t="s">
        <v>118</v>
      </c>
      <c r="BU246" s="0" t="s">
        <v>3388</v>
      </c>
      <c r="BX246" s="1" t="s">
        <v>3389</v>
      </c>
      <c r="CH246" s="0" t="s">
        <v>625</v>
      </c>
      <c r="CI246" s="1" t="s">
        <v>3389</v>
      </c>
      <c r="CJ246" s="1" t="s">
        <v>3390</v>
      </c>
      <c r="CO246" s="1" t="s">
        <v>3391</v>
      </c>
      <c r="CR246" s="0" t="s">
        <v>3392</v>
      </c>
    </row>
    <row r="247" customFormat="false" ht="796.85" hidden="false" customHeight="false" outlineLevel="0" collapsed="false">
      <c r="A247" s="0" t="s">
        <v>96</v>
      </c>
      <c r="B247" s="0" t="s">
        <v>3393</v>
      </c>
      <c r="C247" s="0" t="s">
        <v>98</v>
      </c>
      <c r="D247" s="0" t="s">
        <v>99</v>
      </c>
      <c r="E247" s="0" t="s">
        <v>3394</v>
      </c>
      <c r="F247" s="1" t="s">
        <v>3395</v>
      </c>
      <c r="H247" s="0" t="s">
        <v>102</v>
      </c>
      <c r="L247" s="0" t="str">
        <f aca="false">"1763"</f>
        <v>1763</v>
      </c>
      <c r="M247" s="1" t="s">
        <v>489</v>
      </c>
      <c r="O247" s="0" t="s">
        <v>3396</v>
      </c>
      <c r="T247" s="0" t="s">
        <v>247</v>
      </c>
      <c r="U247" s="1" t="s">
        <v>3397</v>
      </c>
      <c r="V247" s="1" t="s">
        <v>3398</v>
      </c>
      <c r="AA247" s="0" t="str">
        <f aca="false">"10121684"</f>
        <v>10121684</v>
      </c>
      <c r="AB247" s="0" t="s">
        <v>3399</v>
      </c>
      <c r="AD247" s="1" t="s">
        <v>234</v>
      </c>
      <c r="AE247" s="1" t="s">
        <v>3400</v>
      </c>
      <c r="AF247" s="0" t="s">
        <v>109</v>
      </c>
      <c r="AG247" s="0" t="s">
        <v>895</v>
      </c>
      <c r="AH247" s="0" t="s">
        <v>896</v>
      </c>
      <c r="AI247" s="0" t="s">
        <v>3401</v>
      </c>
      <c r="AT247" s="0" t="s">
        <v>3402</v>
      </c>
      <c r="AU247" s="0" t="s">
        <v>112</v>
      </c>
      <c r="AV247" s="0" t="s">
        <v>113</v>
      </c>
      <c r="BC247" s="2" t="s">
        <v>3403</v>
      </c>
      <c r="BD247" s="0" t="s">
        <v>873</v>
      </c>
      <c r="BE247" s="0" t="s">
        <v>3404</v>
      </c>
      <c r="BF247" s="0" t="s">
        <v>3405</v>
      </c>
      <c r="BJ247" s="0" t="s">
        <v>118</v>
      </c>
      <c r="BU247" s="1" t="s">
        <v>3406</v>
      </c>
      <c r="BW247" s="1" t="s">
        <v>3407</v>
      </c>
      <c r="BX247" s="1" t="s">
        <v>3408</v>
      </c>
      <c r="CF247" s="0" t="s">
        <v>3409</v>
      </c>
      <c r="CG247" s="0" t="s">
        <v>123</v>
      </c>
      <c r="CH247" s="1" t="s">
        <v>3410</v>
      </c>
      <c r="CI247" s="1" t="s">
        <v>3408</v>
      </c>
      <c r="CJ247" s="1" t="s">
        <v>3411</v>
      </c>
      <c r="CL247" s="0" t="s">
        <v>3412</v>
      </c>
      <c r="CM247" s="0" t="s">
        <v>3412</v>
      </c>
      <c r="CO247" s="1" t="s">
        <v>3413</v>
      </c>
      <c r="CR247" s="0" t="s">
        <v>3414</v>
      </c>
    </row>
    <row r="248" customFormat="false" ht="574.35" hidden="false" customHeight="false" outlineLevel="0" collapsed="false">
      <c r="A248" s="0" t="s">
        <v>96</v>
      </c>
      <c r="B248" s="0" t="s">
        <v>3415</v>
      </c>
      <c r="C248" s="0" t="s">
        <v>98</v>
      </c>
      <c r="D248" s="0" t="s">
        <v>99</v>
      </c>
      <c r="E248" s="0" t="s">
        <v>3416</v>
      </c>
      <c r="F248" s="1" t="s">
        <v>3417</v>
      </c>
      <c r="G248" s="0" t="s">
        <v>3418</v>
      </c>
      <c r="H248" s="0" t="s">
        <v>102</v>
      </c>
      <c r="L248" s="0" t="str">
        <f aca="false">"1763"</f>
        <v>1763</v>
      </c>
      <c r="M248" s="0" t="s">
        <v>150</v>
      </c>
      <c r="O248" s="0" t="s">
        <v>3279</v>
      </c>
      <c r="T248" s="0" t="s">
        <v>1164</v>
      </c>
      <c r="U248" s="1" t="s">
        <v>3419</v>
      </c>
      <c r="V248" s="0" t="s">
        <v>3420</v>
      </c>
      <c r="AD248" s="0" t="s">
        <v>136</v>
      </c>
      <c r="AE248" s="0" t="s">
        <v>3421</v>
      </c>
      <c r="AF248" s="0" t="s">
        <v>109</v>
      </c>
      <c r="AT248" s="0" t="s">
        <v>139</v>
      </c>
      <c r="AU248" s="0" t="s">
        <v>112</v>
      </c>
      <c r="AV248" s="0" t="s">
        <v>113</v>
      </c>
      <c r="BU248" s="1" t="s">
        <v>3422</v>
      </c>
      <c r="BV248" s="1" t="s">
        <v>3423</v>
      </c>
      <c r="BX248" s="1" t="s">
        <v>3424</v>
      </c>
      <c r="CF248" s="0" t="s">
        <v>3425</v>
      </c>
      <c r="CG248" s="0" t="s">
        <v>123</v>
      </c>
      <c r="CH248" s="0" t="s">
        <v>298</v>
      </c>
      <c r="CI248" s="1" t="s">
        <v>3424</v>
      </c>
      <c r="CJ248" s="1" t="s">
        <v>3426</v>
      </c>
      <c r="CL248" s="0" t="s">
        <v>3427</v>
      </c>
      <c r="CM248" s="0" t="s">
        <v>3427</v>
      </c>
      <c r="CO248" s="1" t="s">
        <v>3428</v>
      </c>
      <c r="CR248" s="0" t="s">
        <v>3429</v>
      </c>
    </row>
    <row r="249" customFormat="false" ht="22.5" hidden="false" customHeight="false" outlineLevel="0" collapsed="false">
      <c r="A249" s="0" t="s">
        <v>96</v>
      </c>
      <c r="B249" s="0" t="s">
        <v>3430</v>
      </c>
      <c r="C249" s="0" t="s">
        <v>98</v>
      </c>
      <c r="D249" s="0" t="s">
        <v>99</v>
      </c>
      <c r="E249" s="0" t="s">
        <v>3431</v>
      </c>
      <c r="F249" s="1" t="s">
        <v>201</v>
      </c>
      <c r="H249" s="0" t="s">
        <v>102</v>
      </c>
      <c r="L249" s="0" t="str">
        <f aca="false">"1779"</f>
        <v>1779</v>
      </c>
      <c r="M249" s="1" t="s">
        <v>175</v>
      </c>
      <c r="O249" s="1" t="s">
        <v>3432</v>
      </c>
      <c r="T249" s="0" t="s">
        <v>247</v>
      </c>
      <c r="U249" s="1" t="s">
        <v>3433</v>
      </c>
      <c r="V249" s="1" t="s">
        <v>3434</v>
      </c>
      <c r="AD249" s="1" t="s">
        <v>285</v>
      </c>
      <c r="AE249" s="1" t="s">
        <v>3435</v>
      </c>
      <c r="AF249" s="0" t="s">
        <v>109</v>
      </c>
      <c r="AO249" s="0" t="s">
        <v>161</v>
      </c>
      <c r="AT249" s="0" t="s">
        <v>139</v>
      </c>
      <c r="AU249" s="0" t="s">
        <v>112</v>
      </c>
      <c r="AV249" s="0" t="s">
        <v>113</v>
      </c>
      <c r="BD249" s="0" t="s">
        <v>140</v>
      </c>
      <c r="BE249" s="1" t="s">
        <v>3436</v>
      </c>
      <c r="BF249" s="1" t="s">
        <v>292</v>
      </c>
      <c r="BG249" s="0" t="s">
        <v>98</v>
      </c>
      <c r="BH249" s="0" t="s">
        <v>116</v>
      </c>
      <c r="BI249" s="0" t="s">
        <v>228</v>
      </c>
      <c r="BJ249" s="1" t="s">
        <v>229</v>
      </c>
      <c r="BW249" s="0" t="s">
        <v>3437</v>
      </c>
      <c r="BX249" s="0" t="s">
        <v>3438</v>
      </c>
      <c r="CH249" s="0" t="s">
        <v>298</v>
      </c>
      <c r="CI249" s="0" t="s">
        <v>3438</v>
      </c>
      <c r="CJ249" s="1" t="s">
        <v>3439</v>
      </c>
      <c r="CO249" s="1" t="s">
        <v>3440</v>
      </c>
      <c r="CR249" s="0" t="s">
        <v>3441</v>
      </c>
    </row>
    <row r="250" customFormat="false" ht="43.75" hidden="false" customHeight="false" outlineLevel="0" collapsed="false">
      <c r="A250" s="0" t="s">
        <v>96</v>
      </c>
      <c r="B250" s="0" t="s">
        <v>3442</v>
      </c>
      <c r="C250" s="0" t="s">
        <v>98</v>
      </c>
      <c r="D250" s="0" t="s">
        <v>99</v>
      </c>
      <c r="E250" s="0" t="s">
        <v>3443</v>
      </c>
      <c r="F250" s="1" t="s">
        <v>1471</v>
      </c>
      <c r="H250" s="0" t="s">
        <v>102</v>
      </c>
      <c r="L250" s="0" t="str">
        <f aca="false">"1747"</f>
        <v>1747</v>
      </c>
      <c r="M250" s="0" t="s">
        <v>1243</v>
      </c>
      <c r="O250" s="1" t="s">
        <v>3444</v>
      </c>
      <c r="T250" s="0" t="s">
        <v>247</v>
      </c>
      <c r="U250" s="1" t="s">
        <v>3445</v>
      </c>
      <c r="V250" s="1" t="s">
        <v>3446</v>
      </c>
      <c r="AD250" s="1" t="s">
        <v>285</v>
      </c>
      <c r="AE250" s="1" t="s">
        <v>3447</v>
      </c>
      <c r="AF250" s="0" t="s">
        <v>109</v>
      </c>
      <c r="AT250" s="0" t="s">
        <v>139</v>
      </c>
      <c r="AU250" s="0" t="s">
        <v>112</v>
      </c>
      <c r="AV250" s="0" t="s">
        <v>113</v>
      </c>
      <c r="BD250" s="0" t="s">
        <v>140</v>
      </c>
      <c r="BE250" s="1" t="s">
        <v>3448</v>
      </c>
      <c r="BF250" s="1" t="s">
        <v>292</v>
      </c>
      <c r="BG250" s="0" t="s">
        <v>98</v>
      </c>
      <c r="BH250" s="0" t="s">
        <v>116</v>
      </c>
      <c r="BI250" s="0" t="s">
        <v>228</v>
      </c>
      <c r="BJ250" s="0" t="s">
        <v>118</v>
      </c>
      <c r="BU250" s="0" t="s">
        <v>3449</v>
      </c>
      <c r="BW250" s="0" t="s">
        <v>3450</v>
      </c>
      <c r="BX250" s="0" t="s">
        <v>3451</v>
      </c>
      <c r="CH250" s="0" t="s">
        <v>169</v>
      </c>
      <c r="CI250" s="0" t="s">
        <v>3451</v>
      </c>
      <c r="CJ250" s="1" t="s">
        <v>3452</v>
      </c>
      <c r="CO250" s="1" t="s">
        <v>3453</v>
      </c>
      <c r="CR250" s="0" t="s">
        <v>3454</v>
      </c>
    </row>
    <row r="251" customFormat="false" ht="22.5" hidden="false" customHeight="false" outlineLevel="0" collapsed="false">
      <c r="A251" s="0" t="s">
        <v>2200</v>
      </c>
      <c r="B251" s="0" t="s">
        <v>3455</v>
      </c>
      <c r="C251" s="0" t="s">
        <v>3456</v>
      </c>
      <c r="D251" s="0" t="s">
        <v>3457</v>
      </c>
      <c r="E251" s="0" t="s">
        <v>3458</v>
      </c>
      <c r="H251" s="0" t="s">
        <v>102</v>
      </c>
      <c r="L251" s="0" t="str">
        <f aca="false">"1714"</f>
        <v>1714</v>
      </c>
      <c r="M251" s="0" t="s">
        <v>870</v>
      </c>
      <c r="O251" s="0" t="s">
        <v>3459</v>
      </c>
      <c r="T251" s="0" t="s">
        <v>3460</v>
      </c>
      <c r="AB251" s="0" t="s">
        <v>3461</v>
      </c>
      <c r="AG251" s="0" t="s">
        <v>2146</v>
      </c>
      <c r="AH251" s="0" t="s">
        <v>2147</v>
      </c>
      <c r="AI251" s="0" t="s">
        <v>3462</v>
      </c>
      <c r="AT251" s="0" t="s">
        <v>338</v>
      </c>
      <c r="AU251" s="0" t="s">
        <v>872</v>
      </c>
      <c r="AY251" s="0" t="s">
        <v>3463</v>
      </c>
      <c r="BD251" s="0" t="s">
        <v>873</v>
      </c>
      <c r="BE251" s="0" t="s">
        <v>3464</v>
      </c>
      <c r="BX251" s="1" t="s">
        <v>3465</v>
      </c>
      <c r="CG251" s="0" t="s">
        <v>123</v>
      </c>
      <c r="CH251" s="0" t="s">
        <v>169</v>
      </c>
      <c r="CI251" s="1" t="s">
        <v>3465</v>
      </c>
      <c r="CJ251" s="0" t="s">
        <v>3466</v>
      </c>
      <c r="CL251" s="1" t="s">
        <v>3467</v>
      </c>
      <c r="CM251" s="1" t="s">
        <v>3467</v>
      </c>
      <c r="CO251" s="0" t="s">
        <v>3455</v>
      </c>
      <c r="CR251" s="0" t="s">
        <v>3468</v>
      </c>
    </row>
    <row r="252" customFormat="false" ht="33.1" hidden="false" customHeight="false" outlineLevel="0" collapsed="false">
      <c r="A252" s="0" t="s">
        <v>880</v>
      </c>
      <c r="B252" s="0" t="s">
        <v>3469</v>
      </c>
      <c r="C252" s="0" t="s">
        <v>3470</v>
      </c>
      <c r="D252" s="0" t="s">
        <v>3471</v>
      </c>
      <c r="E252" s="0" t="s">
        <v>3472</v>
      </c>
      <c r="H252" s="0" t="s">
        <v>102</v>
      </c>
      <c r="L252" s="0" t="str">
        <f aca="false">"1685"</f>
        <v>1685</v>
      </c>
      <c r="M252" s="0" t="s">
        <v>870</v>
      </c>
      <c r="O252" s="0" t="s">
        <v>3473</v>
      </c>
      <c r="T252" s="0" t="s">
        <v>1214</v>
      </c>
      <c r="AB252" s="0" t="s">
        <v>3474</v>
      </c>
      <c r="AT252" s="0" t="s">
        <v>338</v>
      </c>
      <c r="AU252" s="0" t="s">
        <v>872</v>
      </c>
      <c r="BD252" s="0" t="s">
        <v>3475</v>
      </c>
      <c r="BE252" s="0" t="s">
        <v>873</v>
      </c>
      <c r="CJ252" s="0" t="s">
        <v>3476</v>
      </c>
      <c r="CO252" s="0" t="s">
        <v>3477</v>
      </c>
      <c r="CP252" s="1" t="s">
        <v>3478</v>
      </c>
    </row>
    <row r="253" customFormat="false" ht="12.8" hidden="false" customHeight="false" outlineLevel="0" collapsed="false">
      <c r="A253" s="0" t="s">
        <v>880</v>
      </c>
      <c r="B253" s="0" t="s">
        <v>3479</v>
      </c>
      <c r="C253" s="0" t="s">
        <v>3470</v>
      </c>
      <c r="D253" s="0" t="s">
        <v>3471</v>
      </c>
      <c r="E253" s="0" t="s">
        <v>3480</v>
      </c>
      <c r="H253" s="0" t="s">
        <v>102</v>
      </c>
      <c r="L253" s="0" t="str">
        <f aca="false">"1685"</f>
        <v>1685</v>
      </c>
      <c r="M253" s="0" t="s">
        <v>2367</v>
      </c>
      <c r="O253" s="0" t="s">
        <v>3481</v>
      </c>
      <c r="T253" s="0" t="s">
        <v>1214</v>
      </c>
      <c r="AO253" s="0" t="s">
        <v>3482</v>
      </c>
      <c r="AP253" s="0" t="s">
        <v>3469</v>
      </c>
      <c r="AT253" s="0" t="s">
        <v>338</v>
      </c>
      <c r="AU253" s="0" t="s">
        <v>892</v>
      </c>
      <c r="AY253" s="0" t="s">
        <v>3483</v>
      </c>
      <c r="BD253" s="0" t="s">
        <v>873</v>
      </c>
      <c r="BE253" s="0" t="s">
        <v>3484</v>
      </c>
      <c r="BW253" s="0" t="s">
        <v>3485</v>
      </c>
      <c r="CJ253" s="0" t="s">
        <v>3486</v>
      </c>
      <c r="CO253" s="0" t="s">
        <v>3487</v>
      </c>
    </row>
    <row r="254" customFormat="false" ht="12.8" hidden="false" customHeight="false" outlineLevel="0" collapsed="false">
      <c r="A254" s="0" t="s">
        <v>880</v>
      </c>
      <c r="B254" s="0" t="s">
        <v>3488</v>
      </c>
      <c r="C254" s="0" t="s">
        <v>3470</v>
      </c>
      <c r="D254" s="0" t="s">
        <v>3471</v>
      </c>
      <c r="E254" s="0" t="s">
        <v>3489</v>
      </c>
      <c r="H254" s="0" t="s">
        <v>102</v>
      </c>
      <c r="L254" s="0" t="str">
        <f aca="false">"1685"</f>
        <v>1685</v>
      </c>
      <c r="M254" s="0" t="s">
        <v>2367</v>
      </c>
      <c r="O254" s="0" t="s">
        <v>3481</v>
      </c>
      <c r="T254" s="0" t="s">
        <v>1214</v>
      </c>
      <c r="AO254" s="0" t="s">
        <v>3482</v>
      </c>
      <c r="AP254" s="0" t="s">
        <v>3469</v>
      </c>
      <c r="AT254" s="0" t="s">
        <v>338</v>
      </c>
      <c r="AU254" s="0" t="s">
        <v>872</v>
      </c>
      <c r="AY254" s="0" t="s">
        <v>3490</v>
      </c>
      <c r="BD254" s="0" t="s">
        <v>873</v>
      </c>
      <c r="BE254" s="0" t="s">
        <v>3491</v>
      </c>
      <c r="BW254" s="0" t="s">
        <v>3492</v>
      </c>
      <c r="CJ254" s="0" t="s">
        <v>3493</v>
      </c>
      <c r="CO254" s="0" t="s">
        <v>3488</v>
      </c>
    </row>
    <row r="255" customFormat="false" ht="12.8" hidden="false" customHeight="false" outlineLevel="0" collapsed="false">
      <c r="A255" s="0" t="s">
        <v>880</v>
      </c>
      <c r="B255" s="0" t="s">
        <v>3494</v>
      </c>
      <c r="C255" s="0" t="s">
        <v>3470</v>
      </c>
      <c r="D255" s="0" t="s">
        <v>3471</v>
      </c>
      <c r="E255" s="0" t="s">
        <v>3495</v>
      </c>
      <c r="H255" s="0" t="s">
        <v>102</v>
      </c>
      <c r="L255" s="0" t="str">
        <f aca="false">"1685"</f>
        <v>1685</v>
      </c>
      <c r="M255" s="0" t="s">
        <v>2367</v>
      </c>
      <c r="O255" s="0" t="s">
        <v>3481</v>
      </c>
      <c r="T255" s="0" t="s">
        <v>1214</v>
      </c>
      <c r="AO255" s="0" t="s">
        <v>3482</v>
      </c>
      <c r="AP255" s="0" t="s">
        <v>3469</v>
      </c>
      <c r="AT255" s="0" t="s">
        <v>338</v>
      </c>
      <c r="AU255" s="0" t="s">
        <v>872</v>
      </c>
      <c r="BD255" s="0" t="s">
        <v>3475</v>
      </c>
      <c r="BE255" s="0" t="s">
        <v>873</v>
      </c>
      <c r="BW255" s="0" t="s">
        <v>3496</v>
      </c>
      <c r="CJ255" s="0" t="s">
        <v>3497</v>
      </c>
      <c r="CO255" s="0" t="s">
        <v>3494</v>
      </c>
    </row>
    <row r="256" customFormat="false" ht="22.5" hidden="false" customHeight="false" outlineLevel="0" collapsed="false">
      <c r="A256" s="0" t="s">
        <v>880</v>
      </c>
      <c r="B256" s="0" t="s">
        <v>3498</v>
      </c>
      <c r="C256" s="0" t="s">
        <v>3499</v>
      </c>
      <c r="D256" s="0" t="s">
        <v>3500</v>
      </c>
      <c r="E256" s="0" t="s">
        <v>3501</v>
      </c>
      <c r="F256" s="0" t="s">
        <v>884</v>
      </c>
      <c r="H256" s="0" t="s">
        <v>102</v>
      </c>
      <c r="L256" s="0" t="str">
        <f aca="false">"1697"</f>
        <v>1697</v>
      </c>
      <c r="M256" s="1" t="s">
        <v>3502</v>
      </c>
      <c r="O256" s="0" t="s">
        <v>3503</v>
      </c>
      <c r="T256" s="0" t="s">
        <v>329</v>
      </c>
      <c r="U256" s="1" t="s">
        <v>3504</v>
      </c>
      <c r="W256" s="0" t="s">
        <v>3505</v>
      </c>
      <c r="X256" s="0" t="s">
        <v>3506</v>
      </c>
      <c r="AO256" s="0" t="s">
        <v>887</v>
      </c>
      <c r="AP256" s="0" t="s">
        <v>3507</v>
      </c>
      <c r="AT256" s="0" t="s">
        <v>338</v>
      </c>
      <c r="AU256" s="0" t="s">
        <v>872</v>
      </c>
      <c r="CJ256" s="0" t="s">
        <v>3508</v>
      </c>
      <c r="CO256" s="0" t="s">
        <v>3498</v>
      </c>
    </row>
    <row r="257" customFormat="false" ht="22.5" hidden="false" customHeight="false" outlineLevel="0" collapsed="false">
      <c r="A257" s="0" t="s">
        <v>880</v>
      </c>
      <c r="B257" s="0" t="s">
        <v>3507</v>
      </c>
      <c r="E257" s="0" t="s">
        <v>3509</v>
      </c>
      <c r="F257" s="0" t="s">
        <v>884</v>
      </c>
      <c r="H257" s="0" t="s">
        <v>102</v>
      </c>
      <c r="I257" s="0" t="str">
        <f aca="false">"1690"</f>
        <v>1690</v>
      </c>
      <c r="J257" s="0" t="str">
        <f aca="false">"1700"</f>
        <v>1700</v>
      </c>
      <c r="M257" s="1" t="s">
        <v>3510</v>
      </c>
      <c r="O257" s="0" t="s">
        <v>3511</v>
      </c>
      <c r="T257" s="0" t="s">
        <v>329</v>
      </c>
      <c r="W257" s="0" t="s">
        <v>3512</v>
      </c>
      <c r="X257" s="0" t="s">
        <v>3513</v>
      </c>
      <c r="AO257" s="0" t="s">
        <v>887</v>
      </c>
      <c r="AT257" s="0" t="s">
        <v>338</v>
      </c>
      <c r="AU257" s="0" t="s">
        <v>3514</v>
      </c>
      <c r="CP257" s="0" t="s">
        <v>3515</v>
      </c>
    </row>
    <row r="258" customFormat="false" ht="65" hidden="false" customHeight="false" outlineLevel="0" collapsed="false">
      <c r="A258" s="0" t="s">
        <v>3516</v>
      </c>
      <c r="B258" s="0" t="s">
        <v>3517</v>
      </c>
      <c r="C258" s="0" t="s">
        <v>1783</v>
      </c>
      <c r="D258" s="0" t="s">
        <v>1150</v>
      </c>
      <c r="E258" s="0" t="s">
        <v>3518</v>
      </c>
      <c r="H258" s="0" t="s">
        <v>102</v>
      </c>
      <c r="L258" s="0" t="str">
        <f aca="false">"1715"</f>
        <v>1715</v>
      </c>
      <c r="M258" s="1" t="s">
        <v>3519</v>
      </c>
      <c r="O258" s="1" t="s">
        <v>3520</v>
      </c>
      <c r="R258" s="0" t="s">
        <v>3521</v>
      </c>
      <c r="T258" s="0" t="s">
        <v>1150</v>
      </c>
      <c r="U258" s="1" t="s">
        <v>3522</v>
      </c>
      <c r="V258" s="1" t="s">
        <v>3523</v>
      </c>
      <c r="W258" s="0" t="s">
        <v>3524</v>
      </c>
      <c r="AB258" s="0" t="s">
        <v>3525</v>
      </c>
      <c r="AT258" s="0" t="s">
        <v>3526</v>
      </c>
      <c r="AU258" s="0" t="s">
        <v>892</v>
      </c>
      <c r="AY258" s="0" t="s">
        <v>3527</v>
      </c>
      <c r="BX258" s="1" t="s">
        <v>3528</v>
      </c>
      <c r="CF258" s="0" t="s">
        <v>3529</v>
      </c>
      <c r="CG258" s="0" t="s">
        <v>123</v>
      </c>
      <c r="CH258" s="0" t="s">
        <v>124</v>
      </c>
      <c r="CI258" s="1" t="s">
        <v>3528</v>
      </c>
      <c r="CJ258" s="0" t="s">
        <v>3530</v>
      </c>
      <c r="CL258" s="1" t="s">
        <v>3531</v>
      </c>
      <c r="CM258" s="1" t="s">
        <v>3531</v>
      </c>
      <c r="CO258" s="0" t="s">
        <v>3517</v>
      </c>
      <c r="CR258" s="0" t="s">
        <v>3532</v>
      </c>
    </row>
    <row r="259" customFormat="false" ht="22.5" hidden="false" customHeight="false" outlineLevel="0" collapsed="false">
      <c r="A259" s="0" t="s">
        <v>445</v>
      </c>
      <c r="B259" s="0" t="s">
        <v>3533</v>
      </c>
      <c r="C259" s="0" t="s">
        <v>224</v>
      </c>
      <c r="D259" s="0" t="s">
        <v>225</v>
      </c>
      <c r="E259" s="0" t="s">
        <v>3534</v>
      </c>
      <c r="L259" s="0" t="str">
        <f aca="false">"1619"</f>
        <v>1619</v>
      </c>
      <c r="M259" s="1" t="s">
        <v>898</v>
      </c>
      <c r="O259" s="1" t="s">
        <v>3535</v>
      </c>
      <c r="T259" s="0" t="s">
        <v>225</v>
      </c>
      <c r="Z259" s="0" t="s">
        <v>3536</v>
      </c>
      <c r="AB259" s="0" t="s">
        <v>3537</v>
      </c>
      <c r="AS259" s="0" t="s">
        <v>3538</v>
      </c>
      <c r="AT259" s="0" t="s">
        <v>2601</v>
      </c>
      <c r="AU259" s="0" t="s">
        <v>872</v>
      </c>
      <c r="BD259" s="0" t="s">
        <v>873</v>
      </c>
      <c r="BE259" s="0" t="s">
        <v>3539</v>
      </c>
      <c r="BJ259" s="0" t="s">
        <v>118</v>
      </c>
      <c r="BV259" s="0" t="s">
        <v>3540</v>
      </c>
      <c r="BX259" s="0" t="s">
        <v>3541</v>
      </c>
      <c r="CC259" s="0" t="s">
        <v>3542</v>
      </c>
      <c r="CI259" s="0" t="s">
        <v>3541</v>
      </c>
      <c r="CJ259" s="0" t="s">
        <v>3543</v>
      </c>
      <c r="CO259" s="0" t="s">
        <v>3533</v>
      </c>
      <c r="CR259" s="0" t="s">
        <v>3544</v>
      </c>
    </row>
    <row r="260" customFormat="false" ht="12.8" hidden="false" customHeight="false" outlineLevel="0" collapsed="false">
      <c r="A260" s="0" t="s">
        <v>445</v>
      </c>
      <c r="B260" s="0" t="s">
        <v>3545</v>
      </c>
      <c r="C260" s="0" t="s">
        <v>3546</v>
      </c>
      <c r="D260" s="0" t="s">
        <v>1113</v>
      </c>
      <c r="E260" s="0" t="s">
        <v>3547</v>
      </c>
      <c r="M260" s="0" t="s">
        <v>448</v>
      </c>
      <c r="O260" s="0" t="s">
        <v>3548</v>
      </c>
      <c r="AP260" s="0" t="s">
        <v>3549</v>
      </c>
      <c r="AQ260" s="0" t="s">
        <v>3550</v>
      </c>
      <c r="AT260" s="0" t="s">
        <v>906</v>
      </c>
      <c r="AU260" s="0" t="s">
        <v>892</v>
      </c>
      <c r="AW260" s="0" t="s">
        <v>907</v>
      </c>
      <c r="CJ260" s="0" t="s">
        <v>3551</v>
      </c>
      <c r="CO260" s="0" t="s">
        <v>3545</v>
      </c>
    </row>
    <row r="261" customFormat="false" ht="33.1" hidden="false" customHeight="false" outlineLevel="0" collapsed="false">
      <c r="A261" s="0" t="s">
        <v>190</v>
      </c>
      <c r="B261" s="0" t="s">
        <v>3549</v>
      </c>
      <c r="C261" s="0" t="s">
        <v>3546</v>
      </c>
      <c r="D261" s="0" t="s">
        <v>1113</v>
      </c>
      <c r="E261" s="0" t="s">
        <v>3552</v>
      </c>
      <c r="L261" s="0" t="str">
        <f aca="false">"1963"</f>
        <v>1963</v>
      </c>
      <c r="M261" s="0" t="s">
        <v>245</v>
      </c>
      <c r="O261" s="0" t="s">
        <v>3553</v>
      </c>
      <c r="T261" s="0" t="s">
        <v>398</v>
      </c>
      <c r="AT261" s="0" t="s">
        <v>906</v>
      </c>
      <c r="AU261" s="0" t="s">
        <v>112</v>
      </c>
      <c r="AY261" s="0" t="s">
        <v>3554</v>
      </c>
      <c r="BC261" s="0" t="s">
        <v>3555</v>
      </c>
      <c r="CP261" s="1" t="s">
        <v>3556</v>
      </c>
    </row>
    <row r="262" customFormat="false" ht="43.75" hidden="false" customHeight="false" outlineLevel="0" collapsed="false">
      <c r="A262" s="0" t="s">
        <v>445</v>
      </c>
      <c r="B262" s="0" t="s">
        <v>3557</v>
      </c>
      <c r="C262" s="0" t="s">
        <v>2649</v>
      </c>
      <c r="D262" s="0" t="s">
        <v>2650</v>
      </c>
      <c r="E262" s="0" t="s">
        <v>3558</v>
      </c>
      <c r="L262" s="0" t="str">
        <f aca="false">"1698"</f>
        <v>1698</v>
      </c>
      <c r="M262" s="1" t="s">
        <v>898</v>
      </c>
      <c r="O262" s="1" t="s">
        <v>3559</v>
      </c>
      <c r="T262" s="0" t="s">
        <v>3198</v>
      </c>
      <c r="Z262" s="0" t="s">
        <v>3560</v>
      </c>
      <c r="AS262" s="0" t="s">
        <v>3561</v>
      </c>
      <c r="AT262" s="0" t="s">
        <v>906</v>
      </c>
      <c r="AU262" s="0" t="s">
        <v>872</v>
      </c>
      <c r="AV262" s="0" t="s">
        <v>113</v>
      </c>
      <c r="AW262" s="0" t="s">
        <v>907</v>
      </c>
      <c r="AZ262" s="0" t="s">
        <v>3562</v>
      </c>
      <c r="BC262" s="2" t="s">
        <v>3563</v>
      </c>
      <c r="BX262" s="1" t="s">
        <v>3564</v>
      </c>
      <c r="CI262" s="1" t="s">
        <v>3564</v>
      </c>
      <c r="CJ262" s="0" t="s">
        <v>3565</v>
      </c>
      <c r="CO262" s="0" t="s">
        <v>3566</v>
      </c>
    </row>
    <row r="263" customFormat="false" ht="12.8" hidden="false" customHeight="false" outlineLevel="0" collapsed="false">
      <c r="A263" s="0" t="s">
        <v>445</v>
      </c>
      <c r="B263" s="0" t="s">
        <v>3567</v>
      </c>
      <c r="C263" s="0" t="s">
        <v>3546</v>
      </c>
      <c r="D263" s="0" t="s">
        <v>1113</v>
      </c>
      <c r="E263" s="0" t="s">
        <v>3568</v>
      </c>
      <c r="M263" s="0" t="s">
        <v>448</v>
      </c>
      <c r="O263" s="0" t="s">
        <v>3569</v>
      </c>
      <c r="AP263" s="0" t="s">
        <v>3549</v>
      </c>
      <c r="AQ263" s="0" t="s">
        <v>3570</v>
      </c>
      <c r="AT263" s="0" t="s">
        <v>906</v>
      </c>
      <c r="AU263" s="0" t="s">
        <v>872</v>
      </c>
      <c r="AW263" s="0" t="s">
        <v>907</v>
      </c>
      <c r="BX263" s="0" t="s">
        <v>3571</v>
      </c>
      <c r="CH263" s="0" t="s">
        <v>342</v>
      </c>
      <c r="CI263" s="0" t="s">
        <v>3571</v>
      </c>
      <c r="CJ263" s="0" t="s">
        <v>3572</v>
      </c>
      <c r="CO263" s="0" t="s">
        <v>3567</v>
      </c>
    </row>
    <row r="264" customFormat="false" ht="22.5" hidden="false" customHeight="false" outlineLevel="0" collapsed="false">
      <c r="A264" s="0" t="s">
        <v>96</v>
      </c>
      <c r="B264" s="0" t="s">
        <v>3573</v>
      </c>
      <c r="C264" s="0" t="s">
        <v>98</v>
      </c>
      <c r="D264" s="0" t="s">
        <v>99</v>
      </c>
      <c r="E264" s="0" t="s">
        <v>3574</v>
      </c>
      <c r="F264" s="1" t="s">
        <v>201</v>
      </c>
      <c r="L264" s="0" t="str">
        <f aca="false">"1648"</f>
        <v>1648</v>
      </c>
      <c r="M264" s="0" t="s">
        <v>715</v>
      </c>
      <c r="T264" s="0" t="s">
        <v>3165</v>
      </c>
      <c r="U264" s="1" t="s">
        <v>3575</v>
      </c>
      <c r="V264" s="1" t="s">
        <v>3576</v>
      </c>
      <c r="AB264" s="0" t="s">
        <v>3577</v>
      </c>
      <c r="AD264" s="1" t="s">
        <v>234</v>
      </c>
      <c r="AE264" s="1" t="s">
        <v>3578</v>
      </c>
      <c r="AF264" s="1" t="s">
        <v>3368</v>
      </c>
      <c r="AG264" s="0" t="s">
        <v>1213</v>
      </c>
      <c r="AH264" s="0" t="s">
        <v>1214</v>
      </c>
      <c r="AI264" s="0" t="s">
        <v>3579</v>
      </c>
      <c r="AT264" s="0" t="s">
        <v>1321</v>
      </c>
      <c r="AU264" s="0" t="s">
        <v>112</v>
      </c>
      <c r="AY264" s="0" t="s">
        <v>3580</v>
      </c>
      <c r="BD264" s="0" t="s">
        <v>873</v>
      </c>
      <c r="BE264" s="0" t="s">
        <v>3581</v>
      </c>
      <c r="BF264" s="0" t="s">
        <v>142</v>
      </c>
      <c r="BJ264" s="0" t="s">
        <v>118</v>
      </c>
      <c r="BU264" s="0" t="s">
        <v>3582</v>
      </c>
      <c r="BX264" s="0" t="s">
        <v>3583</v>
      </c>
      <c r="CH264" s="0" t="s">
        <v>342</v>
      </c>
      <c r="CI264" s="0" t="s">
        <v>3583</v>
      </c>
      <c r="CJ264" s="1" t="s">
        <v>3584</v>
      </c>
      <c r="CO264" s="1" t="s">
        <v>3585</v>
      </c>
      <c r="CR264" s="0" t="s">
        <v>3586</v>
      </c>
    </row>
    <row r="265" customFormat="false" ht="12.8" hidden="false" customHeight="false" outlineLevel="0" collapsed="false">
      <c r="A265" s="0" t="s">
        <v>96</v>
      </c>
      <c r="B265" s="0" t="s">
        <v>3587</v>
      </c>
      <c r="C265" s="0" t="s">
        <v>224</v>
      </c>
      <c r="D265" s="0" t="s">
        <v>225</v>
      </c>
      <c r="E265" s="0" t="s">
        <v>3588</v>
      </c>
      <c r="L265" s="0" t="str">
        <f aca="false">"1641"</f>
        <v>1641</v>
      </c>
      <c r="M265" s="0" t="s">
        <v>448</v>
      </c>
      <c r="O265" s="0" t="s">
        <v>3589</v>
      </c>
      <c r="AG265" s="0" t="s">
        <v>895</v>
      </c>
      <c r="AH265" s="0" t="s">
        <v>896</v>
      </c>
      <c r="AI265" s="0" t="s">
        <v>3590</v>
      </c>
      <c r="AP265" s="0" t="s">
        <v>3591</v>
      </c>
      <c r="AT265" s="0" t="s">
        <v>906</v>
      </c>
      <c r="AU265" s="0" t="s">
        <v>112</v>
      </c>
      <c r="AW265" s="0" t="s">
        <v>907</v>
      </c>
      <c r="BU265" s="0" t="s">
        <v>3592</v>
      </c>
      <c r="BX265" s="0" t="s">
        <v>3593</v>
      </c>
      <c r="CI265" s="0" t="s">
        <v>3593</v>
      </c>
      <c r="CJ265" s="0" t="s">
        <v>3594</v>
      </c>
      <c r="CO265" s="0" t="s">
        <v>3587</v>
      </c>
    </row>
    <row r="266" customFormat="false" ht="22.5" hidden="false" customHeight="false" outlineLevel="0" collapsed="false">
      <c r="A266" s="0" t="s">
        <v>190</v>
      </c>
      <c r="B266" s="0" t="s">
        <v>3591</v>
      </c>
      <c r="C266" s="0" t="s">
        <v>895</v>
      </c>
      <c r="D266" s="0" t="s">
        <v>896</v>
      </c>
      <c r="E266" s="0" t="s">
        <v>3590</v>
      </c>
      <c r="L266" s="0" t="str">
        <f aca="false">"1774"</f>
        <v>1774</v>
      </c>
      <c r="M266" s="1" t="s">
        <v>3595</v>
      </c>
      <c r="O266" s="1" t="s">
        <v>3596</v>
      </c>
      <c r="T266" s="0" t="s">
        <v>930</v>
      </c>
      <c r="AA266" s="0" t="str">
        <f aca="false">"10252452"</f>
        <v>10252452</v>
      </c>
      <c r="AB266" s="0" t="s">
        <v>3597</v>
      </c>
      <c r="AT266" s="0" t="s">
        <v>906</v>
      </c>
      <c r="AU266" s="0" t="s">
        <v>112</v>
      </c>
      <c r="BC266" s="0" t="str">
        <f aca="false">"636331350"</f>
        <v>636331350</v>
      </c>
      <c r="BD266" s="0" t="s">
        <v>873</v>
      </c>
      <c r="BE266" s="0" t="s">
        <v>3598</v>
      </c>
      <c r="BJ266" s="0" t="s">
        <v>118</v>
      </c>
      <c r="BX266" s="0" t="s">
        <v>3599</v>
      </c>
      <c r="CI266" s="0" t="s">
        <v>3599</v>
      </c>
      <c r="CP266" s="0" t="s">
        <v>3600</v>
      </c>
    </row>
    <row r="267" customFormat="false" ht="12.8" hidden="false" customHeight="false" outlineLevel="0" collapsed="false">
      <c r="A267" s="0" t="s">
        <v>96</v>
      </c>
      <c r="B267" s="0" t="s">
        <v>3601</v>
      </c>
      <c r="C267" s="0" t="s">
        <v>224</v>
      </c>
      <c r="D267" s="0" t="s">
        <v>225</v>
      </c>
      <c r="E267" s="0" t="s">
        <v>3602</v>
      </c>
      <c r="K267" s="0" t="s">
        <v>1853</v>
      </c>
      <c r="U267" s="0" t="s">
        <v>1546</v>
      </c>
      <c r="V267" s="0" t="s">
        <v>3603</v>
      </c>
      <c r="AT267" s="0" t="s">
        <v>906</v>
      </c>
      <c r="AU267" s="0" t="s">
        <v>892</v>
      </c>
      <c r="BC267" s="0" t="str">
        <f aca="false">"235272639"</f>
        <v>235272639</v>
      </c>
      <c r="CJ267" s="0" t="s">
        <v>3604</v>
      </c>
      <c r="CO267" s="0" t="s">
        <v>3601</v>
      </c>
    </row>
    <row r="268" customFormat="false" ht="33.1" hidden="false" customHeight="false" outlineLevel="0" collapsed="false">
      <c r="A268" s="0" t="s">
        <v>445</v>
      </c>
      <c r="B268" s="0" t="s">
        <v>3605</v>
      </c>
      <c r="C268" s="0" t="s">
        <v>224</v>
      </c>
      <c r="D268" s="0" t="s">
        <v>225</v>
      </c>
      <c r="E268" s="0" t="s">
        <v>3606</v>
      </c>
      <c r="L268" s="0" t="str">
        <f aca="false">"1640"</f>
        <v>1640</v>
      </c>
      <c r="M268" s="1" t="s">
        <v>1414</v>
      </c>
      <c r="O268" s="1" t="s">
        <v>3607</v>
      </c>
      <c r="T268" s="0" t="s">
        <v>1150</v>
      </c>
      <c r="Z268" s="0" t="s">
        <v>3608</v>
      </c>
      <c r="AG268" s="0" t="s">
        <v>224</v>
      </c>
      <c r="AH268" s="0" t="s">
        <v>225</v>
      </c>
      <c r="AI268" s="0" t="s">
        <v>3609</v>
      </c>
      <c r="AS268" s="0" t="s">
        <v>3610</v>
      </c>
      <c r="AT268" s="0" t="s">
        <v>906</v>
      </c>
      <c r="AU268" s="0" t="s">
        <v>892</v>
      </c>
      <c r="AV268" s="0" t="s">
        <v>113</v>
      </c>
      <c r="AW268" s="0" t="s">
        <v>907</v>
      </c>
      <c r="AY268" s="0" t="s">
        <v>3611</v>
      </c>
      <c r="BC268" s="0" t="str">
        <f aca="false">"151669473"</f>
        <v>151669473</v>
      </c>
      <c r="BU268" s="0" t="s">
        <v>3612</v>
      </c>
      <c r="BX268" s="0" t="s">
        <v>3613</v>
      </c>
      <c r="CC268" s="0" t="s">
        <v>3614</v>
      </c>
      <c r="CH268" s="1" t="s">
        <v>1934</v>
      </c>
      <c r="CI268" s="0" t="s">
        <v>3613</v>
      </c>
      <c r="CJ268" s="0" t="s">
        <v>3615</v>
      </c>
      <c r="CO268" s="0" t="s">
        <v>3616</v>
      </c>
    </row>
    <row r="269" customFormat="false" ht="33.1" hidden="false" customHeight="false" outlineLevel="0" collapsed="false">
      <c r="A269" s="0" t="s">
        <v>445</v>
      </c>
      <c r="B269" s="0" t="s">
        <v>3617</v>
      </c>
      <c r="C269" s="0" t="s">
        <v>1783</v>
      </c>
      <c r="D269" s="0" t="s">
        <v>1150</v>
      </c>
      <c r="E269" s="0" t="s">
        <v>3618</v>
      </c>
      <c r="L269" s="0" t="str">
        <f aca="false">"1630"</f>
        <v>1630</v>
      </c>
      <c r="M269" s="1" t="s">
        <v>898</v>
      </c>
      <c r="N269" s="0" t="s">
        <v>1701</v>
      </c>
      <c r="O269" s="1" t="s">
        <v>3619</v>
      </c>
      <c r="T269" s="0" t="s">
        <v>1150</v>
      </c>
      <c r="Z269" s="0" t="s">
        <v>3620</v>
      </c>
      <c r="AB269" s="0" t="s">
        <v>3621</v>
      </c>
      <c r="AG269" s="0" t="s">
        <v>224</v>
      </c>
      <c r="AH269" s="0" t="s">
        <v>225</v>
      </c>
      <c r="AI269" s="0" t="s">
        <v>3622</v>
      </c>
      <c r="AT269" s="0" t="s">
        <v>3623</v>
      </c>
      <c r="AU269" s="0" t="s">
        <v>892</v>
      </c>
      <c r="AY269" s="0" t="s">
        <v>3624</v>
      </c>
      <c r="BC269" s="0" t="s">
        <v>3625</v>
      </c>
      <c r="CJ269" s="0" t="s">
        <v>3626</v>
      </c>
      <c r="CO269" s="0" t="s">
        <v>3617</v>
      </c>
    </row>
    <row r="270" customFormat="false" ht="43.75" hidden="false" customHeight="false" outlineLevel="0" collapsed="false">
      <c r="A270" s="0" t="s">
        <v>527</v>
      </c>
      <c r="B270" s="0" t="s">
        <v>3627</v>
      </c>
      <c r="C270" s="0" t="s">
        <v>98</v>
      </c>
      <c r="D270" s="0" t="s">
        <v>99</v>
      </c>
      <c r="E270" s="0" t="s">
        <v>3628</v>
      </c>
      <c r="F270" s="0" t="s">
        <v>255</v>
      </c>
      <c r="G270" s="0" t="s">
        <v>256</v>
      </c>
      <c r="L270" s="0" t="str">
        <f aca="false">"1748"</f>
        <v>1748</v>
      </c>
      <c r="M270" s="0" t="s">
        <v>553</v>
      </c>
      <c r="T270" s="0" t="s">
        <v>247</v>
      </c>
      <c r="U270" s="1" t="s">
        <v>3629</v>
      </c>
      <c r="V270" s="1" t="s">
        <v>3630</v>
      </c>
      <c r="AD270" s="1" t="s">
        <v>951</v>
      </c>
      <c r="AE270" s="1" t="s">
        <v>3631</v>
      </c>
      <c r="AF270" s="1" t="s">
        <v>953</v>
      </c>
      <c r="AT270" s="0" t="s">
        <v>139</v>
      </c>
      <c r="AU270" s="0" t="s">
        <v>892</v>
      </c>
      <c r="AV270" s="0" t="s">
        <v>113</v>
      </c>
      <c r="BJ270" s="0" t="s">
        <v>118</v>
      </c>
      <c r="BX270" s="1" t="s">
        <v>3632</v>
      </c>
      <c r="CC270" s="0" t="s">
        <v>3633</v>
      </c>
      <c r="CE270" s="0" t="s">
        <v>641</v>
      </c>
      <c r="CI270" s="1" t="s">
        <v>3632</v>
      </c>
      <c r="CR270" s="0" t="s">
        <v>3634</v>
      </c>
    </row>
    <row r="271" customFormat="false" ht="22.5" hidden="false" customHeight="false" outlineLevel="0" collapsed="false">
      <c r="A271" s="0" t="s">
        <v>445</v>
      </c>
      <c r="B271" s="0" t="s">
        <v>3635</v>
      </c>
      <c r="C271" s="0" t="s">
        <v>2696</v>
      </c>
      <c r="D271" s="1" t="s">
        <v>2697</v>
      </c>
      <c r="E271" s="0" t="s">
        <v>3636</v>
      </c>
      <c r="L271" s="0" t="str">
        <f aca="false">"1650"</f>
        <v>1650</v>
      </c>
      <c r="M271" s="1" t="s">
        <v>898</v>
      </c>
      <c r="O271" s="1" t="s">
        <v>3637</v>
      </c>
      <c r="T271" s="0" t="s">
        <v>3198</v>
      </c>
      <c r="Z271" s="0" t="s">
        <v>3638</v>
      </c>
      <c r="AT271" s="0" t="s">
        <v>906</v>
      </c>
      <c r="AU271" s="0" t="s">
        <v>892</v>
      </c>
      <c r="AV271" s="0" t="s">
        <v>113</v>
      </c>
      <c r="BC271" s="0" t="str">
        <f aca="false">"092228127"</f>
        <v>092228127</v>
      </c>
    </row>
    <row r="272" customFormat="false" ht="12.8" hidden="false" customHeight="false" outlineLevel="0" collapsed="false">
      <c r="A272" s="0" t="s">
        <v>445</v>
      </c>
      <c r="B272" s="0" t="s">
        <v>3639</v>
      </c>
      <c r="C272" s="0" t="s">
        <v>895</v>
      </c>
      <c r="D272" s="0" t="s">
        <v>896</v>
      </c>
      <c r="E272" s="0" t="s">
        <v>3640</v>
      </c>
      <c r="L272" s="0" t="str">
        <f aca="false">"1657"</f>
        <v>1657</v>
      </c>
      <c r="M272" s="0" t="s">
        <v>448</v>
      </c>
      <c r="O272" s="0" t="s">
        <v>3641</v>
      </c>
      <c r="Z272" s="0" t="s">
        <v>3642</v>
      </c>
      <c r="AB272" s="0" t="s">
        <v>3643</v>
      </c>
      <c r="AS272" s="0" t="s">
        <v>3644</v>
      </c>
      <c r="AT272" s="0" t="s">
        <v>906</v>
      </c>
      <c r="AU272" s="0" t="s">
        <v>872</v>
      </c>
      <c r="AW272" s="0" t="s">
        <v>907</v>
      </c>
      <c r="AZ272" s="0" t="s">
        <v>3645</v>
      </c>
      <c r="BC272" s="0" t="str">
        <f aca="false">"535443412"</f>
        <v>535443412</v>
      </c>
      <c r="BX272" s="0" t="s">
        <v>3646</v>
      </c>
      <c r="CI272" s="0" t="s">
        <v>3646</v>
      </c>
      <c r="CJ272" s="0" t="s">
        <v>3647</v>
      </c>
      <c r="CO272" s="0" t="s">
        <v>3639</v>
      </c>
    </row>
    <row r="273" customFormat="false" ht="12.8" hidden="false" customHeight="false" outlineLevel="0" collapsed="false">
      <c r="A273" s="0" t="s">
        <v>445</v>
      </c>
      <c r="B273" s="0" t="s">
        <v>3648</v>
      </c>
      <c r="C273" s="0" t="s">
        <v>242</v>
      </c>
      <c r="D273" s="0" t="s">
        <v>243</v>
      </c>
      <c r="E273" s="0" t="s">
        <v>3649</v>
      </c>
      <c r="L273" s="0" t="str">
        <f aca="false">"1657"</f>
        <v>1657</v>
      </c>
      <c r="M273" s="0" t="s">
        <v>448</v>
      </c>
      <c r="O273" s="0" t="s">
        <v>3650</v>
      </c>
      <c r="T273" s="0" t="s">
        <v>398</v>
      </c>
      <c r="AS273" s="0" t="s">
        <v>1199</v>
      </c>
      <c r="AT273" s="0" t="s">
        <v>906</v>
      </c>
      <c r="AU273" s="0" t="s">
        <v>112</v>
      </c>
      <c r="AV273" s="0" t="s">
        <v>113</v>
      </c>
      <c r="AW273" s="0" t="s">
        <v>907</v>
      </c>
      <c r="BW273" s="0" t="s">
        <v>3651</v>
      </c>
      <c r="CJ273" s="0" t="s">
        <v>3652</v>
      </c>
      <c r="CO273" s="0" t="s">
        <v>3653</v>
      </c>
    </row>
    <row r="274" customFormat="false" ht="43.75" hidden="false" customHeight="false" outlineLevel="0" collapsed="false">
      <c r="A274" s="0" t="s">
        <v>96</v>
      </c>
      <c r="B274" s="0" t="s">
        <v>3654</v>
      </c>
      <c r="C274" s="0" t="s">
        <v>3655</v>
      </c>
      <c r="D274" s="0" t="s">
        <v>3656</v>
      </c>
      <c r="E274" s="0" t="s">
        <v>3657</v>
      </c>
      <c r="F274" s="0" t="s">
        <v>131</v>
      </c>
      <c r="L274" s="0" t="str">
        <f aca="false">"1660"</f>
        <v>1660</v>
      </c>
      <c r="AB274" s="0" t="s">
        <v>3658</v>
      </c>
      <c r="AD274" s="0" t="s">
        <v>136</v>
      </c>
      <c r="AE274" s="0" t="s">
        <v>3659</v>
      </c>
      <c r="AF274" s="0" t="s">
        <v>109</v>
      </c>
      <c r="AT274" s="0" t="s">
        <v>906</v>
      </c>
      <c r="AU274" s="0" t="s">
        <v>112</v>
      </c>
      <c r="BV274" s="1" t="s">
        <v>3660</v>
      </c>
      <c r="BX274" s="1" t="s">
        <v>3661</v>
      </c>
      <c r="CF274" s="1" t="s">
        <v>3662</v>
      </c>
      <c r="CG274" s="0" t="s">
        <v>123</v>
      </c>
      <c r="CH274" s="0" t="s">
        <v>169</v>
      </c>
      <c r="CI274" s="1" t="s">
        <v>3661</v>
      </c>
      <c r="CJ274" s="0" t="s">
        <v>3663</v>
      </c>
      <c r="CL274" s="0" t="s">
        <v>3664</v>
      </c>
      <c r="CM274" s="0" t="s">
        <v>3664</v>
      </c>
      <c r="CO274" s="0" t="s">
        <v>3665</v>
      </c>
      <c r="CR274" s="0" t="s">
        <v>3666</v>
      </c>
    </row>
    <row r="275" customFormat="false" ht="22.5" hidden="false" customHeight="false" outlineLevel="0" collapsed="false">
      <c r="A275" s="0" t="s">
        <v>445</v>
      </c>
      <c r="B275" s="0" t="s">
        <v>3667</v>
      </c>
      <c r="C275" s="0" t="s">
        <v>1685</v>
      </c>
      <c r="D275" s="0" t="s">
        <v>1686</v>
      </c>
      <c r="E275" s="0" t="s">
        <v>3668</v>
      </c>
      <c r="L275" s="0" t="str">
        <f aca="false">"1679"</f>
        <v>1679</v>
      </c>
      <c r="M275" s="1" t="s">
        <v>898</v>
      </c>
      <c r="O275" s="1" t="s">
        <v>3669</v>
      </c>
      <c r="T275" s="0" t="s">
        <v>3670</v>
      </c>
      <c r="Z275" s="0" t="s">
        <v>3671</v>
      </c>
      <c r="AB275" s="0" t="s">
        <v>3672</v>
      </c>
      <c r="AS275" s="0" t="s">
        <v>3673</v>
      </c>
      <c r="AT275" s="0" t="s">
        <v>906</v>
      </c>
      <c r="AU275" s="0" t="s">
        <v>112</v>
      </c>
      <c r="AY275" s="0" t="s">
        <v>3674</v>
      </c>
      <c r="AZ275" s="0" t="s">
        <v>3675</v>
      </c>
      <c r="BC275" s="0" t="str">
        <f aca="false">"536833680"</f>
        <v>536833680</v>
      </c>
      <c r="CJ275" s="0" t="s">
        <v>3676</v>
      </c>
      <c r="CO275" s="0" t="s">
        <v>3667</v>
      </c>
    </row>
    <row r="276" customFormat="false" ht="22.5" hidden="false" customHeight="false" outlineLevel="0" collapsed="false">
      <c r="A276" s="0" t="s">
        <v>445</v>
      </c>
      <c r="B276" s="0" t="s">
        <v>3677</v>
      </c>
      <c r="C276" s="0" t="s">
        <v>224</v>
      </c>
      <c r="D276" s="0" t="s">
        <v>225</v>
      </c>
      <c r="E276" s="0" t="s">
        <v>3678</v>
      </c>
      <c r="F276" s="0" t="s">
        <v>192</v>
      </c>
      <c r="H276" s="0" t="s">
        <v>102</v>
      </c>
      <c r="L276" s="0" t="str">
        <f aca="false">"1679"</f>
        <v>1679</v>
      </c>
      <c r="M276" s="1" t="s">
        <v>193</v>
      </c>
      <c r="O276" s="1" t="s">
        <v>3679</v>
      </c>
      <c r="T276" s="0" t="s">
        <v>99</v>
      </c>
      <c r="Z276" s="0" t="s">
        <v>3680</v>
      </c>
      <c r="AB276" s="0" t="s">
        <v>3681</v>
      </c>
      <c r="AS276" s="0" t="s">
        <v>3682</v>
      </c>
      <c r="AT276" s="0" t="s">
        <v>906</v>
      </c>
      <c r="AU276" s="0" t="s">
        <v>112</v>
      </c>
      <c r="BC276" s="0" t="str">
        <f aca="false">"536691541"</f>
        <v>536691541</v>
      </c>
      <c r="BD276" s="0" t="s">
        <v>873</v>
      </c>
      <c r="BE276" s="0" t="s">
        <v>3683</v>
      </c>
      <c r="BJ276" s="0" t="s">
        <v>118</v>
      </c>
      <c r="BU276" s="0" t="s">
        <v>3684</v>
      </c>
      <c r="CJ276" s="0" t="s">
        <v>3685</v>
      </c>
      <c r="CO276" s="0" t="s">
        <v>3686</v>
      </c>
    </row>
    <row r="277" customFormat="false" ht="86.25" hidden="false" customHeight="false" outlineLevel="0" collapsed="false">
      <c r="A277" s="0" t="s">
        <v>445</v>
      </c>
      <c r="B277" s="0" t="s">
        <v>3687</v>
      </c>
      <c r="C277" s="0" t="s">
        <v>224</v>
      </c>
      <c r="D277" s="0" t="s">
        <v>225</v>
      </c>
      <c r="E277" s="0" t="s">
        <v>3688</v>
      </c>
      <c r="L277" s="0" t="str">
        <f aca="false">"1680"</f>
        <v>1680</v>
      </c>
      <c r="M277" s="1" t="s">
        <v>898</v>
      </c>
      <c r="O277" s="1" t="s">
        <v>3689</v>
      </c>
      <c r="T277" s="0" t="s">
        <v>3690</v>
      </c>
      <c r="Z277" s="0" t="s">
        <v>3691</v>
      </c>
      <c r="AB277" s="0" t="s">
        <v>3692</v>
      </c>
      <c r="AS277" s="0" t="s">
        <v>3693</v>
      </c>
      <c r="AT277" s="0" t="s">
        <v>3623</v>
      </c>
      <c r="AU277" s="0" t="s">
        <v>112</v>
      </c>
      <c r="AV277" s="0" t="s">
        <v>113</v>
      </c>
      <c r="AW277" s="0" t="s">
        <v>907</v>
      </c>
      <c r="AY277" s="0" t="s">
        <v>3694</v>
      </c>
      <c r="AZ277" s="0" t="s">
        <v>3695</v>
      </c>
      <c r="BC277" s="0" t="str">
        <f aca="false">"153529377"</f>
        <v>153529377</v>
      </c>
      <c r="BD277" s="0" t="s">
        <v>873</v>
      </c>
      <c r="BE277" s="0" t="s">
        <v>3696</v>
      </c>
      <c r="BJ277" s="0" t="s">
        <v>118</v>
      </c>
      <c r="BU277" s="1" t="s">
        <v>3697</v>
      </c>
      <c r="BV277" s="1" t="s">
        <v>3698</v>
      </c>
      <c r="BX277" s="0" t="s">
        <v>3699</v>
      </c>
      <c r="CF277" s="1" t="s">
        <v>3700</v>
      </c>
      <c r="CG277" s="0" t="s">
        <v>123</v>
      </c>
      <c r="CH277" s="0" t="s">
        <v>298</v>
      </c>
      <c r="CI277" s="0" t="s">
        <v>3699</v>
      </c>
      <c r="CJ277" s="0" t="s">
        <v>3701</v>
      </c>
      <c r="CL277" s="0" t="s">
        <v>3702</v>
      </c>
      <c r="CM277" s="0" t="s">
        <v>3702</v>
      </c>
      <c r="CO277" s="0" t="s">
        <v>3703</v>
      </c>
      <c r="CR277" s="0" t="s">
        <v>3704</v>
      </c>
    </row>
    <row r="278" customFormat="false" ht="22.5" hidden="false" customHeight="false" outlineLevel="0" collapsed="false">
      <c r="A278" s="0" t="s">
        <v>190</v>
      </c>
      <c r="B278" s="0" t="s">
        <v>3705</v>
      </c>
      <c r="C278" s="0" t="s">
        <v>224</v>
      </c>
      <c r="D278" s="0" t="s">
        <v>225</v>
      </c>
      <c r="E278" s="0" t="s">
        <v>3706</v>
      </c>
      <c r="F278" s="0" t="s">
        <v>192</v>
      </c>
      <c r="H278" s="0" t="s">
        <v>102</v>
      </c>
      <c r="L278" s="0" t="str">
        <f aca="false">"1707"</f>
        <v>1707</v>
      </c>
      <c r="M278" s="1" t="s">
        <v>898</v>
      </c>
      <c r="O278" s="1" t="s">
        <v>3707</v>
      </c>
      <c r="T278" s="1" t="s">
        <v>3708</v>
      </c>
      <c r="AB278" s="0" t="s">
        <v>3709</v>
      </c>
      <c r="AS278" s="0" t="s">
        <v>3710</v>
      </c>
      <c r="AT278" s="0" t="s">
        <v>906</v>
      </c>
      <c r="AU278" s="0" t="s">
        <v>112</v>
      </c>
      <c r="AW278" s="0" t="s">
        <v>907</v>
      </c>
      <c r="BC278" s="0" t="str">
        <f aca="false">"196245338"</f>
        <v>196245338</v>
      </c>
      <c r="BD278" s="0" t="s">
        <v>1117</v>
      </c>
      <c r="BE278" s="0" t="s">
        <v>3711</v>
      </c>
      <c r="BJ278" s="0" t="s">
        <v>118</v>
      </c>
      <c r="BV278" s="0" t="s">
        <v>3712</v>
      </c>
      <c r="CP278" s="1" t="s">
        <v>3713</v>
      </c>
    </row>
    <row r="279" customFormat="false" ht="22.5" hidden="false" customHeight="false" outlineLevel="0" collapsed="false">
      <c r="A279" s="0" t="s">
        <v>445</v>
      </c>
      <c r="B279" s="0" t="s">
        <v>3714</v>
      </c>
      <c r="C279" s="0" t="s">
        <v>224</v>
      </c>
      <c r="D279" s="0" t="s">
        <v>225</v>
      </c>
      <c r="E279" s="0" t="s">
        <v>3715</v>
      </c>
      <c r="L279" s="0" t="str">
        <f aca="false">"1707"</f>
        <v>1707</v>
      </c>
      <c r="M279" s="1" t="s">
        <v>193</v>
      </c>
      <c r="O279" s="1" t="s">
        <v>3707</v>
      </c>
      <c r="T279" s="1" t="s">
        <v>3708</v>
      </c>
      <c r="AP279" s="0" t="s">
        <v>3705</v>
      </c>
      <c r="AQ279" s="0" t="s">
        <v>3716</v>
      </c>
      <c r="AT279" s="0" t="s">
        <v>906</v>
      </c>
      <c r="AU279" s="0" t="s">
        <v>1873</v>
      </c>
      <c r="AW279" s="0" t="s">
        <v>907</v>
      </c>
      <c r="CJ279" s="0" t="s">
        <v>3717</v>
      </c>
      <c r="CO279" s="0" t="s">
        <v>3714</v>
      </c>
    </row>
    <row r="280" customFormat="false" ht="12.8" hidden="false" customHeight="false" outlineLevel="0" collapsed="false">
      <c r="A280" s="0" t="s">
        <v>445</v>
      </c>
      <c r="B280" s="0" t="s">
        <v>3718</v>
      </c>
      <c r="C280" s="0" t="s">
        <v>224</v>
      </c>
      <c r="D280" s="0" t="s">
        <v>225</v>
      </c>
      <c r="E280" s="0" t="s">
        <v>3719</v>
      </c>
      <c r="M280" s="0" t="s">
        <v>448</v>
      </c>
      <c r="O280" s="0" t="s">
        <v>3720</v>
      </c>
      <c r="AB280" s="0" t="s">
        <v>3721</v>
      </c>
      <c r="AP280" s="0" t="s">
        <v>3705</v>
      </c>
      <c r="AQ280" s="0" t="str">
        <f aca="false">"743"</f>
        <v>743</v>
      </c>
      <c r="AT280" s="0" t="s">
        <v>906</v>
      </c>
      <c r="AU280" s="0" t="s">
        <v>1873</v>
      </c>
      <c r="AW280" s="0" t="s">
        <v>907</v>
      </c>
      <c r="CH280" s="0" t="s">
        <v>454</v>
      </c>
      <c r="CJ280" s="0" t="s">
        <v>3722</v>
      </c>
      <c r="CO280" s="0" t="s">
        <v>3718</v>
      </c>
    </row>
    <row r="281" customFormat="false" ht="65" hidden="false" customHeight="false" outlineLevel="0" collapsed="false">
      <c r="A281" s="0" t="s">
        <v>445</v>
      </c>
      <c r="B281" s="0" t="s">
        <v>3723</v>
      </c>
      <c r="C281" s="0" t="s">
        <v>2649</v>
      </c>
      <c r="D281" s="0" t="s">
        <v>2650</v>
      </c>
      <c r="E281" s="0" t="s">
        <v>3724</v>
      </c>
      <c r="L281" s="0" t="str">
        <f aca="false">"1698"</f>
        <v>1698</v>
      </c>
      <c r="M281" s="0" t="s">
        <v>448</v>
      </c>
      <c r="O281" s="0" t="s">
        <v>3725</v>
      </c>
      <c r="R281" s="0" t="s">
        <v>3726</v>
      </c>
      <c r="T281" s="0" t="s">
        <v>3727</v>
      </c>
      <c r="Z281" s="0" t="s">
        <v>3728</v>
      </c>
      <c r="AB281" s="0" t="s">
        <v>3729</v>
      </c>
      <c r="AS281" s="0" t="s">
        <v>3730</v>
      </c>
      <c r="AT281" s="0" t="s">
        <v>906</v>
      </c>
      <c r="AU281" s="0" t="s">
        <v>112</v>
      </c>
      <c r="AV281" s="0" t="s">
        <v>113</v>
      </c>
      <c r="AW281" s="0" t="s">
        <v>907</v>
      </c>
      <c r="AY281" s="0" t="s">
        <v>3731</v>
      </c>
      <c r="BC281" s="0" t="str">
        <f aca="false">"537350764"</f>
        <v>537350764</v>
      </c>
      <c r="BU281" s="1" t="s">
        <v>3732</v>
      </c>
      <c r="BV281" s="1" t="s">
        <v>3733</v>
      </c>
      <c r="BX281" s="0" t="s">
        <v>3734</v>
      </c>
      <c r="CF281" s="1" t="s">
        <v>3735</v>
      </c>
      <c r="CG281" s="0" t="s">
        <v>123</v>
      </c>
      <c r="CH281" s="0" t="s">
        <v>454</v>
      </c>
      <c r="CI281" s="0" t="s">
        <v>3734</v>
      </c>
      <c r="CJ281" s="0" t="s">
        <v>3736</v>
      </c>
      <c r="CL281" s="0" t="s">
        <v>3737</v>
      </c>
      <c r="CM281" s="0" t="s">
        <v>3737</v>
      </c>
      <c r="CO281" s="0" t="s">
        <v>3723</v>
      </c>
      <c r="CR281" s="0" t="s">
        <v>3738</v>
      </c>
    </row>
    <row r="282" customFormat="false" ht="12.8" hidden="false" customHeight="false" outlineLevel="0" collapsed="false">
      <c r="A282" s="0" t="s">
        <v>445</v>
      </c>
      <c r="B282" s="0" t="s">
        <v>3739</v>
      </c>
      <c r="C282" s="0" t="s">
        <v>242</v>
      </c>
      <c r="D282" s="0" t="s">
        <v>243</v>
      </c>
      <c r="E282" s="0" t="s">
        <v>3740</v>
      </c>
      <c r="L282" s="0" t="str">
        <f aca="false">"1706"</f>
        <v>1706</v>
      </c>
      <c r="AS282" s="0" t="s">
        <v>3561</v>
      </c>
      <c r="AT282" s="0" t="s">
        <v>906</v>
      </c>
      <c r="AU282" s="0" t="s">
        <v>1873</v>
      </c>
      <c r="AV282" s="0" t="s">
        <v>113</v>
      </c>
      <c r="AW282" s="0" t="s">
        <v>907</v>
      </c>
      <c r="BV282" s="0" t="s">
        <v>3741</v>
      </c>
      <c r="CH282" s="0" t="s">
        <v>342</v>
      </c>
      <c r="CJ282" s="0" t="s">
        <v>3742</v>
      </c>
      <c r="CO282" s="0" t="s">
        <v>3739</v>
      </c>
    </row>
    <row r="283" customFormat="false" ht="65" hidden="false" customHeight="false" outlineLevel="0" collapsed="false">
      <c r="A283" s="0" t="s">
        <v>445</v>
      </c>
      <c r="B283" s="0" t="s">
        <v>3743</v>
      </c>
      <c r="C283" s="0" t="s">
        <v>2649</v>
      </c>
      <c r="D283" s="0" t="s">
        <v>2650</v>
      </c>
      <c r="E283" s="0" t="s">
        <v>3744</v>
      </c>
      <c r="L283" s="0" t="str">
        <f aca="false">"1708"</f>
        <v>1708</v>
      </c>
      <c r="M283" s="1" t="s">
        <v>898</v>
      </c>
      <c r="O283" s="1" t="s">
        <v>3745</v>
      </c>
      <c r="T283" s="0" t="s">
        <v>2650</v>
      </c>
      <c r="AB283" s="0" t="s">
        <v>3746</v>
      </c>
      <c r="AS283" s="0" t="s">
        <v>3561</v>
      </c>
      <c r="AT283" s="0" t="s">
        <v>906</v>
      </c>
      <c r="AU283" s="0" t="s">
        <v>112</v>
      </c>
      <c r="AV283" s="0" t="s">
        <v>113</v>
      </c>
      <c r="AW283" s="0" t="s">
        <v>907</v>
      </c>
      <c r="BC283" s="0" t="str">
        <f aca="false">"191544183"</f>
        <v>191544183</v>
      </c>
      <c r="BV283" s="1" t="s">
        <v>3747</v>
      </c>
      <c r="BX283" s="1" t="s">
        <v>3748</v>
      </c>
      <c r="CF283" s="1" t="s">
        <v>3749</v>
      </c>
      <c r="CG283" s="0" t="s">
        <v>123</v>
      </c>
      <c r="CH283" s="0" t="s">
        <v>145</v>
      </c>
      <c r="CI283" s="1" t="s">
        <v>3748</v>
      </c>
      <c r="CJ283" s="0" t="s">
        <v>3750</v>
      </c>
      <c r="CL283" s="0" t="s">
        <v>3751</v>
      </c>
      <c r="CM283" s="0" t="s">
        <v>3751</v>
      </c>
      <c r="CO283" s="0" t="s">
        <v>3752</v>
      </c>
      <c r="CR283" s="0" t="s">
        <v>3753</v>
      </c>
    </row>
    <row r="284" customFormat="false" ht="33.1" hidden="false" customHeight="false" outlineLevel="0" collapsed="false">
      <c r="A284" s="0" t="s">
        <v>445</v>
      </c>
      <c r="B284" s="0" t="s">
        <v>3754</v>
      </c>
      <c r="C284" s="0" t="s">
        <v>397</v>
      </c>
      <c r="D284" s="0" t="s">
        <v>398</v>
      </c>
      <c r="E284" s="0" t="s">
        <v>3755</v>
      </c>
      <c r="L284" s="0" t="str">
        <f aca="false">"1712"</f>
        <v>1712</v>
      </c>
      <c r="M284" s="1" t="s">
        <v>3756</v>
      </c>
      <c r="O284" s="1" t="s">
        <v>3757</v>
      </c>
      <c r="T284" s="0" t="s">
        <v>1150</v>
      </c>
      <c r="AA284" s="0" t="str">
        <f aca="false">"10192905"</f>
        <v>10192905</v>
      </c>
      <c r="AB284" s="0" t="s">
        <v>3758</v>
      </c>
      <c r="AS284" s="0" t="s">
        <v>3759</v>
      </c>
      <c r="AT284" s="0" t="s">
        <v>906</v>
      </c>
      <c r="AU284" s="0" t="s">
        <v>1873</v>
      </c>
      <c r="AW284" s="0" t="s">
        <v>907</v>
      </c>
      <c r="AY284" s="0" t="s">
        <v>3760</v>
      </c>
      <c r="BC284" s="0" t="str">
        <f aca="false">"377265993"</f>
        <v>377265993</v>
      </c>
      <c r="CJ284" s="0" t="s">
        <v>3761</v>
      </c>
      <c r="CO284" s="0" t="s">
        <v>3762</v>
      </c>
    </row>
    <row r="285" customFormat="false" ht="65" hidden="false" customHeight="false" outlineLevel="0" collapsed="false">
      <c r="A285" s="0" t="s">
        <v>445</v>
      </c>
      <c r="B285" s="0" t="s">
        <v>3763</v>
      </c>
      <c r="C285" s="0" t="s">
        <v>242</v>
      </c>
      <c r="D285" s="0" t="s">
        <v>243</v>
      </c>
      <c r="E285" s="0" t="s">
        <v>3764</v>
      </c>
      <c r="L285" s="0" t="str">
        <f aca="false">"1713"</f>
        <v>1713</v>
      </c>
      <c r="T285" s="0" t="s">
        <v>1057</v>
      </c>
      <c r="U285" s="1" t="s">
        <v>3765</v>
      </c>
      <c r="V285" s="0" t="s">
        <v>3766</v>
      </c>
      <c r="AA285" s="0" t="s">
        <v>3767</v>
      </c>
      <c r="AB285" s="0" t="s">
        <v>3768</v>
      </c>
      <c r="AG285" s="0" t="s">
        <v>2649</v>
      </c>
      <c r="AH285" s="0" t="s">
        <v>2650</v>
      </c>
      <c r="AI285" s="0" t="s">
        <v>3769</v>
      </c>
      <c r="AM285" s="0" t="s">
        <v>3770</v>
      </c>
      <c r="AS285" s="0" t="s">
        <v>3771</v>
      </c>
      <c r="AT285" s="0" t="s">
        <v>906</v>
      </c>
      <c r="AU285" s="0" t="s">
        <v>112</v>
      </c>
      <c r="AW285" s="0" t="s">
        <v>907</v>
      </c>
      <c r="AY285" s="0" t="s">
        <v>3772</v>
      </c>
      <c r="BC285" s="0" t="str">
        <f aca="false">"228019737"</f>
        <v>228019737</v>
      </c>
      <c r="BX285" s="1" t="s">
        <v>3773</v>
      </c>
      <c r="CF285" s="1" t="s">
        <v>3774</v>
      </c>
      <c r="CG285" s="0" t="s">
        <v>123</v>
      </c>
      <c r="CH285" s="0" t="s">
        <v>454</v>
      </c>
      <c r="CI285" s="1" t="s">
        <v>3773</v>
      </c>
      <c r="CJ285" s="0" t="s">
        <v>3775</v>
      </c>
      <c r="CL285" s="0" t="s">
        <v>3776</v>
      </c>
      <c r="CM285" s="0" t="s">
        <v>3776</v>
      </c>
      <c r="CO285" s="0" t="s">
        <v>3777</v>
      </c>
      <c r="CR285" s="0" t="s">
        <v>3778</v>
      </c>
    </row>
    <row r="286" customFormat="false" ht="86.25" hidden="false" customHeight="false" outlineLevel="0" collapsed="false">
      <c r="A286" s="0" t="s">
        <v>445</v>
      </c>
      <c r="B286" s="0" t="s">
        <v>1082</v>
      </c>
      <c r="C286" s="0" t="s">
        <v>3779</v>
      </c>
      <c r="D286" s="0" t="s">
        <v>398</v>
      </c>
      <c r="E286" s="0" t="s">
        <v>3780</v>
      </c>
      <c r="L286" s="0" t="str">
        <f aca="false">"1715"</f>
        <v>1715</v>
      </c>
      <c r="M286" s="1" t="s">
        <v>3781</v>
      </c>
      <c r="O286" s="1" t="s">
        <v>3782</v>
      </c>
      <c r="T286" s="0" t="s">
        <v>1150</v>
      </c>
      <c r="U286" s="1" t="s">
        <v>3522</v>
      </c>
      <c r="V286" s="1" t="s">
        <v>3523</v>
      </c>
      <c r="AA286" s="2" t="s">
        <v>3783</v>
      </c>
      <c r="AB286" s="0" t="s">
        <v>3784</v>
      </c>
      <c r="AT286" s="0" t="s">
        <v>3785</v>
      </c>
      <c r="AU286" s="0" t="s">
        <v>1873</v>
      </c>
      <c r="AY286" s="0" t="s">
        <v>3786</v>
      </c>
      <c r="BC286" s="0" t="str">
        <f aca="false">" 042246741"</f>
        <v> 042246741</v>
      </c>
      <c r="BX286" s="1" t="s">
        <v>3787</v>
      </c>
      <c r="CF286" s="0" t="s">
        <v>3788</v>
      </c>
      <c r="CG286" s="0" t="s">
        <v>123</v>
      </c>
      <c r="CH286" s="1" t="s">
        <v>3789</v>
      </c>
      <c r="CI286" s="1" t="s">
        <v>3787</v>
      </c>
      <c r="CJ286" s="0" t="s">
        <v>3790</v>
      </c>
      <c r="CL286" s="1" t="s">
        <v>3791</v>
      </c>
      <c r="CM286" s="1" t="s">
        <v>3791</v>
      </c>
      <c r="CO286" s="0" t="s">
        <v>3792</v>
      </c>
      <c r="CR286" s="0" t="s">
        <v>3793</v>
      </c>
    </row>
    <row r="287" customFormat="false" ht="22.5" hidden="false" customHeight="false" outlineLevel="0" collapsed="false">
      <c r="A287" s="0" t="s">
        <v>445</v>
      </c>
      <c r="B287" s="0" t="s">
        <v>3794</v>
      </c>
      <c r="C287" s="0" t="s">
        <v>2696</v>
      </c>
      <c r="D287" s="1" t="s">
        <v>2697</v>
      </c>
      <c r="E287" s="0" t="s">
        <v>3795</v>
      </c>
      <c r="L287" s="0" t="str">
        <f aca="false">"1718"</f>
        <v>1718</v>
      </c>
      <c r="M287" s="0" t="s">
        <v>448</v>
      </c>
      <c r="N287" s="0" t="s">
        <v>1701</v>
      </c>
      <c r="O287" s="0" t="s">
        <v>3796</v>
      </c>
      <c r="AA287" s="0" t="str">
        <f aca="false">"90449940"</f>
        <v>90449940</v>
      </c>
      <c r="AB287" s="0" t="s">
        <v>3797</v>
      </c>
      <c r="AS287" s="0" t="str">
        <f aca="false">"1"</f>
        <v>1</v>
      </c>
      <c r="AT287" s="0" t="s">
        <v>906</v>
      </c>
      <c r="AU287" s="0" t="s">
        <v>1873</v>
      </c>
      <c r="AV287" s="0" t="s">
        <v>113</v>
      </c>
      <c r="AW287" s="0" t="s">
        <v>907</v>
      </c>
      <c r="BC287" s="0" t="str">
        <f aca="false">"845721453"</f>
        <v>845721453</v>
      </c>
      <c r="BX287" s="0" t="s">
        <v>3798</v>
      </c>
      <c r="CI287" s="0" t="s">
        <v>3798</v>
      </c>
      <c r="CJ287" s="0" t="s">
        <v>3799</v>
      </c>
      <c r="CO287" s="0" t="s">
        <v>3800</v>
      </c>
    </row>
    <row r="288" customFormat="false" ht="22.5" hidden="false" customHeight="false" outlineLevel="0" collapsed="false">
      <c r="A288" s="0" t="s">
        <v>190</v>
      </c>
      <c r="B288" s="0" t="s">
        <v>3801</v>
      </c>
      <c r="C288" s="0" t="s">
        <v>224</v>
      </c>
      <c r="D288" s="0" t="s">
        <v>225</v>
      </c>
      <c r="E288" s="0" t="s">
        <v>3802</v>
      </c>
      <c r="L288" s="0" t="str">
        <f aca="false">"1935"</f>
        <v>1935</v>
      </c>
      <c r="M288" s="1" t="s">
        <v>3803</v>
      </c>
      <c r="O288" s="1" t="s">
        <v>3804</v>
      </c>
      <c r="R288" s="0" t="s">
        <v>3805</v>
      </c>
      <c r="T288" s="0" t="s">
        <v>1050</v>
      </c>
      <c r="AS288" s="0" t="s">
        <v>3806</v>
      </c>
      <c r="AT288" s="0" t="s">
        <v>906</v>
      </c>
      <c r="AU288" s="0" t="s">
        <v>892</v>
      </c>
      <c r="BC288" s="0" t="str">
        <f aca="false">"030919894"</f>
        <v>030919894</v>
      </c>
      <c r="BS288" s="0" t="s">
        <v>3807</v>
      </c>
      <c r="BT288" s="0" t="str">
        <f aca="false">"4"</f>
        <v>4</v>
      </c>
      <c r="CP288" s="1" t="s">
        <v>3808</v>
      </c>
    </row>
    <row r="289" customFormat="false" ht="22.5" hidden="false" customHeight="false" outlineLevel="0" collapsed="false">
      <c r="A289" s="0" t="s">
        <v>445</v>
      </c>
      <c r="B289" s="0" t="s">
        <v>3809</v>
      </c>
      <c r="C289" s="0" t="s">
        <v>224</v>
      </c>
      <c r="D289" s="0" t="s">
        <v>225</v>
      </c>
      <c r="E289" s="0" t="s">
        <v>3810</v>
      </c>
      <c r="L289" s="0" t="str">
        <f aca="false">"1718"</f>
        <v>1718</v>
      </c>
      <c r="M289" s="0" t="s">
        <v>448</v>
      </c>
      <c r="AB289" s="0" t="s">
        <v>3811</v>
      </c>
      <c r="AP289" s="0" t="s">
        <v>3801</v>
      </c>
      <c r="AT289" s="0" t="s">
        <v>906</v>
      </c>
      <c r="AU289" s="0" t="s">
        <v>1873</v>
      </c>
      <c r="AW289" s="0" t="s">
        <v>907</v>
      </c>
      <c r="AY289" s="0" t="s">
        <v>3812</v>
      </c>
      <c r="CH289" s="1" t="s">
        <v>3813</v>
      </c>
      <c r="CJ289" s="0" t="s">
        <v>3814</v>
      </c>
      <c r="CO289" s="0" t="s">
        <v>3809</v>
      </c>
    </row>
    <row r="290" customFormat="false" ht="43.75" hidden="false" customHeight="false" outlineLevel="0" collapsed="false">
      <c r="A290" s="0" t="s">
        <v>445</v>
      </c>
      <c r="B290" s="0" t="s">
        <v>3815</v>
      </c>
      <c r="C290" s="0" t="s">
        <v>242</v>
      </c>
      <c r="D290" s="0" t="s">
        <v>243</v>
      </c>
      <c r="E290" s="0" t="s">
        <v>3816</v>
      </c>
      <c r="L290" s="0" t="str">
        <f aca="false">"1720"</f>
        <v>1720</v>
      </c>
      <c r="M290" s="1" t="s">
        <v>2008</v>
      </c>
      <c r="O290" s="1" t="s">
        <v>3817</v>
      </c>
      <c r="T290" s="0" t="s">
        <v>3818</v>
      </c>
      <c r="AA290" s="2" t="s">
        <v>3819</v>
      </c>
      <c r="AB290" s="0" t="s">
        <v>3820</v>
      </c>
      <c r="AG290" s="0" t="s">
        <v>1783</v>
      </c>
      <c r="AH290" s="0" t="s">
        <v>1150</v>
      </c>
      <c r="AI290" s="0" t="s">
        <v>3821</v>
      </c>
      <c r="AS290" s="0" t="s">
        <v>3822</v>
      </c>
      <c r="AT290" s="0" t="s">
        <v>906</v>
      </c>
      <c r="AU290" s="0" t="s">
        <v>112</v>
      </c>
      <c r="AW290" s="0" t="s">
        <v>907</v>
      </c>
      <c r="BC290" s="0" t="str">
        <f aca="false">" 732356350"</f>
        <v> 732356350</v>
      </c>
      <c r="BX290" s="1" t="s">
        <v>3823</v>
      </c>
      <c r="CF290" s="1" t="s">
        <v>3824</v>
      </c>
      <c r="CG290" s="0" t="s">
        <v>123</v>
      </c>
      <c r="CH290" s="0" t="s">
        <v>625</v>
      </c>
      <c r="CI290" s="1" t="s">
        <v>3823</v>
      </c>
      <c r="CJ290" s="0" t="s">
        <v>3825</v>
      </c>
      <c r="CL290" s="0" t="s">
        <v>3826</v>
      </c>
      <c r="CM290" s="0" t="s">
        <v>3826</v>
      </c>
      <c r="CO290" s="0" t="s">
        <v>3827</v>
      </c>
      <c r="CR290" s="0" t="s">
        <v>3828</v>
      </c>
    </row>
    <row r="291" customFormat="false" ht="12.8" hidden="false" customHeight="false" outlineLevel="0" collapsed="false">
      <c r="A291" s="0" t="s">
        <v>445</v>
      </c>
      <c r="B291" s="0" t="s">
        <v>3829</v>
      </c>
      <c r="C291" s="0" t="s">
        <v>242</v>
      </c>
      <c r="D291" s="0" t="s">
        <v>243</v>
      </c>
      <c r="E291" s="0" t="s">
        <v>3830</v>
      </c>
      <c r="L291" s="0" t="str">
        <f aca="false">"1720"</f>
        <v>1720</v>
      </c>
      <c r="M291" s="0" t="s">
        <v>448</v>
      </c>
      <c r="O291" s="0" t="s">
        <v>3831</v>
      </c>
      <c r="AA291" s="0" t="str">
        <f aca="false">"90211855"</f>
        <v>90211855</v>
      </c>
      <c r="AB291" s="0" t="s">
        <v>3832</v>
      </c>
      <c r="AS291" s="0" t="s">
        <v>1170</v>
      </c>
      <c r="AT291" s="0" t="s">
        <v>906</v>
      </c>
      <c r="AU291" s="0" t="s">
        <v>1873</v>
      </c>
      <c r="AW291" s="0" t="s">
        <v>907</v>
      </c>
      <c r="AY291" s="0" t="s">
        <v>3833</v>
      </c>
      <c r="AZ291" s="0" t="s">
        <v>3834</v>
      </c>
      <c r="BX291" s="0" t="s">
        <v>3835</v>
      </c>
      <c r="CI291" s="0" t="s">
        <v>3835</v>
      </c>
      <c r="CJ291" s="0" t="s">
        <v>3836</v>
      </c>
      <c r="CO291" s="0" t="s">
        <v>3829</v>
      </c>
    </row>
    <row r="292" customFormat="false" ht="12.8" hidden="false" customHeight="false" outlineLevel="0" collapsed="false">
      <c r="A292" s="0" t="s">
        <v>865</v>
      </c>
      <c r="B292" s="0" t="s">
        <v>3837</v>
      </c>
      <c r="C292" s="0" t="s">
        <v>3838</v>
      </c>
      <c r="D292" s="0" t="s">
        <v>329</v>
      </c>
      <c r="E292" s="0" t="s">
        <v>3839</v>
      </c>
      <c r="L292" s="0" t="str">
        <f aca="false">"1722"</f>
        <v>1722</v>
      </c>
      <c r="M292" s="0" t="s">
        <v>870</v>
      </c>
      <c r="T292" s="0" t="s">
        <v>329</v>
      </c>
      <c r="AT292" s="0" t="s">
        <v>338</v>
      </c>
      <c r="AU292" s="0" t="s">
        <v>872</v>
      </c>
      <c r="BE292" s="0" t="s">
        <v>873</v>
      </c>
      <c r="CJ292" s="0" t="s">
        <v>3840</v>
      </c>
      <c r="CO292" s="0" t="s">
        <v>3841</v>
      </c>
    </row>
    <row r="293" customFormat="false" ht="12.8" hidden="false" customHeight="false" outlineLevel="0" collapsed="false">
      <c r="A293" s="0" t="s">
        <v>2200</v>
      </c>
      <c r="B293" s="0" t="s">
        <v>3842</v>
      </c>
      <c r="C293" s="0" t="s">
        <v>2347</v>
      </c>
      <c r="D293" s="0" t="s">
        <v>329</v>
      </c>
      <c r="E293" s="0" t="s">
        <v>3843</v>
      </c>
      <c r="L293" s="0" t="str">
        <f aca="false">"1693"</f>
        <v>1693</v>
      </c>
      <c r="R293" s="0" t="s">
        <v>3844</v>
      </c>
      <c r="T293" s="0" t="s">
        <v>329</v>
      </c>
      <c r="U293" s="0" t="s">
        <v>2205</v>
      </c>
      <c r="AT293" s="0" t="s">
        <v>338</v>
      </c>
      <c r="AU293" s="0" t="s">
        <v>872</v>
      </c>
      <c r="AY293" s="0" t="s">
        <v>3845</v>
      </c>
      <c r="CJ293" s="0" t="s">
        <v>3846</v>
      </c>
      <c r="CO293" s="0" t="s">
        <v>3842</v>
      </c>
    </row>
    <row r="294" customFormat="false" ht="22.5" hidden="false" customHeight="false" outlineLevel="0" collapsed="false">
      <c r="A294" s="0" t="s">
        <v>2200</v>
      </c>
      <c r="B294" s="0" t="s">
        <v>3847</v>
      </c>
      <c r="C294" s="0" t="s">
        <v>2347</v>
      </c>
      <c r="D294" s="0" t="s">
        <v>329</v>
      </c>
      <c r="E294" s="0" t="s">
        <v>3848</v>
      </c>
      <c r="L294" s="0" t="str">
        <f aca="false">"1684"</f>
        <v>1684</v>
      </c>
      <c r="M294" s="1" t="s">
        <v>2357</v>
      </c>
      <c r="O294" s="1" t="s">
        <v>3849</v>
      </c>
      <c r="R294" s="0" t="s">
        <v>3850</v>
      </c>
      <c r="T294" s="0" t="s">
        <v>329</v>
      </c>
      <c r="U294" s="0" t="s">
        <v>2205</v>
      </c>
      <c r="AB294" s="0" t="s">
        <v>3851</v>
      </c>
      <c r="AT294" s="0" t="s">
        <v>338</v>
      </c>
      <c r="AU294" s="0" t="s">
        <v>872</v>
      </c>
      <c r="AY294" s="0" t="s">
        <v>3852</v>
      </c>
      <c r="CJ294" s="0" t="s">
        <v>3853</v>
      </c>
      <c r="CO294" s="0" t="s">
        <v>3854</v>
      </c>
    </row>
    <row r="295" customFormat="false" ht="12.8" hidden="false" customHeight="false" outlineLevel="0" collapsed="false">
      <c r="A295" s="0" t="s">
        <v>326</v>
      </c>
      <c r="B295" s="0" t="s">
        <v>3855</v>
      </c>
      <c r="C295" s="0" t="s">
        <v>2347</v>
      </c>
      <c r="D295" s="0" t="s">
        <v>329</v>
      </c>
      <c r="E295" s="0" t="s">
        <v>3856</v>
      </c>
      <c r="L295" s="0" t="str">
        <f aca="false">"1680"</f>
        <v>1680</v>
      </c>
      <c r="T295" s="0" t="s">
        <v>329</v>
      </c>
      <c r="U295" s="0" t="s">
        <v>2205</v>
      </c>
      <c r="AB295" s="0" t="s">
        <v>3857</v>
      </c>
      <c r="AG295" s="0" t="s">
        <v>2136</v>
      </c>
      <c r="AH295" s="0" t="s">
        <v>329</v>
      </c>
      <c r="AI295" s="0" t="s">
        <v>3858</v>
      </c>
      <c r="AT295" s="0" t="s">
        <v>338</v>
      </c>
      <c r="AU295" s="0" t="s">
        <v>872</v>
      </c>
      <c r="AY295" s="0" t="s">
        <v>3859</v>
      </c>
      <c r="BD295" s="0" t="s">
        <v>873</v>
      </c>
      <c r="BE295" s="0" t="s">
        <v>3850</v>
      </c>
      <c r="CJ295" s="0" t="s">
        <v>3860</v>
      </c>
      <c r="CO295" s="0" t="s">
        <v>3861</v>
      </c>
    </row>
    <row r="296" customFormat="false" ht="12.8" hidden="false" customHeight="false" outlineLevel="0" collapsed="false">
      <c r="A296" s="0" t="s">
        <v>3862</v>
      </c>
      <c r="B296" s="0" t="s">
        <v>3863</v>
      </c>
      <c r="C296" s="0" t="s">
        <v>3456</v>
      </c>
      <c r="D296" s="0" t="s">
        <v>3457</v>
      </c>
      <c r="E296" s="0" t="s">
        <v>3864</v>
      </c>
      <c r="G296" s="0" t="s">
        <v>102</v>
      </c>
      <c r="L296" s="0" t="str">
        <f aca="false">"1727"</f>
        <v>1727</v>
      </c>
      <c r="M296" s="0" t="s">
        <v>870</v>
      </c>
      <c r="O296" s="0" t="s">
        <v>3865</v>
      </c>
      <c r="T296" s="0" t="s">
        <v>2147</v>
      </c>
      <c r="X296" s="0" t="s">
        <v>3866</v>
      </c>
      <c r="AB296" s="0" t="s">
        <v>3867</v>
      </c>
      <c r="AG296" s="0" t="s">
        <v>3868</v>
      </c>
      <c r="AH296" s="0" t="s">
        <v>3869</v>
      </c>
      <c r="AI296" s="0" t="s">
        <v>3870</v>
      </c>
      <c r="AO296" s="0" t="s">
        <v>3871</v>
      </c>
      <c r="AT296" s="0" t="s">
        <v>338</v>
      </c>
      <c r="AU296" s="0" t="s">
        <v>112</v>
      </c>
      <c r="BD296" s="0" t="s">
        <v>873</v>
      </c>
      <c r="BE296" s="0" t="s">
        <v>3872</v>
      </c>
      <c r="CJ296" s="0" t="s">
        <v>3873</v>
      </c>
      <c r="CO296" s="0" t="s">
        <v>3874</v>
      </c>
    </row>
    <row r="297" customFormat="false" ht="12.8" hidden="false" customHeight="false" outlineLevel="0" collapsed="false">
      <c r="A297" s="0" t="s">
        <v>2200</v>
      </c>
      <c r="B297" s="0" t="s">
        <v>3875</v>
      </c>
      <c r="C297" s="0" t="s">
        <v>2347</v>
      </c>
      <c r="D297" s="0" t="s">
        <v>329</v>
      </c>
      <c r="E297" s="0" t="s">
        <v>3876</v>
      </c>
      <c r="L297" s="0" t="str">
        <f aca="false">"1677"</f>
        <v>1677</v>
      </c>
      <c r="M297" s="0" t="s">
        <v>870</v>
      </c>
      <c r="O297" s="0" t="s">
        <v>3877</v>
      </c>
      <c r="R297" s="0" t="s">
        <v>3878</v>
      </c>
      <c r="T297" s="0" t="s">
        <v>329</v>
      </c>
      <c r="AT297" s="0" t="s">
        <v>338</v>
      </c>
      <c r="AU297" s="0" t="s">
        <v>872</v>
      </c>
      <c r="AY297" s="0" t="s">
        <v>3879</v>
      </c>
      <c r="CH297" s="0" t="s">
        <v>2205</v>
      </c>
      <c r="CJ297" s="0" t="s">
        <v>3880</v>
      </c>
      <c r="CO297" s="0" t="s">
        <v>3875</v>
      </c>
    </row>
    <row r="298" customFormat="false" ht="12.8" hidden="false" customHeight="false" outlineLevel="0" collapsed="false">
      <c r="A298" s="0" t="s">
        <v>326</v>
      </c>
      <c r="B298" s="0" t="s">
        <v>3881</v>
      </c>
      <c r="C298" s="0" t="s">
        <v>2347</v>
      </c>
      <c r="D298" s="0" t="s">
        <v>329</v>
      </c>
      <c r="E298" s="0" t="s">
        <v>3882</v>
      </c>
      <c r="L298" s="0" t="str">
        <f aca="false">"1689"</f>
        <v>1689</v>
      </c>
      <c r="T298" s="0" t="s">
        <v>329</v>
      </c>
      <c r="U298" s="0" t="s">
        <v>2205</v>
      </c>
      <c r="AO298" s="0" t="s">
        <v>3883</v>
      </c>
      <c r="AT298" s="0" t="s">
        <v>338</v>
      </c>
      <c r="AU298" s="0" t="s">
        <v>892</v>
      </c>
      <c r="AY298" s="0" t="s">
        <v>3884</v>
      </c>
      <c r="BD298" s="0" t="s">
        <v>873</v>
      </c>
      <c r="BE298" s="0" t="s">
        <v>3850</v>
      </c>
      <c r="CJ298" s="0" t="s">
        <v>3885</v>
      </c>
      <c r="CO298" s="0" t="s">
        <v>3886</v>
      </c>
    </row>
    <row r="299" customFormat="false" ht="12.8" hidden="false" customHeight="false" outlineLevel="0" collapsed="false">
      <c r="A299" s="0" t="s">
        <v>326</v>
      </c>
      <c r="B299" s="0" t="s">
        <v>3887</v>
      </c>
      <c r="C299" s="0" t="s">
        <v>2347</v>
      </c>
      <c r="D299" s="0" t="s">
        <v>329</v>
      </c>
      <c r="E299" s="0" t="s">
        <v>3888</v>
      </c>
      <c r="L299" s="0" t="str">
        <f aca="false">"1688"</f>
        <v>1688</v>
      </c>
      <c r="R299" s="0" t="s">
        <v>3850</v>
      </c>
      <c r="T299" s="0" t="s">
        <v>329</v>
      </c>
      <c r="U299" s="0" t="s">
        <v>2205</v>
      </c>
      <c r="AB299" s="0" t="s">
        <v>3889</v>
      </c>
      <c r="AG299" s="0" t="s">
        <v>2136</v>
      </c>
      <c r="AH299" s="0" t="s">
        <v>329</v>
      </c>
      <c r="AI299" s="0" t="s">
        <v>3890</v>
      </c>
      <c r="AT299" s="0" t="s">
        <v>338</v>
      </c>
      <c r="AU299" s="0" t="s">
        <v>892</v>
      </c>
      <c r="AY299" s="0" t="s">
        <v>3891</v>
      </c>
      <c r="CJ299" s="0" t="s">
        <v>3892</v>
      </c>
      <c r="CO299" s="0" t="s">
        <v>3893</v>
      </c>
    </row>
    <row r="300" customFormat="false" ht="12.8" hidden="false" customHeight="false" outlineLevel="0" collapsed="false">
      <c r="A300" s="0" t="s">
        <v>326</v>
      </c>
      <c r="B300" s="0" t="s">
        <v>3894</v>
      </c>
      <c r="C300" s="0" t="s">
        <v>2347</v>
      </c>
      <c r="D300" s="0" t="s">
        <v>329</v>
      </c>
      <c r="E300" s="0" t="s">
        <v>3895</v>
      </c>
      <c r="L300" s="0" t="str">
        <f aca="false">"1703"</f>
        <v>1703</v>
      </c>
      <c r="M300" s="0" t="s">
        <v>870</v>
      </c>
      <c r="O300" s="0" t="s">
        <v>3896</v>
      </c>
      <c r="T300" s="0" t="s">
        <v>329</v>
      </c>
      <c r="U300" s="0" t="s">
        <v>2205</v>
      </c>
      <c r="AB300" s="0" t="s">
        <v>3897</v>
      </c>
      <c r="AG300" s="0" t="s">
        <v>2347</v>
      </c>
      <c r="AH300" s="0" t="s">
        <v>329</v>
      </c>
      <c r="AI300" s="0" t="s">
        <v>3898</v>
      </c>
      <c r="AT300" s="0" t="s">
        <v>338</v>
      </c>
      <c r="AU300" s="0" t="s">
        <v>872</v>
      </c>
      <c r="AY300" s="0" t="s">
        <v>3899</v>
      </c>
      <c r="BD300" s="0" t="s">
        <v>873</v>
      </c>
      <c r="BE300" s="0" t="s">
        <v>3900</v>
      </c>
      <c r="CJ300" s="0" t="s">
        <v>3901</v>
      </c>
      <c r="CO300" s="0" t="s">
        <v>3902</v>
      </c>
    </row>
    <row r="301" customFormat="false" ht="12.8" hidden="false" customHeight="false" outlineLevel="0" collapsed="false">
      <c r="A301" s="0" t="s">
        <v>2200</v>
      </c>
      <c r="B301" s="0" t="s">
        <v>3903</v>
      </c>
      <c r="C301" s="0" t="s">
        <v>2202</v>
      </c>
      <c r="D301" s="0" t="s">
        <v>329</v>
      </c>
      <c r="E301" s="0" t="s">
        <v>3904</v>
      </c>
      <c r="L301" s="0" t="str">
        <f aca="false">"1713"</f>
        <v>1713</v>
      </c>
      <c r="M301" s="0" t="s">
        <v>3905</v>
      </c>
      <c r="O301" s="0" t="s">
        <v>3906</v>
      </c>
      <c r="T301" s="0" t="s">
        <v>329</v>
      </c>
      <c r="U301" s="0" t="s">
        <v>2205</v>
      </c>
      <c r="AB301" s="0" t="s">
        <v>3907</v>
      </c>
      <c r="AT301" s="0" t="s">
        <v>338</v>
      </c>
      <c r="AU301" s="0" t="s">
        <v>872</v>
      </c>
      <c r="AY301" s="0" t="s">
        <v>3908</v>
      </c>
      <c r="BD301" s="0" t="s">
        <v>873</v>
      </c>
      <c r="BE301" s="0" t="s">
        <v>3909</v>
      </c>
      <c r="BX301" s="0" t="s">
        <v>3910</v>
      </c>
      <c r="CI301" s="0" t="s">
        <v>3910</v>
      </c>
      <c r="CJ301" s="0" t="s">
        <v>3911</v>
      </c>
      <c r="CO301" s="0" t="s">
        <v>3883</v>
      </c>
      <c r="CR301" s="0" t="s">
        <v>3912</v>
      </c>
    </row>
    <row r="302" customFormat="false" ht="22.5" hidden="false" customHeight="false" outlineLevel="0" collapsed="false">
      <c r="A302" s="0" t="s">
        <v>445</v>
      </c>
      <c r="B302" s="0" t="s">
        <v>3913</v>
      </c>
      <c r="C302" s="0" t="s">
        <v>224</v>
      </c>
      <c r="D302" s="0" t="s">
        <v>225</v>
      </c>
      <c r="E302" s="0" t="s">
        <v>3914</v>
      </c>
      <c r="L302" s="0" t="str">
        <f aca="false">"1715"</f>
        <v>1715</v>
      </c>
      <c r="M302" s="1" t="s">
        <v>898</v>
      </c>
      <c r="O302" s="1" t="s">
        <v>3915</v>
      </c>
      <c r="AP302" s="0" t="s">
        <v>3801</v>
      </c>
      <c r="AQ302" s="0" t="s">
        <v>3916</v>
      </c>
      <c r="AT302" s="0" t="s">
        <v>906</v>
      </c>
      <c r="AU302" s="0" t="s">
        <v>1873</v>
      </c>
      <c r="AW302" s="0" t="s">
        <v>907</v>
      </c>
      <c r="AY302" s="0" t="s">
        <v>3917</v>
      </c>
      <c r="CJ302" s="0" t="s">
        <v>3918</v>
      </c>
      <c r="CO302" s="0" t="s">
        <v>3913</v>
      </c>
    </row>
    <row r="303" customFormat="false" ht="12.8" hidden="false" customHeight="false" outlineLevel="0" collapsed="false">
      <c r="A303" s="0" t="s">
        <v>326</v>
      </c>
      <c r="B303" s="0" t="s">
        <v>3919</v>
      </c>
      <c r="C303" s="0" t="s">
        <v>3456</v>
      </c>
      <c r="D303" s="0" t="s">
        <v>3457</v>
      </c>
      <c r="E303" s="0" t="s">
        <v>3920</v>
      </c>
      <c r="L303" s="0" t="str">
        <f aca="false">"1719"</f>
        <v>1719</v>
      </c>
      <c r="M303" s="0" t="s">
        <v>870</v>
      </c>
      <c r="O303" s="0" t="s">
        <v>3459</v>
      </c>
      <c r="R303" s="0" t="s">
        <v>3921</v>
      </c>
      <c r="T303" s="0" t="s">
        <v>3460</v>
      </c>
      <c r="AB303" s="0" t="s">
        <v>3922</v>
      </c>
      <c r="AO303" s="0" t="s">
        <v>3923</v>
      </c>
      <c r="AT303" s="0" t="s">
        <v>338</v>
      </c>
      <c r="AU303" s="0" t="s">
        <v>112</v>
      </c>
      <c r="AV303" s="0" t="s">
        <v>113</v>
      </c>
      <c r="AY303" s="0" t="s">
        <v>3924</v>
      </c>
      <c r="BU303" s="0" t="s">
        <v>3925</v>
      </c>
      <c r="CJ303" s="0" t="s">
        <v>3926</v>
      </c>
      <c r="CO303" s="0" t="s">
        <v>3919</v>
      </c>
    </row>
    <row r="304" customFormat="false" ht="12.8" hidden="false" customHeight="false" outlineLevel="0" collapsed="false">
      <c r="B304" s="0" t="s">
        <v>3927</v>
      </c>
      <c r="C304" s="0" t="s">
        <v>2202</v>
      </c>
      <c r="D304" s="0" t="s">
        <v>329</v>
      </c>
      <c r="E304" s="0" t="s">
        <v>3928</v>
      </c>
      <c r="L304" s="0" t="str">
        <f aca="false">"1773"</f>
        <v>1773</v>
      </c>
      <c r="R304" s="0" t="s">
        <v>3929</v>
      </c>
      <c r="T304" s="0" t="s">
        <v>1057</v>
      </c>
      <c r="AT304" s="0" t="s">
        <v>338</v>
      </c>
      <c r="AU304" s="0" t="s">
        <v>872</v>
      </c>
      <c r="BW304" s="0" t="s">
        <v>3930</v>
      </c>
    </row>
    <row r="305" customFormat="false" ht="12.8" hidden="false" customHeight="false" outlineLevel="0" collapsed="false">
      <c r="A305" s="0" t="s">
        <v>445</v>
      </c>
      <c r="B305" s="0" t="s">
        <v>3931</v>
      </c>
      <c r="C305" s="0" t="s">
        <v>242</v>
      </c>
      <c r="D305" s="0" t="s">
        <v>243</v>
      </c>
      <c r="E305" s="0" t="s">
        <v>3932</v>
      </c>
      <c r="L305" s="0" t="str">
        <f aca="false">"1726"</f>
        <v>1726</v>
      </c>
      <c r="M305" s="0" t="s">
        <v>870</v>
      </c>
      <c r="O305" s="0" t="s">
        <v>3933</v>
      </c>
      <c r="T305" s="0" t="s">
        <v>3934</v>
      </c>
      <c r="AA305" s="0" t="str">
        <f aca="false">"11644087"</f>
        <v>11644087</v>
      </c>
      <c r="AB305" s="0" t="s">
        <v>3935</v>
      </c>
      <c r="AS305" s="0" t="s">
        <v>3936</v>
      </c>
      <c r="AT305" s="0" t="s">
        <v>906</v>
      </c>
      <c r="AU305" s="0" t="s">
        <v>872</v>
      </c>
      <c r="AW305" s="0" t="s">
        <v>907</v>
      </c>
      <c r="AY305" s="0" t="s">
        <v>3937</v>
      </c>
      <c r="CJ305" s="0" t="s">
        <v>3938</v>
      </c>
      <c r="CO305" s="0" t="s">
        <v>3939</v>
      </c>
    </row>
    <row r="306" customFormat="false" ht="22.5" hidden="false" customHeight="false" outlineLevel="0" collapsed="false">
      <c r="A306" s="0" t="s">
        <v>445</v>
      </c>
      <c r="B306" s="0" t="s">
        <v>3940</v>
      </c>
      <c r="C306" s="0" t="s">
        <v>3941</v>
      </c>
      <c r="D306" s="0" t="s">
        <v>3070</v>
      </c>
      <c r="E306" s="0" t="s">
        <v>3942</v>
      </c>
      <c r="L306" s="0" t="str">
        <f aca="false">"1736"</f>
        <v>1736</v>
      </c>
      <c r="M306" s="1" t="s">
        <v>898</v>
      </c>
      <c r="O306" s="1" t="s">
        <v>3943</v>
      </c>
      <c r="T306" s="0" t="s">
        <v>1050</v>
      </c>
      <c r="AS306" s="0" t="s">
        <v>3944</v>
      </c>
      <c r="AT306" s="0" t="s">
        <v>906</v>
      </c>
      <c r="AU306" s="0" t="s">
        <v>872</v>
      </c>
      <c r="AV306" s="0" t="s">
        <v>113</v>
      </c>
      <c r="AW306" s="0" t="s">
        <v>907</v>
      </c>
      <c r="AY306" s="0" t="s">
        <v>3945</v>
      </c>
      <c r="BC306" s="0" t="s">
        <v>3946</v>
      </c>
      <c r="BW306" s="0" t="s">
        <v>3947</v>
      </c>
      <c r="CH306" s="0" t="s">
        <v>342</v>
      </c>
      <c r="CJ306" s="0" t="s">
        <v>3948</v>
      </c>
      <c r="CO306" s="0" t="s">
        <v>3949</v>
      </c>
    </row>
    <row r="307" customFormat="false" ht="43.75" hidden="false" customHeight="false" outlineLevel="0" collapsed="false">
      <c r="A307" s="0" t="s">
        <v>445</v>
      </c>
      <c r="B307" s="0" t="s">
        <v>3950</v>
      </c>
      <c r="C307" s="0" t="s">
        <v>3951</v>
      </c>
      <c r="D307" s="0" t="s">
        <v>3952</v>
      </c>
      <c r="E307" s="0" t="s">
        <v>3953</v>
      </c>
      <c r="L307" s="0" t="str">
        <f aca="false">"1739"</f>
        <v>1739</v>
      </c>
      <c r="M307" s="1" t="s">
        <v>898</v>
      </c>
      <c r="O307" s="1" t="s">
        <v>3954</v>
      </c>
      <c r="T307" s="0" t="s">
        <v>3955</v>
      </c>
      <c r="AB307" s="0" t="s">
        <v>3956</v>
      </c>
      <c r="AS307" s="0" t="s">
        <v>3957</v>
      </c>
      <c r="AT307" s="0" t="s">
        <v>3623</v>
      </c>
      <c r="AU307" s="0" t="s">
        <v>112</v>
      </c>
      <c r="AY307" s="0" t="s">
        <v>3958</v>
      </c>
      <c r="AZ307" s="0" t="s">
        <v>3959</v>
      </c>
      <c r="BD307" s="0" t="s">
        <v>873</v>
      </c>
      <c r="BE307" s="0" t="s">
        <v>3960</v>
      </c>
      <c r="BJ307" s="0" t="s">
        <v>118</v>
      </c>
      <c r="BV307" s="1" t="s">
        <v>3961</v>
      </c>
      <c r="BX307" s="0" t="s">
        <v>3962</v>
      </c>
      <c r="CF307" s="1" t="s">
        <v>3963</v>
      </c>
      <c r="CG307" s="0" t="s">
        <v>123</v>
      </c>
      <c r="CH307" s="1" t="s">
        <v>3964</v>
      </c>
      <c r="CI307" s="0" t="s">
        <v>3962</v>
      </c>
      <c r="CJ307" s="0" t="s">
        <v>3965</v>
      </c>
      <c r="CL307" s="0" t="s">
        <v>3966</v>
      </c>
      <c r="CM307" s="0" t="s">
        <v>3966</v>
      </c>
      <c r="CO307" s="0" t="s">
        <v>3967</v>
      </c>
      <c r="CR307" s="0" t="s">
        <v>3968</v>
      </c>
    </row>
    <row r="308" customFormat="false" ht="12.8" hidden="false" customHeight="false" outlineLevel="0" collapsed="false">
      <c r="A308" s="0" t="s">
        <v>445</v>
      </c>
      <c r="B308" s="0" t="s">
        <v>3969</v>
      </c>
      <c r="C308" s="0" t="s">
        <v>895</v>
      </c>
      <c r="D308" s="0" t="s">
        <v>896</v>
      </c>
      <c r="E308" s="0" t="s">
        <v>3970</v>
      </c>
      <c r="L308" s="0" t="str">
        <f aca="false">"1740"</f>
        <v>1740</v>
      </c>
      <c r="T308" s="0" t="s">
        <v>3971</v>
      </c>
      <c r="AA308" s="0" t="str">
        <f aca="false">"90008928"</f>
        <v>90008928</v>
      </c>
      <c r="AB308" s="0" t="s">
        <v>3972</v>
      </c>
      <c r="AS308" s="0" t="s">
        <v>3944</v>
      </c>
      <c r="AT308" s="0" t="s">
        <v>906</v>
      </c>
      <c r="AU308" s="0" t="s">
        <v>872</v>
      </c>
      <c r="AV308" s="0" t="s">
        <v>113</v>
      </c>
      <c r="AW308" s="0" t="s">
        <v>907</v>
      </c>
      <c r="BC308" s="0" t="str">
        <f aca="false">"626182190"</f>
        <v>626182190</v>
      </c>
      <c r="BX308" s="0" t="s">
        <v>3973</v>
      </c>
      <c r="CI308" s="0" t="s">
        <v>3973</v>
      </c>
      <c r="CJ308" s="0" t="s">
        <v>3974</v>
      </c>
      <c r="CO308" s="0" t="s">
        <v>3975</v>
      </c>
    </row>
    <row r="309" customFormat="false" ht="65" hidden="false" customHeight="false" outlineLevel="0" collapsed="false">
      <c r="A309" s="0" t="s">
        <v>445</v>
      </c>
      <c r="B309" s="0" t="s">
        <v>3976</v>
      </c>
      <c r="C309" s="0" t="s">
        <v>1685</v>
      </c>
      <c r="D309" s="0" t="s">
        <v>1686</v>
      </c>
      <c r="E309" s="0" t="s">
        <v>3977</v>
      </c>
      <c r="F309" s="0" t="s">
        <v>192</v>
      </c>
      <c r="H309" s="0" t="s">
        <v>102</v>
      </c>
      <c r="L309" s="0" t="str">
        <f aca="false">"1742"</f>
        <v>1742</v>
      </c>
      <c r="M309" s="0" t="s">
        <v>870</v>
      </c>
      <c r="N309" s="0" t="s">
        <v>1701</v>
      </c>
      <c r="O309" s="0" t="s">
        <v>3978</v>
      </c>
      <c r="T309" s="0" t="s">
        <v>930</v>
      </c>
      <c r="AA309" s="0" t="str">
        <f aca="false">"10065997"</f>
        <v>10065997</v>
      </c>
      <c r="AB309" s="0" t="s">
        <v>3979</v>
      </c>
      <c r="AS309" s="0" t="s">
        <v>3561</v>
      </c>
      <c r="AT309" s="0" t="s">
        <v>906</v>
      </c>
      <c r="AU309" s="0" t="s">
        <v>112</v>
      </c>
      <c r="AW309" s="0" t="s">
        <v>907</v>
      </c>
      <c r="AY309" s="0" t="s">
        <v>3980</v>
      </c>
      <c r="BC309" s="0" t="str">
        <f aca="false">"636170284"</f>
        <v>636170284</v>
      </c>
      <c r="BD309" s="0" t="s">
        <v>873</v>
      </c>
      <c r="BE309" s="0" t="s">
        <v>3981</v>
      </c>
      <c r="BJ309" s="0" t="s">
        <v>118</v>
      </c>
      <c r="BX309" s="0" t="s">
        <v>3982</v>
      </c>
      <c r="CF309" s="1" t="s">
        <v>3983</v>
      </c>
      <c r="CG309" s="0" t="s">
        <v>123</v>
      </c>
      <c r="CH309" s="0" t="s">
        <v>298</v>
      </c>
      <c r="CI309" s="0" t="s">
        <v>3982</v>
      </c>
      <c r="CJ309" s="0" t="s">
        <v>3984</v>
      </c>
      <c r="CL309" s="0" t="s">
        <v>3985</v>
      </c>
      <c r="CM309" s="0" t="s">
        <v>3985</v>
      </c>
      <c r="CO309" s="0" t="s">
        <v>3976</v>
      </c>
      <c r="CR309" s="0" t="s">
        <v>3986</v>
      </c>
    </row>
    <row r="310" customFormat="false" ht="12.8" hidden="false" customHeight="false" outlineLevel="0" collapsed="false">
      <c r="A310" s="0" t="s">
        <v>445</v>
      </c>
      <c r="B310" s="0" t="s">
        <v>3987</v>
      </c>
      <c r="C310" s="0" t="s">
        <v>895</v>
      </c>
      <c r="D310" s="0" t="s">
        <v>896</v>
      </c>
      <c r="E310" s="0" t="s">
        <v>3988</v>
      </c>
      <c r="L310" s="0" t="str">
        <f aca="false">"1743"</f>
        <v>1743</v>
      </c>
      <c r="M310" s="0" t="s">
        <v>870</v>
      </c>
      <c r="O310" s="0" t="s">
        <v>3989</v>
      </c>
      <c r="T310" s="0" t="s">
        <v>3952</v>
      </c>
      <c r="AA310" s="0" t="str">
        <f aca="false">" 10118683"</f>
        <v> 10118683</v>
      </c>
      <c r="AB310" s="0" t="s">
        <v>3990</v>
      </c>
      <c r="AS310" s="0" t="s">
        <v>3991</v>
      </c>
      <c r="AT310" s="0" t="s">
        <v>906</v>
      </c>
      <c r="AU310" s="0" t="s">
        <v>872</v>
      </c>
      <c r="AW310" s="0" t="s">
        <v>907</v>
      </c>
      <c r="BC310" s="0" t="str">
        <f aca="false">"616620918"</f>
        <v>616620918</v>
      </c>
      <c r="BX310" s="0" t="s">
        <v>3992</v>
      </c>
      <c r="CH310" s="0" t="s">
        <v>454</v>
      </c>
      <c r="CI310" s="0" t="s">
        <v>3992</v>
      </c>
      <c r="CJ310" s="0" t="s">
        <v>3993</v>
      </c>
      <c r="CO310" s="0" t="s">
        <v>3994</v>
      </c>
    </row>
    <row r="311" customFormat="false" ht="33.1" hidden="false" customHeight="false" outlineLevel="0" collapsed="false">
      <c r="A311" s="0" t="s">
        <v>190</v>
      </c>
      <c r="B311" s="0" t="s">
        <v>3995</v>
      </c>
      <c r="C311" s="0" t="s">
        <v>242</v>
      </c>
      <c r="D311" s="0" t="s">
        <v>243</v>
      </c>
      <c r="E311" s="0" t="s">
        <v>3996</v>
      </c>
      <c r="L311" s="0" t="str">
        <f aca="false">"1745"</f>
        <v>1745</v>
      </c>
      <c r="M311" s="1" t="s">
        <v>3997</v>
      </c>
      <c r="O311" s="1" t="s">
        <v>3998</v>
      </c>
      <c r="AA311" s="2" t="s">
        <v>3999</v>
      </c>
      <c r="AB311" s="0" t="s">
        <v>4000</v>
      </c>
      <c r="AS311" s="0" t="s">
        <v>4001</v>
      </c>
      <c r="AT311" s="0" t="s">
        <v>906</v>
      </c>
      <c r="AU311" s="0" t="s">
        <v>112</v>
      </c>
      <c r="BC311" s="0" t="s">
        <v>4002</v>
      </c>
      <c r="BX311" s="0" t="s">
        <v>4003</v>
      </c>
      <c r="CI311" s="0" t="s">
        <v>4003</v>
      </c>
      <c r="CP311" s="0" t="s">
        <v>4004</v>
      </c>
    </row>
    <row r="312" customFormat="false" ht="12.8" hidden="false" customHeight="false" outlineLevel="0" collapsed="false">
      <c r="A312" s="0" t="s">
        <v>445</v>
      </c>
      <c r="B312" s="0" t="s">
        <v>4005</v>
      </c>
      <c r="C312" s="0" t="s">
        <v>242</v>
      </c>
      <c r="D312" s="0" t="s">
        <v>243</v>
      </c>
      <c r="E312" s="0" t="s">
        <v>4006</v>
      </c>
      <c r="L312" s="0" t="str">
        <f aca="false">"1721"</f>
        <v>1721</v>
      </c>
      <c r="M312" s="0" t="s">
        <v>448</v>
      </c>
      <c r="O312" s="0" t="s">
        <v>4007</v>
      </c>
      <c r="AB312" s="0" t="s">
        <v>4008</v>
      </c>
      <c r="AP312" s="0" t="s">
        <v>3995</v>
      </c>
      <c r="AQ312" s="0" t="s">
        <v>4009</v>
      </c>
      <c r="AT312" s="0" t="s">
        <v>906</v>
      </c>
      <c r="AU312" s="0" t="s">
        <v>872</v>
      </c>
      <c r="AW312" s="0" t="s">
        <v>907</v>
      </c>
      <c r="CJ312" s="0" t="s">
        <v>4010</v>
      </c>
      <c r="CO312" s="0" t="s">
        <v>4005</v>
      </c>
    </row>
    <row r="313" customFormat="false" ht="12.8" hidden="false" customHeight="false" outlineLevel="0" collapsed="false">
      <c r="A313" s="0" t="s">
        <v>445</v>
      </c>
      <c r="B313" s="0" t="s">
        <v>4011</v>
      </c>
      <c r="C313" s="0" t="s">
        <v>397</v>
      </c>
      <c r="D313" s="0" t="s">
        <v>398</v>
      </c>
      <c r="E313" s="0" t="s">
        <v>4012</v>
      </c>
      <c r="L313" s="0" t="str">
        <f aca="false">"1746"</f>
        <v>1746</v>
      </c>
      <c r="M313" s="0" t="s">
        <v>448</v>
      </c>
      <c r="O313" s="0" t="s">
        <v>4013</v>
      </c>
      <c r="T313" s="0" t="s">
        <v>930</v>
      </c>
      <c r="AT313" s="0" t="s">
        <v>906</v>
      </c>
      <c r="AU313" s="0" t="s">
        <v>872</v>
      </c>
      <c r="AV313" s="0" t="s">
        <v>113</v>
      </c>
      <c r="BC313" s="0" t="str">
        <f aca="false">"379344327"</f>
        <v>379344327</v>
      </c>
      <c r="CJ313" s="0" t="s">
        <v>4014</v>
      </c>
      <c r="CO313" s="0" t="s">
        <v>4015</v>
      </c>
    </row>
    <row r="314" customFormat="false" ht="12.8" hidden="false" customHeight="false" outlineLevel="0" collapsed="false">
      <c r="A314" s="0" t="s">
        <v>445</v>
      </c>
      <c r="B314" s="0" t="s">
        <v>4016</v>
      </c>
      <c r="C314" s="0" t="s">
        <v>397</v>
      </c>
      <c r="D314" s="0" t="s">
        <v>398</v>
      </c>
      <c r="E314" s="0" t="s">
        <v>4017</v>
      </c>
      <c r="L314" s="0" t="str">
        <f aca="false">"1746"</f>
        <v>1746</v>
      </c>
      <c r="M314" s="0" t="s">
        <v>448</v>
      </c>
      <c r="O314" s="0" t="s">
        <v>4018</v>
      </c>
      <c r="AS314" s="0" t="s">
        <v>3561</v>
      </c>
      <c r="AT314" s="0" t="s">
        <v>906</v>
      </c>
      <c r="AU314" s="0" t="s">
        <v>112</v>
      </c>
      <c r="AV314" s="0" t="s">
        <v>113</v>
      </c>
      <c r="AW314" s="0" t="s">
        <v>907</v>
      </c>
      <c r="BC314" s="0" t="str">
        <f aca="false">"418847398"</f>
        <v>418847398</v>
      </c>
      <c r="BX314" s="0" t="s">
        <v>4019</v>
      </c>
      <c r="CF314" s="0" t="s">
        <v>4020</v>
      </c>
      <c r="CG314" s="0" t="s">
        <v>123</v>
      </c>
      <c r="CH314" s="0" t="s">
        <v>124</v>
      </c>
      <c r="CI314" s="0" t="s">
        <v>4019</v>
      </c>
      <c r="CJ314" s="0" t="s">
        <v>4021</v>
      </c>
      <c r="CL314" s="0" t="s">
        <v>4022</v>
      </c>
      <c r="CM314" s="0" t="s">
        <v>4022</v>
      </c>
      <c r="CO314" s="0" t="s">
        <v>4023</v>
      </c>
      <c r="CR314" s="0" t="s">
        <v>4024</v>
      </c>
    </row>
    <row r="315" customFormat="false" ht="65" hidden="false" customHeight="false" outlineLevel="0" collapsed="false">
      <c r="A315" s="0" t="s">
        <v>445</v>
      </c>
      <c r="B315" s="0" t="s">
        <v>4025</v>
      </c>
      <c r="C315" s="0" t="s">
        <v>397</v>
      </c>
      <c r="D315" s="0" t="s">
        <v>398</v>
      </c>
      <c r="E315" s="0" t="s">
        <v>4026</v>
      </c>
      <c r="L315" s="0" t="str">
        <f aca="false">"1746"</f>
        <v>1746</v>
      </c>
      <c r="M315" s="0" t="s">
        <v>448</v>
      </c>
      <c r="O315" s="0" t="s">
        <v>4027</v>
      </c>
      <c r="R315" s="0" t="s">
        <v>4028</v>
      </c>
      <c r="T315" s="0" t="s">
        <v>4029</v>
      </c>
      <c r="AS315" s="0" t="s">
        <v>3673</v>
      </c>
      <c r="AT315" s="0" t="s">
        <v>906</v>
      </c>
      <c r="AU315" s="0" t="s">
        <v>872</v>
      </c>
      <c r="AV315" s="0" t="s">
        <v>113</v>
      </c>
      <c r="AW315" s="0" t="s">
        <v>907</v>
      </c>
      <c r="AZ315" s="0" t="s">
        <v>4030</v>
      </c>
      <c r="BC315" s="0" t="str">
        <f aca="false">"418863458"</f>
        <v>418863458</v>
      </c>
      <c r="BX315" s="1" t="s">
        <v>4031</v>
      </c>
      <c r="CF315" s="1" t="s">
        <v>4032</v>
      </c>
      <c r="CG315" s="0" t="s">
        <v>123</v>
      </c>
      <c r="CH315" s="0" t="s">
        <v>625</v>
      </c>
      <c r="CI315" s="1" t="s">
        <v>4031</v>
      </c>
      <c r="CJ315" s="0" t="s">
        <v>4033</v>
      </c>
      <c r="CL315" s="0" t="s">
        <v>4034</v>
      </c>
      <c r="CM315" s="0" t="s">
        <v>4034</v>
      </c>
      <c r="CO315" s="0" t="s">
        <v>4035</v>
      </c>
      <c r="CR315" s="0" t="s">
        <v>4036</v>
      </c>
    </row>
    <row r="316" customFormat="false" ht="12.8" hidden="false" customHeight="false" outlineLevel="0" collapsed="false">
      <c r="A316" s="0" t="s">
        <v>445</v>
      </c>
      <c r="B316" s="0" t="s">
        <v>4037</v>
      </c>
      <c r="C316" s="0" t="s">
        <v>397</v>
      </c>
      <c r="D316" s="0" t="s">
        <v>398</v>
      </c>
      <c r="E316" s="0" t="s">
        <v>4038</v>
      </c>
      <c r="L316" s="0" t="str">
        <f aca="false">"1746"</f>
        <v>1746</v>
      </c>
      <c r="M316" s="0" t="s">
        <v>448</v>
      </c>
      <c r="O316" s="0" t="s">
        <v>4039</v>
      </c>
      <c r="AS316" s="0" t="s">
        <v>3673</v>
      </c>
      <c r="AT316" s="0" t="s">
        <v>906</v>
      </c>
      <c r="AU316" s="0" t="s">
        <v>872</v>
      </c>
      <c r="AV316" s="0" t="s">
        <v>113</v>
      </c>
      <c r="AW316" s="0" t="s">
        <v>907</v>
      </c>
      <c r="AZ316" s="0" t="s">
        <v>4040</v>
      </c>
      <c r="BC316" s="0" t="str">
        <f aca="false">"429236751"</f>
        <v>429236751</v>
      </c>
      <c r="CJ316" s="0" t="s">
        <v>4041</v>
      </c>
      <c r="CO316" s="0" t="s">
        <v>4042</v>
      </c>
    </row>
    <row r="317" customFormat="false" ht="12.8" hidden="false" customHeight="false" outlineLevel="0" collapsed="false">
      <c r="A317" s="0" t="s">
        <v>445</v>
      </c>
      <c r="B317" s="0" t="s">
        <v>4043</v>
      </c>
      <c r="C317" s="0" t="s">
        <v>1685</v>
      </c>
      <c r="D317" s="0" t="s">
        <v>1686</v>
      </c>
      <c r="E317" s="0" t="s">
        <v>4044</v>
      </c>
      <c r="L317" s="0" t="str">
        <f aca="false">"1746"</f>
        <v>1746</v>
      </c>
      <c r="AB317" s="0" t="s">
        <v>4045</v>
      </c>
      <c r="AS317" s="0" t="s">
        <v>3991</v>
      </c>
      <c r="AT317" s="0" t="s">
        <v>906</v>
      </c>
      <c r="AU317" s="0" t="s">
        <v>872</v>
      </c>
      <c r="AV317" s="0" t="s">
        <v>113</v>
      </c>
      <c r="AW317" s="0" t="s">
        <v>907</v>
      </c>
      <c r="BC317" s="0" t="str">
        <f aca="false">"718092376"</f>
        <v>718092376</v>
      </c>
      <c r="BX317" s="0" t="s">
        <v>4046</v>
      </c>
      <c r="CI317" s="0" t="s">
        <v>4046</v>
      </c>
      <c r="CJ317" s="0" t="s">
        <v>4047</v>
      </c>
      <c r="CO317" s="0" t="s">
        <v>4048</v>
      </c>
    </row>
    <row r="318" customFormat="false" ht="12.8" hidden="false" customHeight="false" outlineLevel="0" collapsed="false">
      <c r="A318" s="0" t="s">
        <v>445</v>
      </c>
      <c r="B318" s="0" t="s">
        <v>4049</v>
      </c>
      <c r="C318" s="0" t="s">
        <v>397</v>
      </c>
      <c r="D318" s="0" t="s">
        <v>398</v>
      </c>
      <c r="E318" s="0" t="s">
        <v>4050</v>
      </c>
      <c r="L318" s="0" t="str">
        <f aca="false">"1746"</f>
        <v>1746</v>
      </c>
      <c r="T318" s="0" t="s">
        <v>398</v>
      </c>
      <c r="AA318" s="0" t="str">
        <f aca="false">"11799307"</f>
        <v>11799307</v>
      </c>
      <c r="AB318" s="0" t="s">
        <v>4051</v>
      </c>
      <c r="AS318" s="0" t="s">
        <v>1199</v>
      </c>
      <c r="AT318" s="0" t="s">
        <v>906</v>
      </c>
      <c r="AU318" s="0" t="s">
        <v>872</v>
      </c>
      <c r="AW318" s="0" t="s">
        <v>907</v>
      </c>
      <c r="BC318" s="0" t="str">
        <f aca="false">"729965317"</f>
        <v>729965317</v>
      </c>
      <c r="BX318" s="0" t="s">
        <v>4052</v>
      </c>
      <c r="CH318" s="0" t="s">
        <v>124</v>
      </c>
      <c r="CI318" s="0" t="s">
        <v>4052</v>
      </c>
      <c r="CJ318" s="0" t="s">
        <v>4053</v>
      </c>
      <c r="CO318" s="0" t="s">
        <v>4054</v>
      </c>
    </row>
    <row r="319" customFormat="false" ht="12.8" hidden="false" customHeight="false" outlineLevel="0" collapsed="false">
      <c r="A319" s="0" t="s">
        <v>445</v>
      </c>
      <c r="B319" s="0" t="s">
        <v>4055</v>
      </c>
      <c r="C319" s="0" t="s">
        <v>397</v>
      </c>
      <c r="D319" s="0" t="s">
        <v>398</v>
      </c>
      <c r="E319" s="0" t="s">
        <v>4056</v>
      </c>
      <c r="L319" s="0" t="str">
        <f aca="false">"1746"</f>
        <v>1746</v>
      </c>
      <c r="M319" s="0" t="s">
        <v>448</v>
      </c>
      <c r="O319" s="0" t="s">
        <v>4057</v>
      </c>
      <c r="R319" s="0" t="s">
        <v>4058</v>
      </c>
      <c r="T319" s="0" t="s">
        <v>4059</v>
      </c>
      <c r="AA319" s="0" t="str">
        <f aca="false">"11828064"</f>
        <v>11828064</v>
      </c>
      <c r="AB319" s="0" t="s">
        <v>4060</v>
      </c>
      <c r="AS319" s="0" t="s">
        <v>3561</v>
      </c>
      <c r="AT319" s="0" t="s">
        <v>906</v>
      </c>
      <c r="AU319" s="0" t="s">
        <v>872</v>
      </c>
      <c r="AW319" s="0" t="s">
        <v>907</v>
      </c>
      <c r="AZ319" s="0" t="s">
        <v>4061</v>
      </c>
      <c r="BC319" s="0" t="str">
        <f aca="false">"735644683"</f>
        <v>735644683</v>
      </c>
      <c r="BX319" s="0" t="s">
        <v>4062</v>
      </c>
      <c r="CH319" s="0" t="s">
        <v>625</v>
      </c>
      <c r="CI319" s="0" t="s">
        <v>4062</v>
      </c>
      <c r="CJ319" s="0" t="s">
        <v>4063</v>
      </c>
      <c r="CO319" s="0" t="s">
        <v>4064</v>
      </c>
    </row>
    <row r="320" customFormat="false" ht="22.5" hidden="false" customHeight="false" outlineLevel="0" collapsed="false">
      <c r="A320" s="0" t="s">
        <v>445</v>
      </c>
      <c r="B320" s="0" t="s">
        <v>4065</v>
      </c>
      <c r="C320" s="0" t="s">
        <v>1685</v>
      </c>
      <c r="D320" s="0" t="s">
        <v>1686</v>
      </c>
      <c r="E320" s="0" t="s">
        <v>4066</v>
      </c>
      <c r="L320" s="0" t="str">
        <f aca="false">"1746"</f>
        <v>1746</v>
      </c>
      <c r="M320" s="1" t="s">
        <v>898</v>
      </c>
      <c r="O320" s="1" t="s">
        <v>4067</v>
      </c>
      <c r="T320" s="0" t="s">
        <v>4068</v>
      </c>
      <c r="AA320" s="0" t="str">
        <f aca="false">"10311203"</f>
        <v>10311203</v>
      </c>
      <c r="AB320" s="0" t="s">
        <v>4069</v>
      </c>
      <c r="AS320" s="0" t="s">
        <v>4070</v>
      </c>
      <c r="AT320" s="0" t="s">
        <v>906</v>
      </c>
      <c r="AU320" s="0" t="s">
        <v>892</v>
      </c>
      <c r="AW320" s="0" t="s">
        <v>907</v>
      </c>
      <c r="AY320" s="0" t="s">
        <v>4071</v>
      </c>
      <c r="AZ320" s="0" t="s">
        <v>4072</v>
      </c>
      <c r="BC320" s="0" t="str">
        <f aca="false">"147179912"</f>
        <v>147179912</v>
      </c>
      <c r="BX320" s="0" t="s">
        <v>4073</v>
      </c>
      <c r="CI320" s="0" t="s">
        <v>4073</v>
      </c>
      <c r="CJ320" s="0" t="s">
        <v>4074</v>
      </c>
      <c r="CO320" s="0" t="s">
        <v>4075</v>
      </c>
    </row>
    <row r="321" customFormat="false" ht="43.75" hidden="false" customHeight="false" outlineLevel="0" collapsed="false">
      <c r="A321" s="0" t="s">
        <v>445</v>
      </c>
      <c r="B321" s="0" t="s">
        <v>4076</v>
      </c>
      <c r="C321" s="0" t="s">
        <v>242</v>
      </c>
      <c r="D321" s="0" t="s">
        <v>243</v>
      </c>
      <c r="E321" s="0" t="s">
        <v>4077</v>
      </c>
      <c r="L321" s="0" t="str">
        <f aca="false">"1746"</f>
        <v>1746</v>
      </c>
      <c r="M321" s="1" t="s">
        <v>1414</v>
      </c>
      <c r="O321" s="1" t="s">
        <v>4078</v>
      </c>
      <c r="T321" s="0" t="s">
        <v>4068</v>
      </c>
      <c r="AA321" s="0" t="s">
        <v>4079</v>
      </c>
      <c r="AB321" s="0" t="s">
        <v>4080</v>
      </c>
      <c r="AS321" s="0" t="s">
        <v>3673</v>
      </c>
      <c r="AT321" s="0" t="s">
        <v>906</v>
      </c>
      <c r="AU321" s="0" t="s">
        <v>112</v>
      </c>
      <c r="AW321" s="0" t="s">
        <v>907</v>
      </c>
      <c r="BC321" s="0" t="s">
        <v>4081</v>
      </c>
      <c r="BX321" s="1" t="s">
        <v>4082</v>
      </c>
      <c r="CF321" s="1" t="s">
        <v>4083</v>
      </c>
      <c r="CG321" s="0" t="s">
        <v>123</v>
      </c>
      <c r="CH321" s="0" t="s">
        <v>124</v>
      </c>
      <c r="CI321" s="1" t="s">
        <v>4082</v>
      </c>
      <c r="CJ321" s="0" t="s">
        <v>4084</v>
      </c>
      <c r="CL321" s="0" t="s">
        <v>4085</v>
      </c>
      <c r="CM321" s="0" t="s">
        <v>4085</v>
      </c>
      <c r="CO321" s="0" t="s">
        <v>4086</v>
      </c>
      <c r="CR321" s="0" t="s">
        <v>4087</v>
      </c>
    </row>
    <row r="322" customFormat="false" ht="43.75" hidden="false" customHeight="false" outlineLevel="0" collapsed="false">
      <c r="A322" s="0" t="s">
        <v>445</v>
      </c>
      <c r="B322" s="0" t="s">
        <v>4088</v>
      </c>
      <c r="C322" s="0" t="s">
        <v>397</v>
      </c>
      <c r="D322" s="0" t="s">
        <v>398</v>
      </c>
      <c r="E322" s="0" t="s">
        <v>4089</v>
      </c>
      <c r="F322" s="0" t="s">
        <v>192</v>
      </c>
      <c r="H322" s="0" t="s">
        <v>102</v>
      </c>
      <c r="L322" s="0" t="str">
        <f aca="false">"1748"</f>
        <v>1748</v>
      </c>
      <c r="M322" s="1" t="s">
        <v>193</v>
      </c>
      <c r="O322" s="1" t="s">
        <v>4090</v>
      </c>
      <c r="T322" s="0" t="s">
        <v>398</v>
      </c>
      <c r="AA322" s="0" t="str">
        <f aca="false">"10033203"</f>
        <v>10033203</v>
      </c>
      <c r="AB322" s="0" t="s">
        <v>4091</v>
      </c>
      <c r="AS322" s="0" t="s">
        <v>1116</v>
      </c>
      <c r="AT322" s="0" t="s">
        <v>906</v>
      </c>
      <c r="AU322" s="0" t="s">
        <v>112</v>
      </c>
      <c r="AW322" s="0" t="s">
        <v>907</v>
      </c>
      <c r="AY322" s="0" t="s">
        <v>4092</v>
      </c>
      <c r="BC322" s="0" t="str">
        <f aca="false">"638369037"</f>
        <v>638369037</v>
      </c>
      <c r="BD322" s="0" t="s">
        <v>873</v>
      </c>
      <c r="BE322" s="0" t="s">
        <v>4093</v>
      </c>
      <c r="BJ322" s="0" t="s">
        <v>118</v>
      </c>
      <c r="BX322" s="1" t="s">
        <v>4094</v>
      </c>
      <c r="CF322" s="1" t="s">
        <v>4095</v>
      </c>
      <c r="CG322" s="0" t="s">
        <v>123</v>
      </c>
      <c r="CH322" s="0" t="s">
        <v>342</v>
      </c>
      <c r="CI322" s="1" t="s">
        <v>4094</v>
      </c>
      <c r="CJ322" s="0" t="s">
        <v>4096</v>
      </c>
      <c r="CL322" s="0" t="s">
        <v>4097</v>
      </c>
      <c r="CM322" s="0" t="s">
        <v>4097</v>
      </c>
      <c r="CO322" s="0" t="s">
        <v>4098</v>
      </c>
      <c r="CR322" s="0" t="s">
        <v>4099</v>
      </c>
    </row>
    <row r="323" customFormat="false" ht="22.5" hidden="false" customHeight="false" outlineLevel="0" collapsed="false">
      <c r="A323" s="0" t="s">
        <v>445</v>
      </c>
      <c r="B323" s="0" t="s">
        <v>4100</v>
      </c>
      <c r="C323" s="0" t="s">
        <v>2696</v>
      </c>
      <c r="D323" s="1" t="s">
        <v>2697</v>
      </c>
      <c r="E323" s="0" t="s">
        <v>4101</v>
      </c>
      <c r="L323" s="0" t="str">
        <f aca="false">"1755"</f>
        <v>1755</v>
      </c>
      <c r="M323" s="0" t="s">
        <v>448</v>
      </c>
      <c r="O323" s="0" t="s">
        <v>4102</v>
      </c>
      <c r="R323" s="0" t="s">
        <v>4103</v>
      </c>
      <c r="T323" s="0" t="s">
        <v>4104</v>
      </c>
      <c r="AS323" s="0" t="s">
        <v>3561</v>
      </c>
      <c r="AT323" s="0" t="s">
        <v>906</v>
      </c>
      <c r="AU323" s="0" t="s">
        <v>872</v>
      </c>
      <c r="AV323" s="0" t="s">
        <v>113</v>
      </c>
      <c r="BC323" s="0" t="str">
        <f aca="false">"591734060"</f>
        <v>591734060</v>
      </c>
      <c r="BV323" s="0" t="s">
        <v>4105</v>
      </c>
      <c r="BX323" s="0" t="s">
        <v>4106</v>
      </c>
      <c r="CC323" s="0" t="s">
        <v>4107</v>
      </c>
      <c r="CH323" s="0" t="s">
        <v>342</v>
      </c>
      <c r="CI323" s="0" t="s">
        <v>4106</v>
      </c>
      <c r="CJ323" s="0" t="s">
        <v>4108</v>
      </c>
      <c r="CO323" s="0" t="s">
        <v>4109</v>
      </c>
    </row>
    <row r="324" customFormat="false" ht="22.5" hidden="false" customHeight="false" outlineLevel="0" collapsed="false">
      <c r="A324" s="0" t="s">
        <v>445</v>
      </c>
      <c r="B324" s="0" t="s">
        <v>4110</v>
      </c>
      <c r="C324" s="0" t="s">
        <v>397</v>
      </c>
      <c r="D324" s="0" t="s">
        <v>398</v>
      </c>
      <c r="E324" s="0" t="s">
        <v>4111</v>
      </c>
      <c r="L324" s="0" t="str">
        <f aca="false">"1760"</f>
        <v>1760</v>
      </c>
      <c r="T324" s="1" t="s">
        <v>4112</v>
      </c>
      <c r="AS324" s="0" t="s">
        <v>4113</v>
      </c>
      <c r="AT324" s="0" t="s">
        <v>906</v>
      </c>
      <c r="AU324" s="0" t="s">
        <v>892</v>
      </c>
      <c r="AY324" s="0" t="s">
        <v>4114</v>
      </c>
      <c r="BC324" s="2" t="s">
        <v>4115</v>
      </c>
      <c r="BV324" s="0" t="s">
        <v>4116</v>
      </c>
      <c r="CJ324" s="0" t="s">
        <v>4117</v>
      </c>
      <c r="CO324" s="0" t="s">
        <v>4118</v>
      </c>
    </row>
    <row r="325" customFormat="false" ht="33.1" hidden="false" customHeight="false" outlineLevel="0" collapsed="false">
      <c r="A325" s="0" t="s">
        <v>190</v>
      </c>
      <c r="B325" s="0" t="s">
        <v>4119</v>
      </c>
      <c r="C325" s="0" t="s">
        <v>1685</v>
      </c>
      <c r="D325" s="0" t="s">
        <v>1686</v>
      </c>
      <c r="E325" s="0" t="s">
        <v>4120</v>
      </c>
      <c r="L325" s="0" t="str">
        <f aca="false">"1800"</f>
        <v>1800</v>
      </c>
      <c r="M325" s="1" t="s">
        <v>4121</v>
      </c>
      <c r="O325" s="1" t="s">
        <v>4122</v>
      </c>
      <c r="T325" s="0" t="s">
        <v>398</v>
      </c>
      <c r="AA325" s="0" t="str">
        <f aca="false">"90015568"</f>
        <v>90015568</v>
      </c>
      <c r="AB325" s="0" t="s">
        <v>4123</v>
      </c>
      <c r="AS325" s="0" t="s">
        <v>4124</v>
      </c>
      <c r="AT325" s="0" t="s">
        <v>906</v>
      </c>
      <c r="AU325" s="0" t="s">
        <v>112</v>
      </c>
      <c r="AY325" s="0" t="s">
        <v>4125</v>
      </c>
      <c r="BC325" s="0" t="str">
        <f aca="false">"751938742"</f>
        <v>751938742</v>
      </c>
      <c r="BD325" s="0" t="s">
        <v>873</v>
      </c>
      <c r="BE325" s="0" t="s">
        <v>4126</v>
      </c>
      <c r="BJ325" s="0" t="s">
        <v>118</v>
      </c>
      <c r="BX325" s="0" t="s">
        <v>4127</v>
      </c>
      <c r="CI325" s="0" t="s">
        <v>4127</v>
      </c>
      <c r="CP325" s="0" t="s">
        <v>4128</v>
      </c>
    </row>
    <row r="326" customFormat="false" ht="22.5" hidden="false" customHeight="false" outlineLevel="0" collapsed="false">
      <c r="A326" s="0" t="s">
        <v>445</v>
      </c>
      <c r="B326" s="0" t="s">
        <v>4129</v>
      </c>
      <c r="E326" s="0" t="s">
        <v>4130</v>
      </c>
      <c r="L326" s="0" t="str">
        <f aca="false">"1760"</f>
        <v>1760</v>
      </c>
      <c r="M326" s="0" t="s">
        <v>448</v>
      </c>
      <c r="O326" s="0" t="s">
        <v>4131</v>
      </c>
      <c r="AA326" s="0" t="str">
        <f aca="false">"90015568"</f>
        <v>90015568</v>
      </c>
      <c r="AB326" s="0" t="s">
        <v>4132</v>
      </c>
      <c r="AP326" s="0" t="s">
        <v>4119</v>
      </c>
      <c r="AQ326" s="0" t="s">
        <v>4133</v>
      </c>
      <c r="AT326" s="0" t="s">
        <v>906</v>
      </c>
      <c r="AU326" s="0" t="s">
        <v>872</v>
      </c>
      <c r="AW326" s="0" t="s">
        <v>907</v>
      </c>
      <c r="BX326" s="1" t="s">
        <v>4134</v>
      </c>
      <c r="CH326" s="0" t="s">
        <v>1265</v>
      </c>
      <c r="CI326" s="1" t="s">
        <v>4134</v>
      </c>
      <c r="CJ326" s="0" t="s">
        <v>4135</v>
      </c>
      <c r="CO326" s="0" t="s">
        <v>4129</v>
      </c>
    </row>
    <row r="327" customFormat="false" ht="22.5" hidden="false" customHeight="false" outlineLevel="0" collapsed="false">
      <c r="A327" s="0" t="s">
        <v>445</v>
      </c>
      <c r="B327" s="0" t="s">
        <v>4136</v>
      </c>
      <c r="C327" s="0" t="s">
        <v>242</v>
      </c>
      <c r="D327" s="0" t="s">
        <v>243</v>
      </c>
      <c r="E327" s="0" t="s">
        <v>4137</v>
      </c>
      <c r="L327" s="0" t="str">
        <f aca="false">"1760"</f>
        <v>1760</v>
      </c>
      <c r="M327" s="1" t="s">
        <v>898</v>
      </c>
      <c r="O327" s="1" t="s">
        <v>4138</v>
      </c>
      <c r="T327" s="0" t="s">
        <v>4139</v>
      </c>
      <c r="AA327" s="0" t="str">
        <f aca="false">"10581170"</f>
        <v>10581170</v>
      </c>
      <c r="AB327" s="0" t="s">
        <v>4140</v>
      </c>
      <c r="AS327" s="0" t="s">
        <v>1199</v>
      </c>
      <c r="AT327" s="0" t="s">
        <v>906</v>
      </c>
      <c r="AU327" s="0" t="s">
        <v>872</v>
      </c>
      <c r="AV327" s="0" t="s">
        <v>113</v>
      </c>
      <c r="AW327" s="0" t="s">
        <v>907</v>
      </c>
      <c r="AY327" s="0" t="s">
        <v>4141</v>
      </c>
      <c r="BC327" s="0" t="str">
        <f aca="false">"732322782"</f>
        <v>732322782</v>
      </c>
      <c r="BV327" s="0" t="s">
        <v>4142</v>
      </c>
      <c r="BX327" s="0" t="s">
        <v>4143</v>
      </c>
      <c r="CI327" s="0" t="s">
        <v>4143</v>
      </c>
      <c r="CJ327" s="0" t="s">
        <v>4144</v>
      </c>
      <c r="CO327" s="0" t="s">
        <v>4136</v>
      </c>
    </row>
    <row r="328" customFormat="false" ht="12.8" hidden="false" customHeight="false" outlineLevel="0" collapsed="false">
      <c r="A328" s="0" t="s">
        <v>445</v>
      </c>
      <c r="B328" s="0" t="s">
        <v>4145</v>
      </c>
      <c r="C328" s="0" t="s">
        <v>3941</v>
      </c>
      <c r="D328" s="0" t="s">
        <v>3070</v>
      </c>
      <c r="E328" s="0" t="s">
        <v>4146</v>
      </c>
      <c r="L328" s="0" t="str">
        <f aca="false">"1762"</f>
        <v>1762</v>
      </c>
      <c r="M328" s="0" t="s">
        <v>448</v>
      </c>
      <c r="O328" s="0" t="s">
        <v>4147</v>
      </c>
      <c r="R328" s="0" t="s">
        <v>4148</v>
      </c>
      <c r="T328" s="0" t="s">
        <v>3070</v>
      </c>
      <c r="AA328" s="0" t="str">
        <f aca="false">"12935816"</f>
        <v>12935816</v>
      </c>
      <c r="AB328" s="0" t="s">
        <v>4149</v>
      </c>
      <c r="AS328" s="0" t="s">
        <v>4150</v>
      </c>
      <c r="AT328" s="0" t="s">
        <v>906</v>
      </c>
      <c r="AU328" s="0" t="s">
        <v>872</v>
      </c>
      <c r="AV328" s="0" t="s">
        <v>113</v>
      </c>
      <c r="AZ328" s="0" t="s">
        <v>4151</v>
      </c>
      <c r="BC328" s="0" t="str">
        <f aca="false">"225109344"</f>
        <v>225109344</v>
      </c>
      <c r="CJ328" s="0" t="s">
        <v>4152</v>
      </c>
      <c r="CO328" s="0" t="s">
        <v>4153</v>
      </c>
    </row>
    <row r="329" customFormat="false" ht="33.1" hidden="false" customHeight="false" outlineLevel="0" collapsed="false">
      <c r="A329" s="0" t="s">
        <v>190</v>
      </c>
      <c r="B329" s="0" t="s">
        <v>4154</v>
      </c>
      <c r="C329" s="0" t="s">
        <v>224</v>
      </c>
      <c r="D329" s="0" t="s">
        <v>225</v>
      </c>
      <c r="E329" s="0" t="s">
        <v>4155</v>
      </c>
      <c r="L329" s="0" t="str">
        <f aca="false">"1764"</f>
        <v>1764</v>
      </c>
      <c r="M329" s="1" t="s">
        <v>4156</v>
      </c>
      <c r="O329" s="1" t="s">
        <v>4157</v>
      </c>
      <c r="T329" s="0" t="s">
        <v>398</v>
      </c>
      <c r="AA329" s="0" t="str">
        <f aca="false">"11682493"</f>
        <v>11682493</v>
      </c>
      <c r="AB329" s="0" t="s">
        <v>4158</v>
      </c>
      <c r="AS329" s="0" t="s">
        <v>4159</v>
      </c>
      <c r="AT329" s="0" t="s">
        <v>906</v>
      </c>
      <c r="AU329" s="0" t="s">
        <v>892</v>
      </c>
      <c r="AV329" s="0" t="s">
        <v>113</v>
      </c>
      <c r="AW329" s="0" t="s">
        <v>907</v>
      </c>
      <c r="BC329" s="0" t="s">
        <v>4160</v>
      </c>
      <c r="BU329" s="0" t="s">
        <v>4161</v>
      </c>
      <c r="BX329" s="0" t="s">
        <v>4162</v>
      </c>
      <c r="CI329" s="0" t="s">
        <v>4162</v>
      </c>
      <c r="CP329" s="0" t="s">
        <v>4163</v>
      </c>
    </row>
    <row r="330" customFormat="false" ht="43.75" hidden="false" customHeight="false" outlineLevel="0" collapsed="false">
      <c r="A330" s="0" t="s">
        <v>445</v>
      </c>
      <c r="B330" s="0" t="s">
        <v>4164</v>
      </c>
      <c r="C330" s="0" t="s">
        <v>224</v>
      </c>
      <c r="D330" s="0" t="s">
        <v>225</v>
      </c>
      <c r="E330" s="0" t="s">
        <v>4165</v>
      </c>
      <c r="L330" s="0" t="str">
        <f aca="false">"1762"</f>
        <v>1762</v>
      </c>
      <c r="M330" s="0" t="s">
        <v>4166</v>
      </c>
      <c r="O330" s="0" t="s">
        <v>4167</v>
      </c>
      <c r="AA330" s="0" t="str">
        <f aca="false">"11682493"</f>
        <v>11682493</v>
      </c>
      <c r="AB330" s="1" t="s">
        <v>4168</v>
      </c>
      <c r="AP330" s="0" t="s">
        <v>4154</v>
      </c>
      <c r="AQ330" s="0" t="s">
        <v>4169</v>
      </c>
      <c r="AT330" s="0" t="s">
        <v>906</v>
      </c>
      <c r="AU330" s="0" t="s">
        <v>872</v>
      </c>
      <c r="AW330" s="0" t="s">
        <v>907</v>
      </c>
      <c r="BV330" s="0" t="s">
        <v>4170</v>
      </c>
      <c r="BX330" s="1" t="s">
        <v>4171</v>
      </c>
      <c r="CI330" s="1" t="s">
        <v>4171</v>
      </c>
      <c r="CJ330" s="0" t="s">
        <v>4172</v>
      </c>
      <c r="CO330" s="0" t="s">
        <v>4164</v>
      </c>
    </row>
    <row r="331" customFormat="false" ht="22.5" hidden="false" customHeight="false" outlineLevel="0" collapsed="false">
      <c r="A331" s="0" t="s">
        <v>445</v>
      </c>
      <c r="B331" s="0" t="s">
        <v>4173</v>
      </c>
      <c r="C331" s="0" t="s">
        <v>242</v>
      </c>
      <c r="D331" s="0" t="s">
        <v>243</v>
      </c>
      <c r="E331" s="0" t="s">
        <v>4174</v>
      </c>
      <c r="L331" s="0" t="str">
        <f aca="false">"1762"</f>
        <v>1762</v>
      </c>
      <c r="AA331" s="0" t="str">
        <f aca="false">"10561366"</f>
        <v>10561366</v>
      </c>
      <c r="AB331" s="0" t="s">
        <v>4175</v>
      </c>
      <c r="AS331" s="0" t="s">
        <v>1139</v>
      </c>
      <c r="AT331" s="0" t="s">
        <v>906</v>
      </c>
      <c r="AU331" s="0" t="s">
        <v>112</v>
      </c>
      <c r="AW331" s="0" t="s">
        <v>907</v>
      </c>
      <c r="BC331" s="0" t="str">
        <f aca="false">"683638548"</f>
        <v>683638548</v>
      </c>
      <c r="BU331" s="1" t="s">
        <v>4176</v>
      </c>
      <c r="BX331" s="0" t="s">
        <v>4177</v>
      </c>
      <c r="CF331" s="0" t="s">
        <v>4178</v>
      </c>
      <c r="CG331" s="0" t="s">
        <v>123</v>
      </c>
      <c r="CH331" s="0" t="s">
        <v>625</v>
      </c>
      <c r="CI331" s="0" t="s">
        <v>4177</v>
      </c>
      <c r="CJ331" s="0" t="s">
        <v>4179</v>
      </c>
      <c r="CL331" s="0" t="s">
        <v>4180</v>
      </c>
      <c r="CM331" s="0" t="s">
        <v>4180</v>
      </c>
      <c r="CO331" s="0" t="s">
        <v>4173</v>
      </c>
      <c r="CR331" s="0" t="s">
        <v>4181</v>
      </c>
    </row>
    <row r="332" customFormat="false" ht="22.5" hidden="false" customHeight="false" outlineLevel="0" collapsed="false">
      <c r="A332" s="0" t="s">
        <v>445</v>
      </c>
      <c r="B332" s="0" t="s">
        <v>4182</v>
      </c>
      <c r="C332" s="0" t="s">
        <v>1685</v>
      </c>
      <c r="D332" s="0" t="s">
        <v>1686</v>
      </c>
      <c r="E332" s="0" t="s">
        <v>4183</v>
      </c>
      <c r="L332" s="0" t="str">
        <f aca="false">"1762"</f>
        <v>1762</v>
      </c>
      <c r="M332" s="1" t="s">
        <v>193</v>
      </c>
      <c r="O332" s="1" t="s">
        <v>4184</v>
      </c>
      <c r="T332" s="0" t="s">
        <v>4185</v>
      </c>
      <c r="AA332" s="0" t="s">
        <v>4186</v>
      </c>
      <c r="AB332" s="0" t="s">
        <v>4187</v>
      </c>
      <c r="AG332" s="0" t="s">
        <v>397</v>
      </c>
      <c r="AH332" s="0" t="s">
        <v>398</v>
      </c>
      <c r="AI332" s="0" t="s">
        <v>4188</v>
      </c>
      <c r="AM332" s="0" t="s">
        <v>4189</v>
      </c>
      <c r="AS332" s="0" t="s">
        <v>1116</v>
      </c>
      <c r="AT332" s="0" t="s">
        <v>906</v>
      </c>
      <c r="AU332" s="0" t="s">
        <v>872</v>
      </c>
      <c r="AW332" s="0" t="s">
        <v>907</v>
      </c>
      <c r="AY332" s="0" t="s">
        <v>4190</v>
      </c>
      <c r="BC332" s="2" t="s">
        <v>4191</v>
      </c>
      <c r="BV332" s="0" t="s">
        <v>4192</v>
      </c>
      <c r="BX332" s="0" t="s">
        <v>4193</v>
      </c>
      <c r="CH332" s="1" t="s">
        <v>4194</v>
      </c>
      <c r="CI332" s="0" t="s">
        <v>4193</v>
      </c>
      <c r="CJ332" s="0" t="s">
        <v>4195</v>
      </c>
      <c r="CO332" s="0" t="s">
        <v>4182</v>
      </c>
    </row>
    <row r="333" customFormat="false" ht="12.8" hidden="false" customHeight="false" outlineLevel="0" collapsed="false">
      <c r="A333" s="0" t="s">
        <v>445</v>
      </c>
      <c r="B333" s="0" t="s">
        <v>4196</v>
      </c>
      <c r="C333" s="0" t="s">
        <v>1685</v>
      </c>
      <c r="D333" s="0" t="s">
        <v>1686</v>
      </c>
      <c r="E333" s="0" t="s">
        <v>4197</v>
      </c>
      <c r="L333" s="0" t="str">
        <f aca="false">"1762"</f>
        <v>1762</v>
      </c>
      <c r="AA333" s="0" t="str">
        <f aca="false">"11258284"</f>
        <v>11258284</v>
      </c>
      <c r="AB333" s="0" t="s">
        <v>4198</v>
      </c>
      <c r="AS333" s="0" t="s">
        <v>1116</v>
      </c>
      <c r="AT333" s="0" t="s">
        <v>906</v>
      </c>
      <c r="AU333" s="0" t="s">
        <v>872</v>
      </c>
      <c r="AY333" s="0" t="s">
        <v>4199</v>
      </c>
      <c r="BC333" s="0" t="str">
        <f aca="false">"738495026"</f>
        <v>738495026</v>
      </c>
      <c r="BX333" s="0" t="s">
        <v>4200</v>
      </c>
      <c r="CI333" s="0" t="s">
        <v>4200</v>
      </c>
      <c r="CJ333" s="0" t="s">
        <v>4201</v>
      </c>
      <c r="CO333" s="0" t="s">
        <v>4202</v>
      </c>
    </row>
    <row r="334" customFormat="false" ht="22.5" hidden="false" customHeight="false" outlineLevel="0" collapsed="false">
      <c r="A334" s="0" t="s">
        <v>445</v>
      </c>
      <c r="B334" s="0" t="s">
        <v>4203</v>
      </c>
      <c r="C334" s="0" t="s">
        <v>1685</v>
      </c>
      <c r="D334" s="0" t="s">
        <v>1686</v>
      </c>
      <c r="E334" s="0" t="s">
        <v>4204</v>
      </c>
      <c r="L334" s="0" t="str">
        <f aca="false">"1763"</f>
        <v>1763</v>
      </c>
      <c r="M334" s="1" t="s">
        <v>331</v>
      </c>
      <c r="O334" s="0" t="s">
        <v>4205</v>
      </c>
      <c r="T334" s="0" t="s">
        <v>1050</v>
      </c>
      <c r="AA334" s="2" t="s">
        <v>4206</v>
      </c>
      <c r="AB334" s="0" t="s">
        <v>4207</v>
      </c>
      <c r="AS334" s="0" t="s">
        <v>4208</v>
      </c>
      <c r="AT334" s="0" t="s">
        <v>906</v>
      </c>
      <c r="AU334" s="0" t="s">
        <v>872</v>
      </c>
      <c r="AV334" s="0" t="s">
        <v>113</v>
      </c>
      <c r="AW334" s="0" t="s">
        <v>907</v>
      </c>
      <c r="AY334" s="0" t="s">
        <v>4209</v>
      </c>
      <c r="BC334" s="0" t="s">
        <v>4210</v>
      </c>
      <c r="BX334" s="0" t="s">
        <v>4211</v>
      </c>
      <c r="CH334" s="0" t="s">
        <v>1265</v>
      </c>
      <c r="CI334" s="0" t="s">
        <v>4211</v>
      </c>
      <c r="CJ334" s="0" t="s">
        <v>4212</v>
      </c>
      <c r="CO334" s="0" t="s">
        <v>4213</v>
      </c>
    </row>
    <row r="335" customFormat="false" ht="12.8" hidden="false" customHeight="false" outlineLevel="0" collapsed="false">
      <c r="A335" s="0" t="s">
        <v>445</v>
      </c>
      <c r="B335" s="0" t="s">
        <v>4214</v>
      </c>
      <c r="C335" s="0" t="s">
        <v>242</v>
      </c>
      <c r="D335" s="0" t="s">
        <v>243</v>
      </c>
      <c r="E335" s="0" t="s">
        <v>4215</v>
      </c>
      <c r="L335" s="0" t="str">
        <f aca="false">"1763"</f>
        <v>1763</v>
      </c>
      <c r="M335" s="0" t="s">
        <v>448</v>
      </c>
      <c r="N335" s="0" t="s">
        <v>1701</v>
      </c>
      <c r="O335" s="0" t="s">
        <v>4216</v>
      </c>
      <c r="AG335" s="0" t="s">
        <v>1685</v>
      </c>
      <c r="AH335" s="0" t="s">
        <v>1686</v>
      </c>
      <c r="AI335" s="0" t="s">
        <v>4217</v>
      </c>
      <c r="AS335" s="0" t="s">
        <v>4218</v>
      </c>
      <c r="AT335" s="0" t="s">
        <v>906</v>
      </c>
      <c r="AU335" s="0" t="s">
        <v>872</v>
      </c>
      <c r="AV335" s="0" t="s">
        <v>113</v>
      </c>
      <c r="AW335" s="0" t="s">
        <v>907</v>
      </c>
      <c r="BC335" s="0" t="str">
        <f aca="false">"147490340"</f>
        <v>147490340</v>
      </c>
      <c r="BV335" s="0" t="s">
        <v>4219</v>
      </c>
      <c r="CH335" s="0" t="s">
        <v>342</v>
      </c>
      <c r="CJ335" s="0" t="s">
        <v>4220</v>
      </c>
      <c r="CO335" s="0" t="s">
        <v>4221</v>
      </c>
    </row>
    <row r="336" customFormat="false" ht="65" hidden="false" customHeight="false" outlineLevel="0" collapsed="false">
      <c r="A336" s="0" t="s">
        <v>445</v>
      </c>
      <c r="B336" s="0" t="s">
        <v>4222</v>
      </c>
      <c r="C336" s="0" t="s">
        <v>2649</v>
      </c>
      <c r="D336" s="0" t="s">
        <v>2650</v>
      </c>
      <c r="E336" s="0" t="s">
        <v>4223</v>
      </c>
      <c r="L336" s="0" t="str">
        <f aca="false">"1763"</f>
        <v>1763</v>
      </c>
      <c r="M336" s="0" t="s">
        <v>870</v>
      </c>
      <c r="N336" s="0" t="s">
        <v>1701</v>
      </c>
      <c r="O336" s="0" t="s">
        <v>4224</v>
      </c>
      <c r="T336" s="0" t="s">
        <v>398</v>
      </c>
      <c r="AB336" s="0" t="s">
        <v>4225</v>
      </c>
      <c r="AE336" s="0" t="s">
        <v>4226</v>
      </c>
      <c r="AF336" s="0" t="s">
        <v>109</v>
      </c>
      <c r="AS336" s="0" t="s">
        <v>4227</v>
      </c>
      <c r="AT336" s="0" t="s">
        <v>906</v>
      </c>
      <c r="AU336" s="0" t="s">
        <v>112</v>
      </c>
      <c r="AV336" s="0" t="s">
        <v>113</v>
      </c>
      <c r="AW336" s="0" t="s">
        <v>907</v>
      </c>
      <c r="BC336" s="0" t="s">
        <v>4228</v>
      </c>
      <c r="BV336" s="1" t="s">
        <v>4229</v>
      </c>
      <c r="BX336" s="0" t="s">
        <v>4230</v>
      </c>
      <c r="CF336" s="1" t="s">
        <v>4231</v>
      </c>
      <c r="CG336" s="0" t="s">
        <v>123</v>
      </c>
      <c r="CH336" s="0" t="s">
        <v>1265</v>
      </c>
      <c r="CI336" s="0" t="s">
        <v>4230</v>
      </c>
      <c r="CJ336" s="0" t="s">
        <v>4232</v>
      </c>
      <c r="CO336" s="0" t="s">
        <v>4222</v>
      </c>
      <c r="CR336" s="0" t="s">
        <v>4233</v>
      </c>
    </row>
    <row r="337" customFormat="false" ht="22.5" hidden="false" customHeight="false" outlineLevel="0" collapsed="false">
      <c r="A337" s="0" t="s">
        <v>445</v>
      </c>
      <c r="B337" s="0" t="s">
        <v>4234</v>
      </c>
      <c r="C337" s="0" t="s">
        <v>1685</v>
      </c>
      <c r="D337" s="0" t="s">
        <v>1686</v>
      </c>
      <c r="E337" s="0" t="s">
        <v>4235</v>
      </c>
      <c r="L337" s="0" t="str">
        <f aca="false">"1763"</f>
        <v>1763</v>
      </c>
      <c r="M337" s="1" t="s">
        <v>898</v>
      </c>
      <c r="O337" s="1" t="s">
        <v>4236</v>
      </c>
      <c r="T337" s="0" t="s">
        <v>1686</v>
      </c>
      <c r="AA337" s="2" t="s">
        <v>4237</v>
      </c>
      <c r="AB337" s="0" t="s">
        <v>4238</v>
      </c>
      <c r="AS337" s="0" t="s">
        <v>4239</v>
      </c>
      <c r="AT337" s="0" t="s">
        <v>906</v>
      </c>
      <c r="AU337" s="0" t="s">
        <v>112</v>
      </c>
      <c r="AW337" s="0" t="s">
        <v>907</v>
      </c>
      <c r="BC337" s="2" t="s">
        <v>4240</v>
      </c>
      <c r="BX337" s="1" t="s">
        <v>4241</v>
      </c>
      <c r="CF337" s="0" t="s">
        <v>4242</v>
      </c>
      <c r="CH337" s="0" t="s">
        <v>625</v>
      </c>
      <c r="CI337" s="1" t="s">
        <v>4241</v>
      </c>
      <c r="CJ337" s="0" t="s">
        <v>4243</v>
      </c>
      <c r="CO337" s="0" t="s">
        <v>4244</v>
      </c>
      <c r="CR337" s="0" t="s">
        <v>4245</v>
      </c>
    </row>
    <row r="338" customFormat="false" ht="22.5" hidden="false" customHeight="false" outlineLevel="0" collapsed="false">
      <c r="A338" s="0" t="s">
        <v>445</v>
      </c>
      <c r="B338" s="0" t="s">
        <v>4246</v>
      </c>
      <c r="C338" s="0" t="s">
        <v>895</v>
      </c>
      <c r="D338" s="0" t="s">
        <v>896</v>
      </c>
      <c r="E338" s="0" t="s">
        <v>4247</v>
      </c>
      <c r="L338" s="0" t="str">
        <f aca="false">"1763"</f>
        <v>1763</v>
      </c>
      <c r="M338" s="1" t="s">
        <v>898</v>
      </c>
      <c r="O338" s="1" t="s">
        <v>4248</v>
      </c>
      <c r="T338" s="0" t="s">
        <v>3198</v>
      </c>
      <c r="AA338" s="2" t="s">
        <v>4249</v>
      </c>
      <c r="AB338" s="0" t="s">
        <v>4250</v>
      </c>
      <c r="AS338" s="0" t="s">
        <v>4251</v>
      </c>
      <c r="AT338" s="0" t="s">
        <v>906</v>
      </c>
      <c r="AU338" s="0" t="s">
        <v>872</v>
      </c>
      <c r="AW338" s="0" t="s">
        <v>907</v>
      </c>
      <c r="AY338" s="0" t="s">
        <v>4252</v>
      </c>
      <c r="AZ338" s="0" t="s">
        <v>4253</v>
      </c>
      <c r="BC338" s="0" t="str">
        <f aca="false">"727571575"</f>
        <v>727571575</v>
      </c>
      <c r="BX338" s="0" t="s">
        <v>4254</v>
      </c>
      <c r="CH338" s="0" t="s">
        <v>625</v>
      </c>
      <c r="CI338" s="0" t="s">
        <v>4254</v>
      </c>
      <c r="CJ338" s="0" t="s">
        <v>4255</v>
      </c>
      <c r="CO338" s="0" t="s">
        <v>4246</v>
      </c>
    </row>
    <row r="339" customFormat="false" ht="65" hidden="false" customHeight="false" outlineLevel="0" collapsed="false">
      <c r="A339" s="0" t="s">
        <v>445</v>
      </c>
      <c r="B339" s="0" t="s">
        <v>4256</v>
      </c>
      <c r="C339" s="0" t="s">
        <v>2649</v>
      </c>
      <c r="D339" s="0" t="s">
        <v>2650</v>
      </c>
      <c r="E339" s="0" t="s">
        <v>4257</v>
      </c>
      <c r="F339" s="0" t="s">
        <v>192</v>
      </c>
      <c r="H339" s="0" t="s">
        <v>102</v>
      </c>
      <c r="L339" s="0" t="str">
        <f aca="false">"1763"</f>
        <v>1763</v>
      </c>
      <c r="M339" s="1" t="s">
        <v>193</v>
      </c>
      <c r="O339" s="1" t="s">
        <v>4258</v>
      </c>
      <c r="T339" s="0" t="s">
        <v>4259</v>
      </c>
      <c r="AB339" s="0" t="s">
        <v>4260</v>
      </c>
      <c r="AS339" s="0" t="s">
        <v>2794</v>
      </c>
      <c r="AT339" s="0" t="s">
        <v>906</v>
      </c>
      <c r="AU339" s="0" t="s">
        <v>112</v>
      </c>
      <c r="AV339" s="0" t="s">
        <v>113</v>
      </c>
      <c r="AW339" s="0" t="s">
        <v>907</v>
      </c>
      <c r="AZ339" s="0" t="s">
        <v>4261</v>
      </c>
      <c r="BC339" s="0" t="str">
        <f aca="false">"856895237"</f>
        <v>856895237</v>
      </c>
      <c r="BD339" s="0" t="s">
        <v>873</v>
      </c>
      <c r="BE339" s="0" t="s">
        <v>4262</v>
      </c>
      <c r="BJ339" s="0" t="s">
        <v>118</v>
      </c>
      <c r="BX339" s="0" t="s">
        <v>4263</v>
      </c>
      <c r="CF339" s="1" t="s">
        <v>4264</v>
      </c>
      <c r="CG339" s="0" t="s">
        <v>123</v>
      </c>
      <c r="CH339" s="0" t="s">
        <v>342</v>
      </c>
      <c r="CI339" s="0" t="s">
        <v>4263</v>
      </c>
      <c r="CJ339" s="0" t="s">
        <v>4265</v>
      </c>
      <c r="CL339" s="0" t="s">
        <v>4266</v>
      </c>
      <c r="CM339" s="0" t="s">
        <v>4266</v>
      </c>
      <c r="CO339" s="0" t="s">
        <v>4256</v>
      </c>
      <c r="CR339" s="0" t="s">
        <v>4267</v>
      </c>
    </row>
    <row r="340" customFormat="false" ht="12.8" hidden="false" customHeight="false" outlineLevel="0" collapsed="false">
      <c r="A340" s="0" t="s">
        <v>445</v>
      </c>
      <c r="B340" s="0" t="s">
        <v>4268</v>
      </c>
      <c r="C340" s="0" t="s">
        <v>895</v>
      </c>
      <c r="D340" s="0" t="s">
        <v>896</v>
      </c>
      <c r="E340" s="0" t="s">
        <v>4269</v>
      </c>
      <c r="L340" s="0" t="str">
        <f aca="false">"1763"</f>
        <v>1763</v>
      </c>
      <c r="R340" s="0" t="s">
        <v>4270</v>
      </c>
      <c r="T340" s="0" t="s">
        <v>398</v>
      </c>
      <c r="AA340" s="0" t="str">
        <f aca="false">"10102183"</f>
        <v>10102183</v>
      </c>
      <c r="AB340" s="0" t="s">
        <v>4271</v>
      </c>
      <c r="AS340" s="0" t="s">
        <v>4150</v>
      </c>
      <c r="AT340" s="0" t="s">
        <v>906</v>
      </c>
      <c r="AU340" s="0" t="s">
        <v>872</v>
      </c>
      <c r="AZ340" s="0" t="s">
        <v>4272</v>
      </c>
      <c r="BC340" s="0" t="str">
        <f aca="false">"616668155"</f>
        <v>616668155</v>
      </c>
      <c r="BX340" s="0" t="s">
        <v>4273</v>
      </c>
      <c r="CI340" s="0" t="s">
        <v>4273</v>
      </c>
      <c r="CJ340" s="0" t="s">
        <v>4274</v>
      </c>
      <c r="CO340" s="0" t="s">
        <v>4268</v>
      </c>
    </row>
    <row r="341" customFormat="false" ht="12.8" hidden="false" customHeight="false" outlineLevel="0" collapsed="false">
      <c r="A341" s="0" t="s">
        <v>445</v>
      </c>
      <c r="B341" s="0" t="s">
        <v>4275</v>
      </c>
      <c r="C341" s="0" t="s">
        <v>1685</v>
      </c>
      <c r="D341" s="0" t="s">
        <v>1686</v>
      </c>
      <c r="E341" s="0" t="s">
        <v>4276</v>
      </c>
      <c r="L341" s="0" t="str">
        <f aca="false">"1763"</f>
        <v>1763</v>
      </c>
      <c r="M341" s="0" t="s">
        <v>870</v>
      </c>
      <c r="O341" s="0" t="s">
        <v>4277</v>
      </c>
      <c r="T341" s="0" t="s">
        <v>1150</v>
      </c>
      <c r="AA341" s="0" t="str">
        <f aca="false">"10081887"</f>
        <v>10081887</v>
      </c>
      <c r="AB341" s="0" t="s">
        <v>4278</v>
      </c>
      <c r="AS341" s="0" t="s">
        <v>1199</v>
      </c>
      <c r="AT341" s="0" t="s">
        <v>906</v>
      </c>
      <c r="AU341" s="0" t="s">
        <v>872</v>
      </c>
      <c r="AW341" s="0" t="s">
        <v>907</v>
      </c>
      <c r="BC341" s="0" t="str">
        <f aca="false">"738495182"</f>
        <v>738495182</v>
      </c>
      <c r="BX341" s="0" t="s">
        <v>4279</v>
      </c>
      <c r="CI341" s="0" t="s">
        <v>4279</v>
      </c>
      <c r="CJ341" s="0" t="s">
        <v>4280</v>
      </c>
      <c r="CO341" s="0" t="s">
        <v>4275</v>
      </c>
    </row>
    <row r="342" customFormat="false" ht="12.8" hidden="false" customHeight="false" outlineLevel="0" collapsed="false">
      <c r="A342" s="0" t="s">
        <v>445</v>
      </c>
      <c r="B342" s="0" t="s">
        <v>4281</v>
      </c>
      <c r="C342" s="0" t="s">
        <v>3941</v>
      </c>
      <c r="D342" s="0" t="s">
        <v>3070</v>
      </c>
      <c r="E342" s="0" t="s">
        <v>4282</v>
      </c>
      <c r="L342" s="0" t="str">
        <f aca="false">"1763"</f>
        <v>1763</v>
      </c>
      <c r="M342" s="0" t="s">
        <v>448</v>
      </c>
      <c r="O342" s="0" t="s">
        <v>4283</v>
      </c>
      <c r="AA342" s="0" t="str">
        <f aca="false">"13058363"</f>
        <v>13058363</v>
      </c>
      <c r="AB342" s="0" t="s">
        <v>4284</v>
      </c>
      <c r="AS342" s="0" t="s">
        <v>3673</v>
      </c>
      <c r="AT342" s="0" t="s">
        <v>906</v>
      </c>
      <c r="AU342" s="0" t="s">
        <v>872</v>
      </c>
      <c r="AV342" s="0" t="s">
        <v>113</v>
      </c>
      <c r="AW342" s="0" t="s">
        <v>907</v>
      </c>
      <c r="AZ342" s="0" t="s">
        <v>4285</v>
      </c>
      <c r="BC342" s="0" t="s">
        <v>4286</v>
      </c>
      <c r="BX342" s="0" t="s">
        <v>4287</v>
      </c>
      <c r="CH342" s="0" t="s">
        <v>625</v>
      </c>
      <c r="CI342" s="0" t="s">
        <v>4287</v>
      </c>
      <c r="CJ342" s="0" t="s">
        <v>4288</v>
      </c>
      <c r="CO342" s="0" t="s">
        <v>4289</v>
      </c>
    </row>
    <row r="343" customFormat="false" ht="22.5" hidden="false" customHeight="false" outlineLevel="0" collapsed="false">
      <c r="A343" s="0" t="s">
        <v>445</v>
      </c>
      <c r="B343" s="0" t="s">
        <v>4290</v>
      </c>
      <c r="C343" s="0" t="s">
        <v>3941</v>
      </c>
      <c r="D343" s="0" t="s">
        <v>3070</v>
      </c>
      <c r="E343" s="0" t="s">
        <v>4291</v>
      </c>
      <c r="L343" s="0" t="str">
        <f aca="false">"1763"</f>
        <v>1763</v>
      </c>
      <c r="M343" s="1" t="s">
        <v>898</v>
      </c>
      <c r="O343" s="1" t="s">
        <v>4292</v>
      </c>
      <c r="T343" s="0" t="s">
        <v>4293</v>
      </c>
      <c r="AA343" s="0" t="str">
        <f aca="false">"13034820"</f>
        <v>13034820</v>
      </c>
      <c r="AB343" s="0" t="s">
        <v>4294</v>
      </c>
      <c r="AS343" s="0" t="s">
        <v>1199</v>
      </c>
      <c r="AT343" s="0" t="s">
        <v>906</v>
      </c>
      <c r="AU343" s="0" t="s">
        <v>872</v>
      </c>
      <c r="AV343" s="0" t="s">
        <v>113</v>
      </c>
      <c r="BC343" s="0" t="str">
        <f aca="false">"862211433"</f>
        <v>862211433</v>
      </c>
      <c r="BV343" s="0" t="s">
        <v>4295</v>
      </c>
      <c r="CJ343" s="0" t="s">
        <v>4296</v>
      </c>
      <c r="CO343" s="0" t="s">
        <v>4297</v>
      </c>
    </row>
    <row r="344" customFormat="false" ht="12.8" hidden="false" customHeight="false" outlineLevel="0" collapsed="false">
      <c r="A344" s="0" t="s">
        <v>445</v>
      </c>
      <c r="B344" s="0" t="s">
        <v>4298</v>
      </c>
      <c r="C344" s="0" t="s">
        <v>242</v>
      </c>
      <c r="D344" s="0" t="s">
        <v>243</v>
      </c>
      <c r="E344" s="0" t="s">
        <v>4299</v>
      </c>
      <c r="L344" s="0" t="str">
        <f aca="false">"1763"</f>
        <v>1763</v>
      </c>
      <c r="R344" s="0" t="s">
        <v>4300</v>
      </c>
      <c r="T344" s="0" t="s">
        <v>4068</v>
      </c>
      <c r="AA344" s="0" t="str">
        <f aca="false">"10561315"</f>
        <v>10561315</v>
      </c>
      <c r="AB344" s="0" t="s">
        <v>4301</v>
      </c>
      <c r="AS344" s="0" t="s">
        <v>1199</v>
      </c>
      <c r="AT344" s="0" t="s">
        <v>906</v>
      </c>
      <c r="AU344" s="0" t="s">
        <v>872</v>
      </c>
      <c r="BX344" s="0" t="s">
        <v>4302</v>
      </c>
      <c r="CH344" s="0" t="s">
        <v>298</v>
      </c>
      <c r="CI344" s="0" t="s">
        <v>4302</v>
      </c>
      <c r="CJ344" s="0" t="s">
        <v>4303</v>
      </c>
      <c r="CO344" s="0" t="s">
        <v>4298</v>
      </c>
    </row>
    <row r="345" customFormat="false" ht="33.1" hidden="false" customHeight="false" outlineLevel="0" collapsed="false">
      <c r="A345" s="0" t="s">
        <v>445</v>
      </c>
      <c r="B345" s="0" t="s">
        <v>4304</v>
      </c>
      <c r="C345" s="0" t="s">
        <v>3941</v>
      </c>
      <c r="D345" s="0" t="s">
        <v>3070</v>
      </c>
      <c r="E345" s="0" t="s">
        <v>4305</v>
      </c>
      <c r="L345" s="0" t="str">
        <f aca="false">"1763"</f>
        <v>1763</v>
      </c>
      <c r="M345" s="1" t="s">
        <v>4306</v>
      </c>
      <c r="O345" s="1" t="s">
        <v>4307</v>
      </c>
      <c r="T345" s="0" t="s">
        <v>1150</v>
      </c>
      <c r="AA345" s="0" t="str">
        <f aca="false">"12984116"</f>
        <v>12984116</v>
      </c>
      <c r="AB345" s="0" t="s">
        <v>4308</v>
      </c>
      <c r="AS345" s="0" t="s">
        <v>1199</v>
      </c>
      <c r="AT345" s="0" t="s">
        <v>906</v>
      </c>
      <c r="AU345" s="0" t="s">
        <v>872</v>
      </c>
      <c r="AW345" s="0" t="s">
        <v>907</v>
      </c>
      <c r="AZ345" s="0" t="s">
        <v>4309</v>
      </c>
      <c r="BC345" s="0" t="str">
        <f aca="false">"817159509"</f>
        <v>817159509</v>
      </c>
      <c r="BV345" s="0" t="s">
        <v>4310</v>
      </c>
      <c r="CG345" s="0" t="s">
        <v>123</v>
      </c>
      <c r="CH345" s="0" t="s">
        <v>4311</v>
      </c>
      <c r="CJ345" s="0" t="s">
        <v>4312</v>
      </c>
      <c r="CO345" s="0" t="s">
        <v>4313</v>
      </c>
      <c r="CR345" s="0" t="s">
        <v>4314</v>
      </c>
    </row>
    <row r="346" customFormat="false" ht="33.1" hidden="false" customHeight="false" outlineLevel="0" collapsed="false">
      <c r="A346" s="0" t="s">
        <v>445</v>
      </c>
      <c r="B346" s="0" t="s">
        <v>4315</v>
      </c>
      <c r="C346" s="0" t="s">
        <v>242</v>
      </c>
      <c r="D346" s="0" t="s">
        <v>243</v>
      </c>
      <c r="E346" s="0" t="s">
        <v>4316</v>
      </c>
      <c r="L346" s="0" t="str">
        <f aca="false">"1763"</f>
        <v>1763</v>
      </c>
      <c r="M346" s="0" t="s">
        <v>448</v>
      </c>
      <c r="O346" s="0" t="s">
        <v>4317</v>
      </c>
      <c r="AA346" s="0" t="str">
        <f aca="false">"10546413"</f>
        <v>10546413</v>
      </c>
      <c r="AB346" s="0" t="s">
        <v>4318</v>
      </c>
      <c r="AS346" s="0" t="s">
        <v>1199</v>
      </c>
      <c r="AT346" s="0" t="s">
        <v>906</v>
      </c>
      <c r="AU346" s="0" t="s">
        <v>872</v>
      </c>
      <c r="AW346" s="0" t="s">
        <v>907</v>
      </c>
      <c r="AZ346" s="0" t="s">
        <v>4319</v>
      </c>
      <c r="BV346" s="0" t="s">
        <v>4320</v>
      </c>
      <c r="BX346" s="0" t="s">
        <v>4321</v>
      </c>
      <c r="CH346" s="1" t="s">
        <v>4322</v>
      </c>
      <c r="CI346" s="0" t="s">
        <v>4321</v>
      </c>
      <c r="CJ346" s="0" t="s">
        <v>4323</v>
      </c>
      <c r="CO346" s="0" t="s">
        <v>4315</v>
      </c>
    </row>
    <row r="347" customFormat="false" ht="12.8" hidden="false" customHeight="false" outlineLevel="0" collapsed="false">
      <c r="A347" s="0" t="s">
        <v>445</v>
      </c>
      <c r="B347" s="0" t="s">
        <v>4324</v>
      </c>
      <c r="C347" s="0" t="s">
        <v>1685</v>
      </c>
      <c r="D347" s="0" t="s">
        <v>1686</v>
      </c>
      <c r="E347" s="0" t="s">
        <v>4325</v>
      </c>
      <c r="L347" s="0" t="str">
        <f aca="false">"1763"</f>
        <v>1763</v>
      </c>
      <c r="M347" s="0" t="s">
        <v>870</v>
      </c>
      <c r="O347" s="0" t="s">
        <v>4277</v>
      </c>
      <c r="T347" s="0" t="s">
        <v>1150</v>
      </c>
      <c r="AA347" s="0" t="str">
        <f aca="false">"11258330"</f>
        <v>11258330</v>
      </c>
      <c r="AB347" s="0" t="s">
        <v>4326</v>
      </c>
      <c r="AS347" s="0" t="s">
        <v>1199</v>
      </c>
      <c r="AT347" s="0" t="s">
        <v>906</v>
      </c>
      <c r="AU347" s="0" t="s">
        <v>872</v>
      </c>
      <c r="AW347" s="0" t="s">
        <v>907</v>
      </c>
      <c r="BC347" s="0" t="str">
        <f aca="false">"738495190"</f>
        <v>738495190</v>
      </c>
      <c r="BX347" s="0" t="s">
        <v>4327</v>
      </c>
      <c r="CG347" s="0" t="s">
        <v>123</v>
      </c>
      <c r="CH347" s="0" t="s">
        <v>4311</v>
      </c>
      <c r="CI347" s="0" t="s">
        <v>4327</v>
      </c>
      <c r="CJ347" s="0" t="s">
        <v>4328</v>
      </c>
      <c r="CO347" s="0" t="s">
        <v>4329</v>
      </c>
      <c r="CR347" s="0" t="s">
        <v>4330</v>
      </c>
    </row>
    <row r="348" customFormat="false" ht="22.5" hidden="false" customHeight="false" outlineLevel="0" collapsed="false">
      <c r="A348" s="0" t="s">
        <v>445</v>
      </c>
      <c r="B348" s="0" t="s">
        <v>4331</v>
      </c>
      <c r="C348" s="0" t="s">
        <v>242</v>
      </c>
      <c r="D348" s="0" t="s">
        <v>243</v>
      </c>
      <c r="E348" s="0" t="s">
        <v>4332</v>
      </c>
      <c r="L348" s="0" t="str">
        <f aca="false">"1763"</f>
        <v>1763</v>
      </c>
      <c r="M348" s="1" t="s">
        <v>898</v>
      </c>
      <c r="O348" s="1" t="s">
        <v>4333</v>
      </c>
      <c r="T348" s="0" t="s">
        <v>243</v>
      </c>
      <c r="AA348" s="0" t="s">
        <v>4334</v>
      </c>
      <c r="AB348" s="0" t="s">
        <v>4335</v>
      </c>
      <c r="AS348" s="0" t="s">
        <v>3561</v>
      </c>
      <c r="AT348" s="0" t="s">
        <v>906</v>
      </c>
      <c r="AU348" s="0" t="s">
        <v>872</v>
      </c>
      <c r="AV348" s="0" t="s">
        <v>113</v>
      </c>
      <c r="AW348" s="0" t="s">
        <v>907</v>
      </c>
      <c r="AZ348" s="0" t="s">
        <v>4336</v>
      </c>
      <c r="BX348" s="0" t="s">
        <v>4337</v>
      </c>
      <c r="CI348" s="0" t="s">
        <v>4337</v>
      </c>
      <c r="CJ348" s="0" t="s">
        <v>4338</v>
      </c>
      <c r="CO348" s="0" t="s">
        <v>4339</v>
      </c>
    </row>
    <row r="349" customFormat="false" ht="12.8" hidden="false" customHeight="false" outlineLevel="0" collapsed="false">
      <c r="A349" s="0" t="s">
        <v>445</v>
      </c>
      <c r="B349" s="0" t="s">
        <v>4340</v>
      </c>
      <c r="C349" s="0" t="s">
        <v>1213</v>
      </c>
      <c r="D349" s="0" t="s">
        <v>1214</v>
      </c>
      <c r="E349" s="0" t="s">
        <v>4341</v>
      </c>
      <c r="L349" s="0" t="str">
        <f aca="false">"1763"</f>
        <v>1763</v>
      </c>
      <c r="M349" s="0" t="s">
        <v>870</v>
      </c>
      <c r="O349" s="0" t="s">
        <v>4342</v>
      </c>
      <c r="T349" s="0" t="s">
        <v>4343</v>
      </c>
      <c r="AA349" s="2" t="s">
        <v>4344</v>
      </c>
      <c r="AB349" s="0" t="s">
        <v>4345</v>
      </c>
      <c r="AS349" s="0" t="s">
        <v>4346</v>
      </c>
      <c r="AT349" s="0" t="s">
        <v>906</v>
      </c>
      <c r="AU349" s="0" t="s">
        <v>872</v>
      </c>
      <c r="AW349" s="0" t="s">
        <v>907</v>
      </c>
      <c r="BC349" s="2" t="s">
        <v>4347</v>
      </c>
      <c r="CH349" s="0" t="s">
        <v>625</v>
      </c>
      <c r="CJ349" s="0" t="s">
        <v>4348</v>
      </c>
      <c r="CO349" s="0" t="s">
        <v>4349</v>
      </c>
    </row>
    <row r="350" customFormat="false" ht="12.8" hidden="false" customHeight="false" outlineLevel="0" collapsed="false">
      <c r="A350" s="0" t="s">
        <v>445</v>
      </c>
      <c r="B350" s="0" t="s">
        <v>4350</v>
      </c>
      <c r="C350" s="0" t="s">
        <v>242</v>
      </c>
      <c r="D350" s="0" t="s">
        <v>243</v>
      </c>
      <c r="E350" s="0" t="s">
        <v>4351</v>
      </c>
      <c r="L350" s="0" t="str">
        <f aca="false">"1763"</f>
        <v>1763</v>
      </c>
      <c r="M350" s="0" t="s">
        <v>870</v>
      </c>
      <c r="O350" s="0" t="s">
        <v>4352</v>
      </c>
      <c r="T350" s="0" t="s">
        <v>4353</v>
      </c>
      <c r="AA350" s="2" t="s">
        <v>4354</v>
      </c>
      <c r="AB350" s="0" t="s">
        <v>4355</v>
      </c>
      <c r="AS350" s="0" t="s">
        <v>3561</v>
      </c>
      <c r="AT350" s="0" t="s">
        <v>906</v>
      </c>
      <c r="AU350" s="0" t="s">
        <v>872</v>
      </c>
      <c r="BX350" s="0" t="s">
        <v>4356</v>
      </c>
      <c r="CI350" s="0" t="s">
        <v>4356</v>
      </c>
      <c r="CJ350" s="0" t="s">
        <v>4357</v>
      </c>
      <c r="CO350" s="0" t="s">
        <v>4350</v>
      </c>
    </row>
    <row r="351" customFormat="false" ht="65" hidden="false" customHeight="false" outlineLevel="0" collapsed="false">
      <c r="A351" s="0" t="s">
        <v>445</v>
      </c>
      <c r="B351" s="0" t="s">
        <v>4358</v>
      </c>
      <c r="C351" s="0" t="s">
        <v>1685</v>
      </c>
      <c r="D351" s="0" t="s">
        <v>1686</v>
      </c>
      <c r="E351" s="0" t="s">
        <v>4359</v>
      </c>
      <c r="F351" s="0" t="s">
        <v>192</v>
      </c>
      <c r="H351" s="0" t="s">
        <v>102</v>
      </c>
      <c r="L351" s="0" t="str">
        <f aca="false">"1763"</f>
        <v>1763</v>
      </c>
      <c r="M351" s="0" t="s">
        <v>448</v>
      </c>
      <c r="O351" s="0" t="s">
        <v>4360</v>
      </c>
      <c r="R351" s="0" t="s">
        <v>4361</v>
      </c>
      <c r="T351" s="0" t="s">
        <v>1346</v>
      </c>
      <c r="AA351" s="0" t="str">
        <f aca="false">"11338466"</f>
        <v>11338466</v>
      </c>
      <c r="AB351" s="0" t="s">
        <v>4362</v>
      </c>
      <c r="AS351" s="0" t="s">
        <v>4363</v>
      </c>
      <c r="AT351" s="0" t="s">
        <v>906</v>
      </c>
      <c r="AU351" s="0" t="s">
        <v>112</v>
      </c>
      <c r="AW351" s="0" t="s">
        <v>907</v>
      </c>
      <c r="AY351" s="0" t="s">
        <v>4364</v>
      </c>
      <c r="AZ351" s="0" t="s">
        <v>4365</v>
      </c>
      <c r="BC351" s="0" t="str">
        <f aca="false">"738495131"</f>
        <v>738495131</v>
      </c>
      <c r="BD351" s="0" t="s">
        <v>873</v>
      </c>
      <c r="BE351" s="0" t="s">
        <v>4366</v>
      </c>
      <c r="BJ351" s="0" t="s">
        <v>118</v>
      </c>
      <c r="BV351" s="1" t="s">
        <v>4367</v>
      </c>
      <c r="BX351" s="0" t="s">
        <v>4368</v>
      </c>
      <c r="CF351" s="1" t="s">
        <v>4369</v>
      </c>
      <c r="CG351" s="0" t="s">
        <v>123</v>
      </c>
      <c r="CH351" s="0" t="s">
        <v>342</v>
      </c>
      <c r="CI351" s="0" t="s">
        <v>4368</v>
      </c>
      <c r="CJ351" s="0" t="s">
        <v>4370</v>
      </c>
      <c r="CL351" s="0" t="s">
        <v>4371</v>
      </c>
      <c r="CM351" s="0" t="s">
        <v>4371</v>
      </c>
      <c r="CO351" s="0" t="s">
        <v>4358</v>
      </c>
      <c r="CR351" s="0" t="s">
        <v>4372</v>
      </c>
    </row>
    <row r="352" customFormat="false" ht="22.5" hidden="false" customHeight="false" outlineLevel="0" collapsed="false">
      <c r="A352" s="0" t="s">
        <v>445</v>
      </c>
      <c r="B352" s="0" t="s">
        <v>4373</v>
      </c>
      <c r="C352" s="0" t="s">
        <v>1685</v>
      </c>
      <c r="D352" s="0" t="s">
        <v>1686</v>
      </c>
      <c r="E352" s="0" t="s">
        <v>4374</v>
      </c>
      <c r="L352" s="0" t="str">
        <f aca="false">"1763"</f>
        <v>1763</v>
      </c>
      <c r="M352" s="1" t="s">
        <v>193</v>
      </c>
      <c r="O352" s="1" t="s">
        <v>4375</v>
      </c>
      <c r="T352" s="0" t="s">
        <v>3165</v>
      </c>
      <c r="AA352" s="0" t="str">
        <f aca="false">"10065660"</f>
        <v>10065660</v>
      </c>
      <c r="AB352" s="0" t="s">
        <v>4376</v>
      </c>
      <c r="AS352" s="0" t="s">
        <v>4377</v>
      </c>
      <c r="AT352" s="0" t="s">
        <v>906</v>
      </c>
      <c r="AU352" s="0" t="s">
        <v>872</v>
      </c>
      <c r="AW352" s="0" t="s">
        <v>907</v>
      </c>
      <c r="AZ352" s="0" t="s">
        <v>4378</v>
      </c>
      <c r="BC352" s="0" t="str">
        <f aca="false">"738495123"</f>
        <v>738495123</v>
      </c>
      <c r="BU352" s="0" t="s">
        <v>4379</v>
      </c>
      <c r="BX352" s="0" t="s">
        <v>4380</v>
      </c>
      <c r="CH352" s="0" t="s">
        <v>454</v>
      </c>
      <c r="CI352" s="0" t="s">
        <v>4380</v>
      </c>
      <c r="CJ352" s="0" t="s">
        <v>4381</v>
      </c>
      <c r="CO352" s="0" t="s">
        <v>4382</v>
      </c>
    </row>
    <row r="353" customFormat="false" ht="22.5" hidden="false" customHeight="false" outlineLevel="0" collapsed="false">
      <c r="A353" s="0" t="s">
        <v>96</v>
      </c>
      <c r="B353" s="0" t="s">
        <v>4383</v>
      </c>
      <c r="C353" s="0" t="s">
        <v>1213</v>
      </c>
      <c r="D353" s="0" t="s">
        <v>1214</v>
      </c>
      <c r="E353" s="0" t="s">
        <v>4384</v>
      </c>
      <c r="F353" s="0" t="s">
        <v>131</v>
      </c>
      <c r="L353" s="0" t="str">
        <f aca="false">"1763"</f>
        <v>1763</v>
      </c>
      <c r="M353" s="0" t="s">
        <v>715</v>
      </c>
      <c r="O353" s="0" t="s">
        <v>4385</v>
      </c>
      <c r="T353" s="0" t="s">
        <v>4386</v>
      </c>
      <c r="AA353" s="0" t="str">
        <f aca="false">"11188391"</f>
        <v>11188391</v>
      </c>
      <c r="AB353" s="0" t="s">
        <v>4387</v>
      </c>
      <c r="AD353" s="0" t="s">
        <v>136</v>
      </c>
      <c r="AE353" s="0" t="s">
        <v>4388</v>
      </c>
      <c r="AF353" s="0" t="s">
        <v>109</v>
      </c>
      <c r="AG353" s="0" t="s">
        <v>1685</v>
      </c>
      <c r="AH353" s="0" t="s">
        <v>1686</v>
      </c>
      <c r="AI353" s="0" t="s">
        <v>4389</v>
      </c>
      <c r="AM353" s="0" t="s">
        <v>4387</v>
      </c>
      <c r="AT353" s="0" t="s">
        <v>906</v>
      </c>
      <c r="AU353" s="0" t="s">
        <v>872</v>
      </c>
      <c r="AY353" s="0" t="s">
        <v>4390</v>
      </c>
      <c r="BC353" s="0" t="str">
        <f aca="false">"873336224"</f>
        <v>873336224</v>
      </c>
      <c r="BU353" s="0" t="s">
        <v>4391</v>
      </c>
      <c r="BW353" s="0" t="s">
        <v>4392</v>
      </c>
      <c r="BX353" s="0" t="s">
        <v>4393</v>
      </c>
      <c r="CI353" s="0" t="s">
        <v>4393</v>
      </c>
      <c r="CJ353" s="1" t="s">
        <v>4394</v>
      </c>
      <c r="CO353" s="1" t="s">
        <v>4395</v>
      </c>
    </row>
    <row r="354" customFormat="false" ht="33.1" hidden="false" customHeight="false" outlineLevel="0" collapsed="false">
      <c r="A354" s="0" t="s">
        <v>445</v>
      </c>
      <c r="B354" s="0" t="s">
        <v>4396</v>
      </c>
      <c r="C354" s="0" t="s">
        <v>1685</v>
      </c>
      <c r="D354" s="0" t="s">
        <v>1686</v>
      </c>
      <c r="E354" s="0" t="s">
        <v>4397</v>
      </c>
      <c r="L354" s="0" t="str">
        <f aca="false">"1763"</f>
        <v>1763</v>
      </c>
      <c r="M354" s="1" t="s">
        <v>1414</v>
      </c>
      <c r="O354" s="1" t="s">
        <v>4398</v>
      </c>
      <c r="T354" s="0" t="s">
        <v>398</v>
      </c>
      <c r="AA354" s="0" t="str">
        <f aca="false">"11338156"</f>
        <v>11338156</v>
      </c>
      <c r="AB354" s="0" t="s">
        <v>4399</v>
      </c>
      <c r="AS354" s="0" t="s">
        <v>1199</v>
      </c>
      <c r="AT354" s="0" t="s">
        <v>906</v>
      </c>
      <c r="AU354" s="0" t="s">
        <v>872</v>
      </c>
      <c r="AW354" s="0" t="s">
        <v>907</v>
      </c>
      <c r="AZ354" s="0" t="s">
        <v>4400</v>
      </c>
      <c r="BC354" s="2" t="s">
        <v>4401</v>
      </c>
      <c r="BX354" s="0" t="s">
        <v>4402</v>
      </c>
      <c r="CH354" s="0" t="s">
        <v>625</v>
      </c>
      <c r="CI354" s="0" t="s">
        <v>4402</v>
      </c>
      <c r="CJ354" s="0" t="s">
        <v>4403</v>
      </c>
      <c r="CO354" s="0" t="s">
        <v>4396</v>
      </c>
    </row>
    <row r="355" customFormat="false" ht="33.1" hidden="false" customHeight="false" outlineLevel="0" collapsed="false">
      <c r="A355" s="0" t="s">
        <v>445</v>
      </c>
      <c r="B355" s="0" t="s">
        <v>4404</v>
      </c>
      <c r="C355" s="0" t="s">
        <v>1685</v>
      </c>
      <c r="D355" s="0" t="s">
        <v>1686</v>
      </c>
      <c r="E355" s="0" t="s">
        <v>4405</v>
      </c>
      <c r="L355" s="0" t="str">
        <f aca="false">"1763"</f>
        <v>1763</v>
      </c>
      <c r="M355" s="1" t="s">
        <v>4406</v>
      </c>
      <c r="O355" s="1" t="s">
        <v>4407</v>
      </c>
      <c r="T355" s="0" t="s">
        <v>1150</v>
      </c>
      <c r="AA355" s="0" t="str">
        <f aca="false">"11158956"</f>
        <v>11158956</v>
      </c>
      <c r="AB355" s="0" t="s">
        <v>4408</v>
      </c>
      <c r="AS355" s="0" t="s">
        <v>3991</v>
      </c>
      <c r="AT355" s="0" t="s">
        <v>906</v>
      </c>
      <c r="AU355" s="0" t="s">
        <v>872</v>
      </c>
      <c r="AY355" s="0" t="s">
        <v>4409</v>
      </c>
      <c r="BC355" s="0" t="str">
        <f aca="false">"738495174"</f>
        <v>738495174</v>
      </c>
      <c r="BX355" s="0" t="s">
        <v>4410</v>
      </c>
      <c r="CG355" s="0" t="s">
        <v>123</v>
      </c>
      <c r="CH355" s="0" t="s">
        <v>4311</v>
      </c>
      <c r="CI355" s="0" t="s">
        <v>4410</v>
      </c>
      <c r="CJ355" s="0" t="s">
        <v>4411</v>
      </c>
      <c r="CO355" s="0" t="s">
        <v>4412</v>
      </c>
      <c r="CR355" s="0" t="s">
        <v>4413</v>
      </c>
    </row>
    <row r="356" customFormat="false" ht="22.5" hidden="false" customHeight="false" outlineLevel="0" collapsed="false">
      <c r="A356" s="0" t="s">
        <v>445</v>
      </c>
      <c r="B356" s="0" t="s">
        <v>4414</v>
      </c>
      <c r="C356" s="0" t="s">
        <v>1685</v>
      </c>
      <c r="D356" s="0" t="s">
        <v>1686</v>
      </c>
      <c r="E356" s="0" t="s">
        <v>4415</v>
      </c>
      <c r="L356" s="0" t="str">
        <f aca="false">"1763"</f>
        <v>1763</v>
      </c>
      <c r="M356" s="1" t="s">
        <v>898</v>
      </c>
      <c r="O356" s="1" t="s">
        <v>4416</v>
      </c>
      <c r="T356" s="0" t="s">
        <v>4417</v>
      </c>
      <c r="AA356" s="0" t="str">
        <f aca="false">"10314830"</f>
        <v>10314830</v>
      </c>
      <c r="AB356" s="0" t="s">
        <v>4418</v>
      </c>
      <c r="AS356" s="0" t="s">
        <v>1199</v>
      </c>
      <c r="AT356" s="0" t="s">
        <v>906</v>
      </c>
      <c r="AU356" s="0" t="s">
        <v>872</v>
      </c>
      <c r="BC356" s="0" t="s">
        <v>4419</v>
      </c>
      <c r="BV356" s="0" t="s">
        <v>4420</v>
      </c>
      <c r="BX356" s="0" t="s">
        <v>4421</v>
      </c>
      <c r="CH356" s="0" t="s">
        <v>124</v>
      </c>
      <c r="CI356" s="0" t="s">
        <v>4421</v>
      </c>
      <c r="CJ356" s="0" t="s">
        <v>4422</v>
      </c>
      <c r="CO356" s="0" t="s">
        <v>4423</v>
      </c>
    </row>
    <row r="357" customFormat="false" ht="12.8" hidden="false" customHeight="false" outlineLevel="0" collapsed="false">
      <c r="A357" s="0" t="s">
        <v>445</v>
      </c>
      <c r="B357" s="0" t="s">
        <v>4424</v>
      </c>
      <c r="C357" s="0" t="s">
        <v>1213</v>
      </c>
      <c r="D357" s="0" t="s">
        <v>1214</v>
      </c>
      <c r="E357" s="0" t="s">
        <v>4425</v>
      </c>
      <c r="L357" s="0" t="str">
        <f aca="false">"1763"</f>
        <v>1763</v>
      </c>
      <c r="M357" s="0" t="s">
        <v>448</v>
      </c>
      <c r="O357" s="0" t="s">
        <v>4426</v>
      </c>
      <c r="T357" s="0" t="s">
        <v>4343</v>
      </c>
      <c r="AB357" s="0" t="s">
        <v>4427</v>
      </c>
      <c r="AG357" s="0" t="s">
        <v>397</v>
      </c>
      <c r="AH357" s="0" t="s">
        <v>398</v>
      </c>
      <c r="AI357" s="0" t="s">
        <v>4428</v>
      </c>
      <c r="AS357" s="0" t="s">
        <v>1199</v>
      </c>
      <c r="AT357" s="0" t="s">
        <v>906</v>
      </c>
      <c r="AU357" s="0" t="s">
        <v>872</v>
      </c>
      <c r="AW357" s="0" t="s">
        <v>907</v>
      </c>
      <c r="AZ357" s="0" t="s">
        <v>4429</v>
      </c>
      <c r="BC357" s="2" t="s">
        <v>4430</v>
      </c>
      <c r="CJ357" s="0" t="s">
        <v>4431</v>
      </c>
      <c r="CO357" s="0" t="s">
        <v>4432</v>
      </c>
    </row>
    <row r="358" customFormat="false" ht="107.5" hidden="false" customHeight="false" outlineLevel="0" collapsed="false">
      <c r="A358" s="0" t="s">
        <v>445</v>
      </c>
      <c r="B358" s="0" t="s">
        <v>4433</v>
      </c>
      <c r="C358" s="0" t="s">
        <v>1213</v>
      </c>
      <c r="D358" s="0" t="s">
        <v>1214</v>
      </c>
      <c r="E358" s="0" t="s">
        <v>4434</v>
      </c>
      <c r="F358" s="0" t="s">
        <v>192</v>
      </c>
      <c r="H358" s="0" t="s">
        <v>102</v>
      </c>
      <c r="L358" s="0" t="str">
        <f aca="false">"1763"</f>
        <v>1763</v>
      </c>
      <c r="M358" s="1" t="s">
        <v>193</v>
      </c>
      <c r="O358" s="1" t="s">
        <v>4435</v>
      </c>
      <c r="T358" s="0" t="s">
        <v>247</v>
      </c>
      <c r="AA358" s="0" t="s">
        <v>4436</v>
      </c>
      <c r="AB358" s="0" t="s">
        <v>4437</v>
      </c>
      <c r="AG358" s="0" t="s">
        <v>1213</v>
      </c>
      <c r="AH358" s="0" t="s">
        <v>1214</v>
      </c>
      <c r="AI358" s="0" t="s">
        <v>4438</v>
      </c>
      <c r="AS358" s="0" t="s">
        <v>4439</v>
      </c>
      <c r="AT358" s="0" t="s">
        <v>2601</v>
      </c>
      <c r="AU358" s="0" t="s">
        <v>112</v>
      </c>
      <c r="AY358" s="0" t="s">
        <v>4440</v>
      </c>
      <c r="AZ358" s="0" t="s">
        <v>4441</v>
      </c>
      <c r="BC358" s="0" t="str">
        <f aca="false">"476786169"</f>
        <v>476786169</v>
      </c>
      <c r="BD358" s="0" t="s">
        <v>873</v>
      </c>
      <c r="BE358" s="0" t="s">
        <v>4442</v>
      </c>
      <c r="BJ358" s="0" t="s">
        <v>118</v>
      </c>
      <c r="BU358" s="1" t="s">
        <v>4443</v>
      </c>
      <c r="BV358" s="1" t="s">
        <v>4444</v>
      </c>
      <c r="BX358" s="0" t="s">
        <v>4445</v>
      </c>
      <c r="CG358" s="0" t="s">
        <v>123</v>
      </c>
      <c r="CH358" s="0" t="s">
        <v>1265</v>
      </c>
      <c r="CI358" s="0" t="s">
        <v>4445</v>
      </c>
      <c r="CJ358" s="0" t="s">
        <v>4446</v>
      </c>
      <c r="CL358" s="0" t="s">
        <v>4447</v>
      </c>
      <c r="CM358" s="0" t="s">
        <v>4447</v>
      </c>
      <c r="CO358" s="0" t="s">
        <v>4433</v>
      </c>
      <c r="CR358" s="0" t="s">
        <v>4448</v>
      </c>
    </row>
    <row r="359" customFormat="false" ht="33.1" hidden="false" customHeight="false" outlineLevel="0" collapsed="false">
      <c r="A359" s="0" t="s">
        <v>445</v>
      </c>
      <c r="B359" s="0" t="s">
        <v>4449</v>
      </c>
      <c r="C359" s="0" t="s">
        <v>397</v>
      </c>
      <c r="D359" s="0" t="s">
        <v>398</v>
      </c>
      <c r="E359" s="0" t="s">
        <v>4450</v>
      </c>
      <c r="L359" s="0" t="str">
        <f aca="false">"1763"</f>
        <v>1763</v>
      </c>
      <c r="M359" s="1" t="s">
        <v>898</v>
      </c>
      <c r="O359" s="1" t="s">
        <v>4451</v>
      </c>
      <c r="T359" s="1" t="s">
        <v>4452</v>
      </c>
      <c r="AA359" s="0" t="str">
        <f aca="false">"11857242"</f>
        <v>11857242</v>
      </c>
      <c r="AB359" s="0" t="s">
        <v>4453</v>
      </c>
      <c r="AS359" s="0" t="s">
        <v>1199</v>
      </c>
      <c r="AT359" s="0" t="s">
        <v>906</v>
      </c>
      <c r="AU359" s="0" t="s">
        <v>892</v>
      </c>
      <c r="AW359" s="0" t="s">
        <v>907</v>
      </c>
      <c r="BC359" s="0" t="str">
        <f aca="false">"752406485"</f>
        <v>752406485</v>
      </c>
      <c r="BU359" s="0" t="s">
        <v>4454</v>
      </c>
      <c r="BX359" s="0" t="s">
        <v>4455</v>
      </c>
      <c r="CI359" s="0" t="s">
        <v>4455</v>
      </c>
      <c r="CP359" s="0" t="s">
        <v>4456</v>
      </c>
    </row>
    <row r="360" customFormat="false" ht="12.8" hidden="false" customHeight="false" outlineLevel="0" collapsed="false">
      <c r="A360" s="0" t="s">
        <v>445</v>
      </c>
      <c r="B360" s="0" t="s">
        <v>4457</v>
      </c>
      <c r="C360" s="0" t="s">
        <v>397</v>
      </c>
      <c r="D360" s="0" t="s">
        <v>398</v>
      </c>
      <c r="E360" s="0" t="s">
        <v>4458</v>
      </c>
      <c r="L360" s="0" t="str">
        <f aca="false">"1763"</f>
        <v>1763</v>
      </c>
      <c r="M360" s="0" t="s">
        <v>448</v>
      </c>
      <c r="O360" s="0" t="s">
        <v>4131</v>
      </c>
      <c r="T360" s="0" t="s">
        <v>398</v>
      </c>
      <c r="AA360" s="0" t="str">
        <f aca="false">"11857242"</f>
        <v>11857242</v>
      </c>
      <c r="AB360" s="0" t="s">
        <v>4459</v>
      </c>
      <c r="AP360" s="0" t="s">
        <v>4449</v>
      </c>
      <c r="AT360" s="0" t="s">
        <v>906</v>
      </c>
      <c r="AU360" s="0" t="s">
        <v>872</v>
      </c>
      <c r="AW360" s="0" t="s">
        <v>907</v>
      </c>
      <c r="AZ360" s="0" t="s">
        <v>4460</v>
      </c>
      <c r="BX360" s="0" t="s">
        <v>4461</v>
      </c>
      <c r="CH360" s="0" t="s">
        <v>625</v>
      </c>
      <c r="CI360" s="0" t="s">
        <v>4461</v>
      </c>
      <c r="CJ360" s="0" t="s">
        <v>4462</v>
      </c>
      <c r="CO360" s="0" t="s">
        <v>4457</v>
      </c>
    </row>
    <row r="361" customFormat="false" ht="86.25" hidden="false" customHeight="false" outlineLevel="0" collapsed="false">
      <c r="A361" s="0" t="s">
        <v>445</v>
      </c>
      <c r="B361" s="0" t="s">
        <v>4463</v>
      </c>
      <c r="C361" s="0" t="s">
        <v>1213</v>
      </c>
      <c r="D361" s="0" t="s">
        <v>1214</v>
      </c>
      <c r="E361" s="0" t="s">
        <v>4464</v>
      </c>
      <c r="F361" s="0" t="s">
        <v>192</v>
      </c>
      <c r="H361" s="0" t="s">
        <v>102</v>
      </c>
      <c r="L361" s="0" t="str">
        <f aca="false">"1763"</f>
        <v>1763</v>
      </c>
      <c r="M361" s="0" t="s">
        <v>870</v>
      </c>
      <c r="O361" s="0" t="s">
        <v>4465</v>
      </c>
      <c r="T361" s="0" t="s">
        <v>4466</v>
      </c>
      <c r="AB361" s="0" t="s">
        <v>4467</v>
      </c>
      <c r="AS361" s="0" t="s">
        <v>4468</v>
      </c>
      <c r="AT361" s="0" t="s">
        <v>4469</v>
      </c>
      <c r="AU361" s="0" t="s">
        <v>112</v>
      </c>
      <c r="AW361" s="0" t="s">
        <v>907</v>
      </c>
      <c r="BJ361" s="0" t="s">
        <v>118</v>
      </c>
      <c r="BX361" s="0" t="s">
        <v>4470</v>
      </c>
      <c r="CF361" s="0" t="s">
        <v>4471</v>
      </c>
      <c r="CG361" s="0" t="s">
        <v>123</v>
      </c>
      <c r="CH361" s="0" t="s">
        <v>454</v>
      </c>
      <c r="CI361" s="0" t="s">
        <v>4470</v>
      </c>
      <c r="CL361" s="0" t="s">
        <v>4472</v>
      </c>
      <c r="CM361" s="0" t="s">
        <v>4472</v>
      </c>
      <c r="CP361" s="1" t="s">
        <v>4473</v>
      </c>
      <c r="CR361" s="0" t="s">
        <v>4474</v>
      </c>
    </row>
    <row r="362" customFormat="false" ht="22.5" hidden="false" customHeight="false" outlineLevel="0" collapsed="false">
      <c r="A362" s="0" t="s">
        <v>445</v>
      </c>
      <c r="B362" s="0" t="s">
        <v>4475</v>
      </c>
      <c r="E362" s="0" t="s">
        <v>4476</v>
      </c>
      <c r="L362" s="0" t="str">
        <f aca="false">"1763"</f>
        <v>1763</v>
      </c>
      <c r="M362" s="0" t="s">
        <v>448</v>
      </c>
      <c r="O362" s="0" t="s">
        <v>4477</v>
      </c>
      <c r="AB362" s="0" t="s">
        <v>4478</v>
      </c>
      <c r="AG362" s="0" t="s">
        <v>1213</v>
      </c>
      <c r="AH362" s="0" t="s">
        <v>1214</v>
      </c>
      <c r="AI362" s="0" t="s">
        <v>4479</v>
      </c>
      <c r="AP362" s="0" t="s">
        <v>4480</v>
      </c>
      <c r="AS362" s="0" t="s">
        <v>4346</v>
      </c>
      <c r="AT362" s="0" t="s">
        <v>906</v>
      </c>
      <c r="AU362" s="0" t="s">
        <v>872</v>
      </c>
      <c r="CH362" s="1" t="s">
        <v>4481</v>
      </c>
      <c r="CJ362" s="0" t="s">
        <v>4482</v>
      </c>
      <c r="CO362" s="0" t="s">
        <v>4475</v>
      </c>
    </row>
    <row r="363" customFormat="false" ht="22.5" hidden="false" customHeight="false" outlineLevel="0" collapsed="false">
      <c r="A363" s="0" t="s">
        <v>190</v>
      </c>
      <c r="B363" s="0" t="s">
        <v>4480</v>
      </c>
      <c r="C363" s="0" t="s">
        <v>1685</v>
      </c>
      <c r="D363" s="0" t="s">
        <v>1686</v>
      </c>
      <c r="E363" s="0" t="s">
        <v>4483</v>
      </c>
      <c r="L363" s="0" t="str">
        <f aca="false">"1769"</f>
        <v>1769</v>
      </c>
      <c r="M363" s="1" t="s">
        <v>898</v>
      </c>
      <c r="O363" s="1" t="s">
        <v>4484</v>
      </c>
      <c r="T363" s="0" t="s">
        <v>1881</v>
      </c>
      <c r="AA363" s="2" t="s">
        <v>4485</v>
      </c>
      <c r="AB363" s="0" t="s">
        <v>4486</v>
      </c>
      <c r="AG363" s="0" t="s">
        <v>242</v>
      </c>
      <c r="AH363" s="0" t="s">
        <v>243</v>
      </c>
      <c r="AI363" s="0" t="s">
        <v>4487</v>
      </c>
      <c r="AS363" s="0" t="s">
        <v>4346</v>
      </c>
      <c r="AT363" s="0" t="s">
        <v>906</v>
      </c>
      <c r="AU363" s="0" t="s">
        <v>892</v>
      </c>
      <c r="AW363" s="0" t="s">
        <v>907</v>
      </c>
      <c r="AY363" s="0" t="s">
        <v>4488</v>
      </c>
      <c r="AZ363" s="0" t="s">
        <v>4489</v>
      </c>
      <c r="BC363" s="0" t="str">
        <f aca="false">"246139056"</f>
        <v>246139056</v>
      </c>
      <c r="BV363" s="0" t="s">
        <v>4490</v>
      </c>
      <c r="BX363" s="0" t="s">
        <v>4491</v>
      </c>
      <c r="CI363" s="0" t="s">
        <v>4491</v>
      </c>
      <c r="CP363" s="0" t="s">
        <v>4492</v>
      </c>
    </row>
    <row r="364" customFormat="false" ht="33.1" hidden="false" customHeight="false" outlineLevel="0" collapsed="false">
      <c r="A364" s="0" t="s">
        <v>445</v>
      </c>
      <c r="B364" s="0" t="s">
        <v>4493</v>
      </c>
      <c r="C364" s="0" t="s">
        <v>242</v>
      </c>
      <c r="D364" s="0" t="s">
        <v>243</v>
      </c>
      <c r="E364" s="0" t="s">
        <v>4494</v>
      </c>
      <c r="L364" s="0" t="str">
        <f aca="false">"1763"</f>
        <v>1763</v>
      </c>
      <c r="M364" s="1" t="s">
        <v>1414</v>
      </c>
      <c r="O364" s="1" t="s">
        <v>4495</v>
      </c>
      <c r="T364" s="0" t="s">
        <v>1050</v>
      </c>
      <c r="AA364" s="0" t="s">
        <v>4496</v>
      </c>
      <c r="AB364" s="0" t="s">
        <v>4497</v>
      </c>
      <c r="AS364" s="0" t="s">
        <v>3561</v>
      </c>
      <c r="AT364" s="0" t="s">
        <v>906</v>
      </c>
      <c r="AU364" s="0" t="s">
        <v>872</v>
      </c>
      <c r="AV364" s="0" t="s">
        <v>113</v>
      </c>
      <c r="AW364" s="0" t="s">
        <v>907</v>
      </c>
      <c r="AY364" s="0" t="s">
        <v>4498</v>
      </c>
      <c r="BX364" s="0" t="s">
        <v>4499</v>
      </c>
      <c r="CH364" s="0" t="s">
        <v>454</v>
      </c>
      <c r="CI364" s="0" t="s">
        <v>4499</v>
      </c>
      <c r="CJ364" s="0" t="s">
        <v>4500</v>
      </c>
      <c r="CO364" s="0" t="s">
        <v>4493</v>
      </c>
    </row>
    <row r="365" customFormat="false" ht="22.5" hidden="false" customHeight="false" outlineLevel="0" collapsed="false">
      <c r="A365" s="0" t="s">
        <v>445</v>
      </c>
      <c r="B365" s="0" t="s">
        <v>4501</v>
      </c>
      <c r="C365" s="0" t="s">
        <v>1685</v>
      </c>
      <c r="D365" s="0" t="s">
        <v>1686</v>
      </c>
      <c r="E365" s="0" t="s">
        <v>4502</v>
      </c>
      <c r="L365" s="0" t="str">
        <f aca="false">"1763"</f>
        <v>1763</v>
      </c>
      <c r="M365" s="1" t="s">
        <v>193</v>
      </c>
      <c r="O365" s="1" t="s">
        <v>4503</v>
      </c>
      <c r="T365" s="0" t="s">
        <v>4504</v>
      </c>
      <c r="AA365" s="2" t="s">
        <v>4505</v>
      </c>
      <c r="AB365" s="0" t="s">
        <v>4506</v>
      </c>
      <c r="AS365" s="0" t="s">
        <v>4251</v>
      </c>
      <c r="AT365" s="0" t="s">
        <v>906</v>
      </c>
      <c r="AU365" s="0" t="s">
        <v>872</v>
      </c>
      <c r="AW365" s="0" t="s">
        <v>907</v>
      </c>
      <c r="AZ365" s="0" t="s">
        <v>4507</v>
      </c>
      <c r="BC365" s="0" t="str">
        <f aca="false">"738495166"</f>
        <v>738495166</v>
      </c>
      <c r="BX365" s="0" t="s">
        <v>4508</v>
      </c>
      <c r="CH365" s="0" t="s">
        <v>454</v>
      </c>
      <c r="CI365" s="0" t="s">
        <v>4508</v>
      </c>
      <c r="CJ365" s="0" t="s">
        <v>4509</v>
      </c>
      <c r="CO365" s="0" t="s">
        <v>4501</v>
      </c>
    </row>
    <row r="366" customFormat="false" ht="12.8" hidden="false" customHeight="false" outlineLevel="0" collapsed="false">
      <c r="A366" s="0" t="s">
        <v>445</v>
      </c>
      <c r="B366" s="0" t="s">
        <v>4510</v>
      </c>
      <c r="C366" s="0" t="s">
        <v>242</v>
      </c>
      <c r="D366" s="0" t="s">
        <v>243</v>
      </c>
      <c r="E366" s="0" t="s">
        <v>4511</v>
      </c>
      <c r="L366" s="0" t="str">
        <f aca="false">"1763"</f>
        <v>1763</v>
      </c>
      <c r="M366" s="0" t="s">
        <v>448</v>
      </c>
      <c r="O366" s="0" t="s">
        <v>4512</v>
      </c>
      <c r="R366" s="0" t="s">
        <v>4513</v>
      </c>
      <c r="T366" s="0" t="s">
        <v>243</v>
      </c>
      <c r="AA366" s="0" t="str">
        <f aca="false">"10316078"</f>
        <v>10316078</v>
      </c>
      <c r="AB366" s="0" t="s">
        <v>4514</v>
      </c>
      <c r="AG366" s="0" t="s">
        <v>1685</v>
      </c>
      <c r="AH366" s="0" t="s">
        <v>1686</v>
      </c>
      <c r="AI366" s="0" t="s">
        <v>4515</v>
      </c>
      <c r="AS366" s="0" t="s">
        <v>4516</v>
      </c>
      <c r="AT366" s="0" t="s">
        <v>906</v>
      </c>
      <c r="AU366" s="0" t="s">
        <v>872</v>
      </c>
      <c r="AV366" s="0" t="s">
        <v>113</v>
      </c>
      <c r="AW366" s="0" t="s">
        <v>907</v>
      </c>
      <c r="AZ366" s="0" t="s">
        <v>4517</v>
      </c>
      <c r="BC366" s="0" t="str">
        <f aca="false">"874224977"</f>
        <v>874224977</v>
      </c>
      <c r="BX366" s="0" t="s">
        <v>4518</v>
      </c>
      <c r="CI366" s="0" t="s">
        <v>4518</v>
      </c>
      <c r="CJ366" s="0" t="s">
        <v>4519</v>
      </c>
      <c r="CO366" s="0" t="s">
        <v>4520</v>
      </c>
    </row>
    <row r="367" customFormat="false" ht="43.75" hidden="false" customHeight="false" outlineLevel="0" collapsed="false">
      <c r="A367" s="0" t="s">
        <v>445</v>
      </c>
      <c r="B367" s="0" t="s">
        <v>4521</v>
      </c>
      <c r="C367" s="0" t="s">
        <v>242</v>
      </c>
      <c r="D367" s="0" t="s">
        <v>243</v>
      </c>
      <c r="E367" s="0" t="s">
        <v>4522</v>
      </c>
      <c r="L367" s="0" t="str">
        <f aca="false">"1763"</f>
        <v>1763</v>
      </c>
      <c r="M367" s="1" t="s">
        <v>4523</v>
      </c>
      <c r="O367" s="1" t="s">
        <v>4524</v>
      </c>
      <c r="T367" s="0" t="s">
        <v>1050</v>
      </c>
      <c r="AA367" s="0" t="str">
        <f aca="false">"10564659"</f>
        <v>10564659</v>
      </c>
      <c r="AB367" s="0" t="s">
        <v>4525</v>
      </c>
      <c r="AS367" s="0" t="s">
        <v>3561</v>
      </c>
      <c r="AT367" s="0" t="s">
        <v>906</v>
      </c>
      <c r="AU367" s="0" t="s">
        <v>872</v>
      </c>
      <c r="BV367" s="0" t="s">
        <v>4526</v>
      </c>
      <c r="BX367" s="0" t="s">
        <v>4527</v>
      </c>
      <c r="CI367" s="0" t="s">
        <v>4527</v>
      </c>
      <c r="CJ367" s="0" t="s">
        <v>4528</v>
      </c>
      <c r="CO367" s="0" t="s">
        <v>4529</v>
      </c>
    </row>
    <row r="368" customFormat="false" ht="12.8" hidden="false" customHeight="false" outlineLevel="0" collapsed="false">
      <c r="A368" s="0" t="s">
        <v>445</v>
      </c>
      <c r="B368" s="0" t="s">
        <v>4530</v>
      </c>
      <c r="C368" s="0" t="s">
        <v>242</v>
      </c>
      <c r="D368" s="0" t="s">
        <v>243</v>
      </c>
      <c r="E368" s="0" t="s">
        <v>4531</v>
      </c>
      <c r="L368" s="0" t="str">
        <f aca="false">"1763"</f>
        <v>1763</v>
      </c>
      <c r="M368" s="0" t="s">
        <v>448</v>
      </c>
      <c r="O368" s="0" t="s">
        <v>4532</v>
      </c>
      <c r="T368" s="0" t="s">
        <v>896</v>
      </c>
      <c r="AA368" s="0" t="str">
        <f aca="false">"10589090"</f>
        <v>10589090</v>
      </c>
      <c r="AB368" s="0" t="s">
        <v>4533</v>
      </c>
      <c r="AS368" s="0" t="s">
        <v>1199</v>
      </c>
      <c r="AT368" s="0" t="s">
        <v>906</v>
      </c>
      <c r="AU368" s="0" t="s">
        <v>872</v>
      </c>
      <c r="AY368" s="0" t="s">
        <v>4534</v>
      </c>
      <c r="BX368" s="0" t="s">
        <v>4535</v>
      </c>
      <c r="CI368" s="0" t="s">
        <v>4535</v>
      </c>
      <c r="CJ368" s="0" t="s">
        <v>4536</v>
      </c>
      <c r="CO368" s="0" t="s">
        <v>4530</v>
      </c>
    </row>
    <row r="369" customFormat="false" ht="43.75" hidden="false" customHeight="false" outlineLevel="0" collapsed="false">
      <c r="A369" s="0" t="s">
        <v>445</v>
      </c>
      <c r="B369" s="0" t="s">
        <v>4537</v>
      </c>
      <c r="C369" s="0" t="s">
        <v>224</v>
      </c>
      <c r="D369" s="0" t="s">
        <v>225</v>
      </c>
      <c r="E369" s="0" t="s">
        <v>4538</v>
      </c>
      <c r="F369" s="0" t="s">
        <v>192</v>
      </c>
      <c r="H369" s="0" t="s">
        <v>102</v>
      </c>
      <c r="L369" s="0" t="str">
        <f aca="false">"1763"</f>
        <v>1763</v>
      </c>
      <c r="M369" s="0" t="s">
        <v>448</v>
      </c>
      <c r="O369" s="0" t="s">
        <v>4539</v>
      </c>
      <c r="T369" s="0" t="s">
        <v>1164</v>
      </c>
      <c r="AB369" s="0" t="s">
        <v>4540</v>
      </c>
      <c r="AG369" s="0" t="s">
        <v>4541</v>
      </c>
      <c r="AH369" s="0" t="s">
        <v>1164</v>
      </c>
      <c r="AI369" s="0" t="s">
        <v>4542</v>
      </c>
      <c r="AS369" s="0" t="s">
        <v>4543</v>
      </c>
      <c r="AT369" s="0" t="s">
        <v>906</v>
      </c>
      <c r="AU369" s="0" t="s">
        <v>112</v>
      </c>
      <c r="AW369" s="0" t="s">
        <v>907</v>
      </c>
      <c r="AZ369" s="0" t="s">
        <v>4544</v>
      </c>
      <c r="BC369" s="2" t="s">
        <v>4545</v>
      </c>
      <c r="BV369" s="1" t="s">
        <v>4546</v>
      </c>
      <c r="BX369" s="0" t="s">
        <v>4547</v>
      </c>
      <c r="CF369" s="1" t="s">
        <v>4548</v>
      </c>
      <c r="CG369" s="0" t="s">
        <v>123</v>
      </c>
      <c r="CH369" s="0" t="s">
        <v>342</v>
      </c>
      <c r="CI369" s="0" t="s">
        <v>4547</v>
      </c>
      <c r="CJ369" s="0" t="s">
        <v>4549</v>
      </c>
      <c r="CL369" s="0" t="s">
        <v>4550</v>
      </c>
      <c r="CM369" s="0" t="s">
        <v>4550</v>
      </c>
      <c r="CO369" s="0" t="s">
        <v>4551</v>
      </c>
      <c r="CR369" s="0" t="s">
        <v>4552</v>
      </c>
    </row>
    <row r="370" customFormat="false" ht="22.5" hidden="false" customHeight="false" outlineLevel="0" collapsed="false">
      <c r="A370" s="0" t="s">
        <v>445</v>
      </c>
      <c r="B370" s="0" t="s">
        <v>4553</v>
      </c>
      <c r="C370" s="0" t="s">
        <v>242</v>
      </c>
      <c r="D370" s="0" t="s">
        <v>243</v>
      </c>
      <c r="E370" s="0" t="s">
        <v>4554</v>
      </c>
      <c r="L370" s="0" t="str">
        <f aca="false">"1763"</f>
        <v>1763</v>
      </c>
      <c r="M370" s="1" t="s">
        <v>898</v>
      </c>
      <c r="O370" s="1" t="s">
        <v>4555</v>
      </c>
      <c r="T370" s="0" t="s">
        <v>3198</v>
      </c>
      <c r="AA370" s="0" t="str">
        <f aca="false">"10548912"</f>
        <v>10548912</v>
      </c>
      <c r="AB370" s="0" t="s">
        <v>4556</v>
      </c>
      <c r="AS370" s="0" t="s">
        <v>4557</v>
      </c>
      <c r="AT370" s="0" t="s">
        <v>906</v>
      </c>
      <c r="AU370" s="0" t="s">
        <v>892</v>
      </c>
      <c r="BX370" s="0" t="s">
        <v>4558</v>
      </c>
      <c r="CH370" s="0" t="s">
        <v>625</v>
      </c>
      <c r="CI370" s="0" t="s">
        <v>4558</v>
      </c>
      <c r="CJ370" s="0" t="s">
        <v>4559</v>
      </c>
      <c r="CO370" s="0" t="s">
        <v>4560</v>
      </c>
    </row>
    <row r="371" customFormat="false" ht="12.8" hidden="false" customHeight="false" outlineLevel="0" collapsed="false">
      <c r="A371" s="0" t="s">
        <v>445</v>
      </c>
      <c r="B371" s="0" t="s">
        <v>4561</v>
      </c>
      <c r="C371" s="0" t="s">
        <v>397</v>
      </c>
      <c r="D371" s="0" t="s">
        <v>398</v>
      </c>
      <c r="E371" s="0" t="s">
        <v>4562</v>
      </c>
      <c r="L371" s="0" t="str">
        <f aca="false">"1764"</f>
        <v>1764</v>
      </c>
      <c r="M371" s="0" t="s">
        <v>448</v>
      </c>
      <c r="O371" s="0" t="s">
        <v>4563</v>
      </c>
      <c r="R371" s="0" t="s">
        <v>4564</v>
      </c>
      <c r="T371" s="0" t="s">
        <v>4565</v>
      </c>
      <c r="AA371" s="0" t="str">
        <f aca="false">"11861444"</f>
        <v>11861444</v>
      </c>
      <c r="AB371" s="0" t="s">
        <v>4566</v>
      </c>
      <c r="AS371" s="0" t="s">
        <v>1199</v>
      </c>
      <c r="AT371" s="0" t="s">
        <v>906</v>
      </c>
      <c r="AU371" s="0" t="s">
        <v>872</v>
      </c>
      <c r="AW371" s="0" t="s">
        <v>907</v>
      </c>
      <c r="BC371" s="0" t="s">
        <v>4567</v>
      </c>
      <c r="BX371" s="0" t="s">
        <v>4568</v>
      </c>
      <c r="CI371" s="0" t="s">
        <v>4568</v>
      </c>
      <c r="CJ371" s="0" t="s">
        <v>4569</v>
      </c>
      <c r="CO371" s="0" t="s">
        <v>4561</v>
      </c>
    </row>
    <row r="372" customFormat="false" ht="33.1" hidden="false" customHeight="false" outlineLevel="0" collapsed="false">
      <c r="A372" s="0" t="s">
        <v>190</v>
      </c>
      <c r="B372" s="0" t="s">
        <v>4570</v>
      </c>
      <c r="C372" s="0" t="s">
        <v>224</v>
      </c>
      <c r="D372" s="0" t="s">
        <v>225</v>
      </c>
      <c r="E372" s="0" t="s">
        <v>4571</v>
      </c>
      <c r="L372" s="0" t="str">
        <f aca="false">"1766"</f>
        <v>1766</v>
      </c>
      <c r="M372" s="1" t="s">
        <v>4121</v>
      </c>
      <c r="O372" s="1" t="s">
        <v>4572</v>
      </c>
      <c r="P372" s="0" t="str">
        <f aca="false">"7"</f>
        <v>7</v>
      </c>
      <c r="Q372" s="0" t="str">
        <f aca="false">"4"</f>
        <v>4</v>
      </c>
      <c r="T372" s="0" t="s">
        <v>1050</v>
      </c>
      <c r="AA372" s="0" t="str">
        <f aca="false">"90332032"</f>
        <v>90332032</v>
      </c>
      <c r="AB372" s="0" t="s">
        <v>4573</v>
      </c>
      <c r="AG372" s="0" t="s">
        <v>1213</v>
      </c>
      <c r="AH372" s="0" t="s">
        <v>1214</v>
      </c>
      <c r="AI372" s="0" t="s">
        <v>4574</v>
      </c>
      <c r="AS372" s="0" t="s">
        <v>4159</v>
      </c>
      <c r="AT372" s="0" t="s">
        <v>906</v>
      </c>
      <c r="AU372" s="0" t="s">
        <v>872</v>
      </c>
      <c r="AZ372" s="0" t="s">
        <v>4575</v>
      </c>
      <c r="CP372" s="0" t="s">
        <v>4576</v>
      </c>
    </row>
    <row r="373" customFormat="false" ht="12.8" hidden="false" customHeight="false" outlineLevel="0" collapsed="false">
      <c r="A373" s="0" t="s">
        <v>326</v>
      </c>
      <c r="B373" s="0" t="s">
        <v>4577</v>
      </c>
      <c r="C373" s="0" t="s">
        <v>3456</v>
      </c>
      <c r="D373" s="0" t="s">
        <v>3457</v>
      </c>
      <c r="E373" s="0" t="s">
        <v>4578</v>
      </c>
      <c r="L373" s="0" t="str">
        <f aca="false">"1706"</f>
        <v>1706</v>
      </c>
      <c r="M373" s="0" t="s">
        <v>870</v>
      </c>
      <c r="O373" s="0" t="s">
        <v>4579</v>
      </c>
      <c r="R373" s="0" t="s">
        <v>4580</v>
      </c>
      <c r="T373" s="0" t="s">
        <v>868</v>
      </c>
      <c r="U373" s="0" t="s">
        <v>4581</v>
      </c>
      <c r="V373" s="0" t="s">
        <v>4582</v>
      </c>
      <c r="AB373" s="0" t="s">
        <v>4583</v>
      </c>
      <c r="AT373" s="0" t="s">
        <v>338</v>
      </c>
      <c r="AU373" s="0" t="s">
        <v>872</v>
      </c>
      <c r="BW373" s="0" t="s">
        <v>779</v>
      </c>
      <c r="CJ373" s="0" t="s">
        <v>4584</v>
      </c>
      <c r="CO373" s="0" t="s">
        <v>4577</v>
      </c>
    </row>
    <row r="374" customFormat="false" ht="22.5" hidden="false" customHeight="false" outlineLevel="0" collapsed="false">
      <c r="A374" s="0" t="s">
        <v>326</v>
      </c>
      <c r="C374" s="0" t="s">
        <v>4585</v>
      </c>
      <c r="D374" s="0" t="s">
        <v>2147</v>
      </c>
      <c r="E374" s="0" t="s">
        <v>4586</v>
      </c>
      <c r="L374" s="0" t="str">
        <f aca="false">"1711"</f>
        <v>1711</v>
      </c>
      <c r="M374" s="0" t="s">
        <v>870</v>
      </c>
      <c r="O374" s="0" t="s">
        <v>4579</v>
      </c>
      <c r="R374" s="0" t="s">
        <v>4587</v>
      </c>
      <c r="T374" s="0" t="s">
        <v>868</v>
      </c>
      <c r="U374" s="1" t="s">
        <v>4588</v>
      </c>
      <c r="V374" s="1" t="s">
        <v>4589</v>
      </c>
      <c r="AO374" s="0" t="s">
        <v>3871</v>
      </c>
      <c r="AT374" s="0" t="s">
        <v>338</v>
      </c>
      <c r="AU374" s="0" t="s">
        <v>339</v>
      </c>
      <c r="AY374" s="0" t="s">
        <v>4590</v>
      </c>
      <c r="AZ374" s="0" t="s">
        <v>4591</v>
      </c>
    </row>
    <row r="375" customFormat="false" ht="12.8" hidden="false" customHeight="false" outlineLevel="0" collapsed="false">
      <c r="A375" s="0" t="s">
        <v>880</v>
      </c>
      <c r="C375" s="0" t="s">
        <v>882</v>
      </c>
      <c r="D375" s="0" t="s">
        <v>670</v>
      </c>
      <c r="E375" s="0" t="s">
        <v>4592</v>
      </c>
      <c r="F375" s="0" t="s">
        <v>884</v>
      </c>
      <c r="G375" s="0" t="s">
        <v>102</v>
      </c>
      <c r="L375" s="0" t="str">
        <f aca="false">"1711"</f>
        <v>1711</v>
      </c>
      <c r="T375" s="0" t="s">
        <v>868</v>
      </c>
      <c r="W375" s="0" t="s">
        <v>4593</v>
      </c>
      <c r="AB375" s="0" t="s">
        <v>4594</v>
      </c>
      <c r="AO375" s="0" t="s">
        <v>3871</v>
      </c>
      <c r="AT375" s="0" t="s">
        <v>338</v>
      </c>
      <c r="AU375" s="0" t="s">
        <v>892</v>
      </c>
      <c r="AZ375" s="0" t="s">
        <v>4591</v>
      </c>
    </row>
    <row r="376" customFormat="false" ht="22.5" hidden="false" customHeight="false" outlineLevel="0" collapsed="false">
      <c r="A376" s="0" t="s">
        <v>445</v>
      </c>
      <c r="B376" s="0" t="s">
        <v>4595</v>
      </c>
      <c r="C376" s="0" t="s">
        <v>224</v>
      </c>
      <c r="D376" s="0" t="s">
        <v>225</v>
      </c>
      <c r="E376" s="0" t="s">
        <v>4596</v>
      </c>
      <c r="L376" s="0" t="str">
        <f aca="false">"1631"</f>
        <v>1631</v>
      </c>
      <c r="M376" s="0" t="s">
        <v>448</v>
      </c>
      <c r="O376" s="0" t="s">
        <v>4597</v>
      </c>
      <c r="R376" s="1" t="s">
        <v>4598</v>
      </c>
      <c r="T376" s="0" t="s">
        <v>1050</v>
      </c>
      <c r="Z376" s="0" t="s">
        <v>4599</v>
      </c>
      <c r="AT376" s="0" t="s">
        <v>2601</v>
      </c>
      <c r="AU376" s="0" t="s">
        <v>2457</v>
      </c>
      <c r="AY376" s="0" t="s">
        <v>4600</v>
      </c>
      <c r="BX376" s="0" t="s">
        <v>4601</v>
      </c>
      <c r="CI376" s="0" t="s">
        <v>4601</v>
      </c>
    </row>
    <row r="377" customFormat="false" ht="22.5" hidden="false" customHeight="false" outlineLevel="0" collapsed="false">
      <c r="A377" s="0" t="s">
        <v>445</v>
      </c>
      <c r="B377" s="0" t="s">
        <v>4602</v>
      </c>
      <c r="C377" s="0" t="s">
        <v>2696</v>
      </c>
      <c r="D377" s="1" t="s">
        <v>2697</v>
      </c>
      <c r="E377" s="0" t="s">
        <v>4603</v>
      </c>
      <c r="L377" s="0" t="str">
        <f aca="false">"1632"</f>
        <v>1632</v>
      </c>
      <c r="O377" s="0" t="s">
        <v>4604</v>
      </c>
      <c r="R377" s="1" t="s">
        <v>4605</v>
      </c>
      <c r="T377" s="0" t="s">
        <v>243</v>
      </c>
      <c r="Z377" s="0" t="s">
        <v>4606</v>
      </c>
      <c r="AB377" s="0" t="s">
        <v>4607</v>
      </c>
      <c r="AS377" s="0" t="s">
        <v>4608</v>
      </c>
      <c r="AT377" s="0" t="s">
        <v>2601</v>
      </c>
      <c r="AU377" s="0" t="s">
        <v>2457</v>
      </c>
      <c r="AY377" s="0" t="s">
        <v>4609</v>
      </c>
      <c r="AZ377" s="0" t="s">
        <v>4610</v>
      </c>
      <c r="BX377" s="0" t="s">
        <v>4611</v>
      </c>
      <c r="CI377" s="0" t="s">
        <v>4611</v>
      </c>
    </row>
    <row r="378" customFormat="false" ht="12.8" hidden="false" customHeight="false" outlineLevel="0" collapsed="false">
      <c r="A378" s="0" t="s">
        <v>445</v>
      </c>
      <c r="B378" s="0" t="s">
        <v>4612</v>
      </c>
      <c r="C378" s="0" t="s">
        <v>224</v>
      </c>
      <c r="D378" s="0" t="s">
        <v>225</v>
      </c>
      <c r="E378" s="0" t="s">
        <v>4613</v>
      </c>
      <c r="L378" s="0" t="str">
        <f aca="false">"1632"</f>
        <v>1632</v>
      </c>
      <c r="M378" s="0" t="s">
        <v>448</v>
      </c>
      <c r="O378" s="0" t="s">
        <v>4614</v>
      </c>
      <c r="R378" s="0" t="s">
        <v>4615</v>
      </c>
      <c r="T378" s="0" t="s">
        <v>2869</v>
      </c>
      <c r="Z378" s="0" t="s">
        <v>4616</v>
      </c>
      <c r="AG378" s="0" t="s">
        <v>1685</v>
      </c>
      <c r="AH378" s="0" t="s">
        <v>1686</v>
      </c>
      <c r="AI378" s="0" t="s">
        <v>4617</v>
      </c>
      <c r="AM378" s="0" t="s">
        <v>4618</v>
      </c>
      <c r="AS378" s="0" t="s">
        <v>4619</v>
      </c>
      <c r="AT378" s="0" t="s">
        <v>2601</v>
      </c>
      <c r="AU378" s="0" t="s">
        <v>2457</v>
      </c>
      <c r="AY378" s="0" t="s">
        <v>4620</v>
      </c>
      <c r="AZ378" s="0" t="s">
        <v>4621</v>
      </c>
      <c r="BX378" s="0" t="s">
        <v>4622</v>
      </c>
      <c r="CA378" s="0" t="s">
        <v>4623</v>
      </c>
      <c r="CI378" s="0" t="s">
        <v>4622</v>
      </c>
    </row>
    <row r="379" customFormat="false" ht="22.5" hidden="false" customHeight="false" outlineLevel="0" collapsed="false">
      <c r="B379" s="0" t="s">
        <v>4624</v>
      </c>
      <c r="C379" s="0" t="s">
        <v>2696</v>
      </c>
      <c r="D379" s="1" t="s">
        <v>2697</v>
      </c>
      <c r="E379" s="0" t="s">
        <v>4625</v>
      </c>
      <c r="L379" s="0" t="str">
        <f aca="false">"1632"</f>
        <v>1632</v>
      </c>
      <c r="O379" s="0" t="s">
        <v>4626</v>
      </c>
      <c r="R379" s="1" t="s">
        <v>4627</v>
      </c>
      <c r="T379" s="0" t="s">
        <v>2869</v>
      </c>
      <c r="Z379" s="0" t="s">
        <v>4628</v>
      </c>
      <c r="AB379" s="0" t="s">
        <v>4629</v>
      </c>
      <c r="AT379" s="0" t="s">
        <v>2601</v>
      </c>
      <c r="AU379" s="0" t="s">
        <v>2613</v>
      </c>
      <c r="CA379" s="1" t="s">
        <v>4630</v>
      </c>
    </row>
    <row r="380" customFormat="false" ht="22.5" hidden="false" customHeight="false" outlineLevel="0" collapsed="false">
      <c r="A380" s="0" t="s">
        <v>445</v>
      </c>
      <c r="B380" s="0" t="s">
        <v>4631</v>
      </c>
      <c r="C380" s="0" t="s">
        <v>2696</v>
      </c>
      <c r="D380" s="1" t="s">
        <v>2697</v>
      </c>
      <c r="E380" s="0" t="s">
        <v>4632</v>
      </c>
      <c r="L380" s="0" t="str">
        <f aca="false">"1633"</f>
        <v>1633</v>
      </c>
      <c r="M380" s="0" t="s">
        <v>448</v>
      </c>
      <c r="O380" s="0" t="s">
        <v>4633</v>
      </c>
      <c r="R380" s="1" t="s">
        <v>4634</v>
      </c>
      <c r="T380" s="0" t="s">
        <v>1050</v>
      </c>
      <c r="Z380" s="0" t="s">
        <v>4635</v>
      </c>
      <c r="AB380" s="0" t="s">
        <v>4636</v>
      </c>
      <c r="AT380" s="0" t="s">
        <v>2601</v>
      </c>
      <c r="AU380" s="0" t="s">
        <v>2457</v>
      </c>
      <c r="AY380" s="0" t="s">
        <v>4637</v>
      </c>
      <c r="BX380" s="0" t="s">
        <v>4638</v>
      </c>
      <c r="CB380" s="0" t="str">
        <f aca="false">"07.09.1632"</f>
        <v>07.09.1632</v>
      </c>
      <c r="CI380" s="0" t="s">
        <v>4638</v>
      </c>
    </row>
    <row r="381" customFormat="false" ht="22.5" hidden="false" customHeight="false" outlineLevel="0" collapsed="false">
      <c r="B381" s="0" t="s">
        <v>4639</v>
      </c>
      <c r="C381" s="0" t="s">
        <v>224</v>
      </c>
      <c r="D381" s="0" t="s">
        <v>225</v>
      </c>
      <c r="E381" s="0" t="s">
        <v>4640</v>
      </c>
      <c r="L381" s="0" t="str">
        <f aca="false">"1633"</f>
        <v>1633</v>
      </c>
      <c r="O381" s="0" t="s">
        <v>4641</v>
      </c>
      <c r="R381" s="1" t="s">
        <v>4642</v>
      </c>
      <c r="T381" s="0" t="s">
        <v>3070</v>
      </c>
      <c r="Z381" s="0" t="s">
        <v>4643</v>
      </c>
      <c r="AB381" s="0" t="s">
        <v>4644</v>
      </c>
      <c r="AT381" s="0" t="s">
        <v>2601</v>
      </c>
      <c r="AU381" s="0" t="s">
        <v>2613</v>
      </c>
      <c r="AY381" s="0" t="s">
        <v>4645</v>
      </c>
      <c r="CA381" s="1" t="s">
        <v>4646</v>
      </c>
    </row>
    <row r="382" customFormat="false" ht="12.8" hidden="false" customHeight="false" outlineLevel="0" collapsed="false">
      <c r="A382" s="0" t="s">
        <v>445</v>
      </c>
      <c r="B382" s="0" t="s">
        <v>4647</v>
      </c>
      <c r="C382" s="0" t="s">
        <v>224</v>
      </c>
      <c r="D382" s="0" t="s">
        <v>225</v>
      </c>
      <c r="E382" s="0" t="s">
        <v>4648</v>
      </c>
      <c r="F382" s="0" t="s">
        <v>192</v>
      </c>
      <c r="H382" s="0" t="s">
        <v>102</v>
      </c>
      <c r="L382" s="0" t="str">
        <f aca="false">"1633"</f>
        <v>1633</v>
      </c>
      <c r="M382" s="0" t="s">
        <v>448</v>
      </c>
      <c r="O382" s="0" t="s">
        <v>4649</v>
      </c>
      <c r="Z382" s="0" t="s">
        <v>4650</v>
      </c>
      <c r="AT382" s="0" t="s">
        <v>2601</v>
      </c>
      <c r="AU382" s="0" t="s">
        <v>872</v>
      </c>
      <c r="AY382" s="0" t="s">
        <v>4651</v>
      </c>
      <c r="AZ382" s="0" t="s">
        <v>4652</v>
      </c>
      <c r="BC382" s="0" t="str">
        <f aca="false">"339075325"</f>
        <v>339075325</v>
      </c>
      <c r="BX382" s="0" t="s">
        <v>4653</v>
      </c>
      <c r="CA382" s="0" t="s">
        <v>4654</v>
      </c>
      <c r="CI382" s="0" t="s">
        <v>4653</v>
      </c>
      <c r="CJ382" s="0" t="s">
        <v>4655</v>
      </c>
      <c r="CO382" s="0" t="s">
        <v>4656</v>
      </c>
      <c r="CR382" s="0" t="s">
        <v>4657</v>
      </c>
    </row>
    <row r="383" customFormat="false" ht="22.5" hidden="false" customHeight="false" outlineLevel="0" collapsed="false">
      <c r="A383" s="0" t="s">
        <v>445</v>
      </c>
      <c r="B383" s="0" t="s">
        <v>4658</v>
      </c>
      <c r="C383" s="0" t="s">
        <v>2696</v>
      </c>
      <c r="D383" s="1" t="s">
        <v>2697</v>
      </c>
      <c r="E383" s="0" t="s">
        <v>4659</v>
      </c>
      <c r="F383" s="0" t="s">
        <v>192</v>
      </c>
      <c r="H383" s="0" t="s">
        <v>102</v>
      </c>
      <c r="K383" s="0" t="s">
        <v>4660</v>
      </c>
      <c r="L383" s="0" t="str">
        <f aca="false">"1635"</f>
        <v>1635</v>
      </c>
      <c r="M383" s="0" t="s">
        <v>448</v>
      </c>
      <c r="O383" s="0" t="s">
        <v>4661</v>
      </c>
      <c r="T383" s="0" t="s">
        <v>1050</v>
      </c>
      <c r="Z383" s="0" t="s">
        <v>4662</v>
      </c>
      <c r="AB383" s="0" t="s">
        <v>4663</v>
      </c>
      <c r="AS383" s="0" t="s">
        <v>4664</v>
      </c>
      <c r="AT383" s="0" t="s">
        <v>2601</v>
      </c>
      <c r="AU383" s="0" t="s">
        <v>872</v>
      </c>
      <c r="AY383" s="0" t="s">
        <v>4665</v>
      </c>
      <c r="AZ383" s="0" t="s">
        <v>4666</v>
      </c>
      <c r="BC383" s="0" t="str">
        <f aca="false">"092042880"</f>
        <v>092042880</v>
      </c>
      <c r="BD383" s="0" t="s">
        <v>873</v>
      </c>
      <c r="BE383" s="1" t="s">
        <v>4667</v>
      </c>
      <c r="BJ383" s="0" t="s">
        <v>118</v>
      </c>
      <c r="BX383" s="0" t="s">
        <v>4668</v>
      </c>
      <c r="CC383" s="0" t="s">
        <v>4669</v>
      </c>
      <c r="CI383" s="0" t="s">
        <v>4668</v>
      </c>
      <c r="CJ383" s="0" t="s">
        <v>4670</v>
      </c>
      <c r="CO383" s="0" t="s">
        <v>4671</v>
      </c>
      <c r="CR383" s="0" t="s">
        <v>4672</v>
      </c>
    </row>
    <row r="384" customFormat="false" ht="22.5" hidden="false" customHeight="false" outlineLevel="0" collapsed="false">
      <c r="A384" s="0" t="s">
        <v>445</v>
      </c>
      <c r="B384" s="0" t="s">
        <v>4673</v>
      </c>
      <c r="C384" s="0" t="s">
        <v>2696</v>
      </c>
      <c r="D384" s="1" t="s">
        <v>2697</v>
      </c>
      <c r="L384" s="0" t="str">
        <f aca="false">"1635"</f>
        <v>1635</v>
      </c>
      <c r="M384" s="0" t="s">
        <v>448</v>
      </c>
      <c r="O384" s="0" t="s">
        <v>4674</v>
      </c>
      <c r="R384" s="0" t="s">
        <v>4675</v>
      </c>
      <c r="T384" s="0" t="s">
        <v>1113</v>
      </c>
      <c r="Z384" s="0" t="s">
        <v>4676</v>
      </c>
      <c r="AB384" s="0" t="s">
        <v>4677</v>
      </c>
      <c r="AG384" s="0" t="s">
        <v>1685</v>
      </c>
      <c r="AH384" s="0" t="s">
        <v>1686</v>
      </c>
      <c r="AI384" s="0" t="s">
        <v>4678</v>
      </c>
      <c r="AM384" s="0" t="s">
        <v>4679</v>
      </c>
      <c r="AS384" s="0" t="s">
        <v>4680</v>
      </c>
      <c r="AT384" s="0" t="s">
        <v>2601</v>
      </c>
      <c r="AU384" s="0" t="s">
        <v>2457</v>
      </c>
      <c r="AY384" s="0" t="s">
        <v>4681</v>
      </c>
      <c r="AZ384" s="0" t="s">
        <v>4682</v>
      </c>
      <c r="BX384" s="0" t="s">
        <v>4683</v>
      </c>
      <c r="CA384" s="0" t="s">
        <v>4684</v>
      </c>
      <c r="CI384" s="0" t="s">
        <v>4683</v>
      </c>
    </row>
    <row r="385" customFormat="false" ht="12.8" hidden="false" customHeight="false" outlineLevel="0" collapsed="false">
      <c r="A385" s="0" t="s">
        <v>445</v>
      </c>
      <c r="B385" s="0" t="s">
        <v>4685</v>
      </c>
      <c r="C385" s="0" t="s">
        <v>1685</v>
      </c>
      <c r="D385" s="0" t="s">
        <v>1686</v>
      </c>
      <c r="E385" s="0" t="s">
        <v>4686</v>
      </c>
      <c r="L385" s="0" t="str">
        <f aca="false">"1636"</f>
        <v>1636</v>
      </c>
      <c r="O385" s="0" t="s">
        <v>4687</v>
      </c>
      <c r="R385" s="0" t="s">
        <v>4688</v>
      </c>
      <c r="T385" s="0" t="s">
        <v>4689</v>
      </c>
      <c r="Z385" s="0" t="s">
        <v>4690</v>
      </c>
      <c r="AS385" s="0" t="s">
        <v>1945</v>
      </c>
      <c r="AT385" s="0" t="s">
        <v>2601</v>
      </c>
      <c r="AU385" s="0" t="s">
        <v>892</v>
      </c>
      <c r="AY385" s="0" t="s">
        <v>4691</v>
      </c>
      <c r="AZ385" s="0" t="s">
        <v>4692</v>
      </c>
      <c r="BX385" s="0" t="s">
        <v>4693</v>
      </c>
      <c r="CI385" s="0" t="s">
        <v>4693</v>
      </c>
    </row>
    <row r="386" customFormat="false" ht="22.5" hidden="false" customHeight="false" outlineLevel="0" collapsed="false">
      <c r="A386" s="0" t="s">
        <v>445</v>
      </c>
      <c r="B386" s="0" t="s">
        <v>4694</v>
      </c>
      <c r="C386" s="0" t="s">
        <v>2696</v>
      </c>
      <c r="D386" s="1" t="s">
        <v>2697</v>
      </c>
      <c r="E386" s="0" t="s">
        <v>4695</v>
      </c>
      <c r="L386" s="0" t="str">
        <f aca="false">"1637"</f>
        <v>1637</v>
      </c>
      <c r="M386" s="0" t="s">
        <v>448</v>
      </c>
      <c r="O386" s="0" t="s">
        <v>4696</v>
      </c>
      <c r="R386" s="0" t="s">
        <v>4697</v>
      </c>
      <c r="T386" s="0" t="s">
        <v>99</v>
      </c>
      <c r="Z386" s="0" t="s">
        <v>4698</v>
      </c>
      <c r="AG386" s="0" t="s">
        <v>224</v>
      </c>
      <c r="AH386" s="0" t="s">
        <v>225</v>
      </c>
      <c r="AI386" s="0" t="s">
        <v>4699</v>
      </c>
      <c r="AS386" s="0" t="s">
        <v>4700</v>
      </c>
      <c r="AT386" s="0" t="s">
        <v>2601</v>
      </c>
      <c r="AU386" s="0" t="s">
        <v>2457</v>
      </c>
      <c r="AY386" s="0" t="s">
        <v>4701</v>
      </c>
      <c r="AZ386" s="0" t="s">
        <v>4702</v>
      </c>
      <c r="BX386" s="0" t="s">
        <v>4703</v>
      </c>
      <c r="CA386" s="0" t="s">
        <v>4704</v>
      </c>
      <c r="CI386" s="0" t="s">
        <v>4703</v>
      </c>
    </row>
    <row r="387" customFormat="false" ht="12.8" hidden="false" customHeight="false" outlineLevel="0" collapsed="false">
      <c r="A387" s="0" t="s">
        <v>445</v>
      </c>
      <c r="B387" s="0" t="s">
        <v>4705</v>
      </c>
      <c r="C387" s="0" t="s">
        <v>4706</v>
      </c>
      <c r="D387" s="0" t="s">
        <v>4707</v>
      </c>
      <c r="E387" s="0" t="s">
        <v>4708</v>
      </c>
      <c r="K387" s="0" t="s">
        <v>4709</v>
      </c>
      <c r="L387" s="0" t="str">
        <f aca="false">"1637"</f>
        <v>1637</v>
      </c>
      <c r="O387" s="0" t="s">
        <v>4710</v>
      </c>
      <c r="R387" s="0" t="s">
        <v>4711</v>
      </c>
      <c r="T387" s="0" t="s">
        <v>1057</v>
      </c>
      <c r="AB387" s="0" t="s">
        <v>4712</v>
      </c>
      <c r="AS387" s="0" t="s">
        <v>4713</v>
      </c>
      <c r="AT387" s="0" t="s">
        <v>2601</v>
      </c>
      <c r="AU387" s="0" t="s">
        <v>2457</v>
      </c>
      <c r="AZ387" s="0" t="s">
        <v>4714</v>
      </c>
      <c r="BX387" s="0" t="s">
        <v>4715</v>
      </c>
      <c r="CB387" s="0" t="str">
        <f aca="false">"09.07.1637"</f>
        <v>09.07.1637</v>
      </c>
      <c r="CI387" s="0" t="s">
        <v>4715</v>
      </c>
      <c r="CJ387" s="0" t="s">
        <v>4716</v>
      </c>
      <c r="CO387" s="0" t="s">
        <v>4705</v>
      </c>
    </row>
    <row r="388" customFormat="false" ht="33.1" hidden="false" customHeight="false" outlineLevel="0" collapsed="false">
      <c r="A388" s="0" t="s">
        <v>445</v>
      </c>
      <c r="B388" s="0" t="s">
        <v>4717</v>
      </c>
      <c r="C388" s="0" t="s">
        <v>3941</v>
      </c>
      <c r="D388" s="0" t="s">
        <v>3070</v>
      </c>
      <c r="E388" s="0" t="s">
        <v>4718</v>
      </c>
      <c r="F388" s="0" t="s">
        <v>192</v>
      </c>
      <c r="H388" s="0" t="s">
        <v>102</v>
      </c>
      <c r="L388" s="0" t="str">
        <f aca="false">"1637"</f>
        <v>1637</v>
      </c>
      <c r="M388" s="1" t="s">
        <v>1414</v>
      </c>
      <c r="O388" s="1" t="s">
        <v>4719</v>
      </c>
      <c r="T388" s="1" t="s">
        <v>4720</v>
      </c>
      <c r="Z388" s="0" t="s">
        <v>4721</v>
      </c>
      <c r="AB388" s="0" t="s">
        <v>4722</v>
      </c>
      <c r="AS388" s="0" t="s">
        <v>4723</v>
      </c>
      <c r="AT388" s="0" t="s">
        <v>2601</v>
      </c>
      <c r="AU388" s="0" t="s">
        <v>872</v>
      </c>
      <c r="AY388" s="0" t="s">
        <v>4724</v>
      </c>
      <c r="AZ388" s="0" t="s">
        <v>4725</v>
      </c>
      <c r="BD388" s="0" t="s">
        <v>873</v>
      </c>
      <c r="BE388" s="0" t="s">
        <v>4726</v>
      </c>
      <c r="BJ388" s="0" t="s">
        <v>118</v>
      </c>
      <c r="BV388" s="0" t="s">
        <v>4727</v>
      </c>
      <c r="BX388" s="0" t="s">
        <v>4728</v>
      </c>
      <c r="CC388" s="0" t="s">
        <v>4729</v>
      </c>
      <c r="CI388" s="0" t="s">
        <v>4728</v>
      </c>
      <c r="CJ388" s="0" t="s">
        <v>4730</v>
      </c>
      <c r="CO388" s="0" t="s">
        <v>4731</v>
      </c>
      <c r="CR388" s="0" t="s">
        <v>4732</v>
      </c>
    </row>
    <row r="389" customFormat="false" ht="12.8" hidden="false" customHeight="false" outlineLevel="0" collapsed="false">
      <c r="B389" s="0" t="s">
        <v>4733</v>
      </c>
      <c r="C389" s="0" t="s">
        <v>242</v>
      </c>
      <c r="D389" s="0" t="s">
        <v>243</v>
      </c>
      <c r="E389" s="0" t="s">
        <v>4734</v>
      </c>
      <c r="L389" s="0" t="str">
        <f aca="false">"1639"</f>
        <v>1639</v>
      </c>
      <c r="M389" s="0" t="s">
        <v>448</v>
      </c>
      <c r="O389" s="0" t="s">
        <v>4735</v>
      </c>
      <c r="R389" s="0" t="s">
        <v>4736</v>
      </c>
      <c r="T389" s="0" t="s">
        <v>2869</v>
      </c>
      <c r="Z389" s="0" t="s">
        <v>4737</v>
      </c>
      <c r="AB389" s="0" t="s">
        <v>4738</v>
      </c>
      <c r="AS389" s="0" t="s">
        <v>4739</v>
      </c>
      <c r="AT389" s="0" t="s">
        <v>2601</v>
      </c>
      <c r="AU389" s="0" t="s">
        <v>2457</v>
      </c>
      <c r="AY389" s="0" t="s">
        <v>4740</v>
      </c>
      <c r="AZ389" s="0" t="s">
        <v>4741</v>
      </c>
      <c r="BX389" s="0" t="s">
        <v>4742</v>
      </c>
      <c r="CA389" s="0" t="s">
        <v>4623</v>
      </c>
      <c r="CI389" s="0" t="s">
        <v>4742</v>
      </c>
    </row>
    <row r="390" customFormat="false" ht="12.8" hidden="false" customHeight="false" outlineLevel="0" collapsed="false">
      <c r="A390" s="0" t="s">
        <v>445</v>
      </c>
      <c r="B390" s="0" t="s">
        <v>4743</v>
      </c>
      <c r="C390" s="0" t="s">
        <v>1429</v>
      </c>
      <c r="D390" s="0" t="s">
        <v>99</v>
      </c>
      <c r="E390" s="0" t="s">
        <v>4744</v>
      </c>
      <c r="L390" s="0" t="str">
        <f aca="false">"1640"</f>
        <v>1640</v>
      </c>
      <c r="O390" s="0" t="s">
        <v>4745</v>
      </c>
      <c r="R390" s="0" t="s">
        <v>4697</v>
      </c>
      <c r="T390" s="0" t="s">
        <v>99</v>
      </c>
      <c r="Z390" s="0" t="s">
        <v>4746</v>
      </c>
      <c r="AG390" s="0" t="s">
        <v>4747</v>
      </c>
      <c r="AH390" s="0" t="s">
        <v>4139</v>
      </c>
      <c r="AI390" s="0" t="s">
        <v>4748</v>
      </c>
      <c r="AM390" s="0" t="s">
        <v>4749</v>
      </c>
      <c r="AS390" s="0" t="s">
        <v>4750</v>
      </c>
      <c r="AT390" s="0" t="s">
        <v>2601</v>
      </c>
      <c r="AU390" s="0" t="s">
        <v>2457</v>
      </c>
      <c r="AY390" s="0" t="s">
        <v>4751</v>
      </c>
      <c r="AZ390" s="0" t="s">
        <v>4752</v>
      </c>
      <c r="BX390" s="0" t="s">
        <v>4753</v>
      </c>
      <c r="CI390" s="0" t="s">
        <v>4753</v>
      </c>
    </row>
    <row r="391" customFormat="false" ht="12.8" hidden="false" customHeight="false" outlineLevel="0" collapsed="false">
      <c r="A391" s="0" t="s">
        <v>445</v>
      </c>
      <c r="B391" s="0" t="s">
        <v>4754</v>
      </c>
      <c r="C391" s="0" t="s">
        <v>1429</v>
      </c>
      <c r="D391" s="0" t="s">
        <v>99</v>
      </c>
      <c r="E391" s="0" t="s">
        <v>4755</v>
      </c>
      <c r="L391" s="0" t="str">
        <f aca="false">"1640"</f>
        <v>1640</v>
      </c>
      <c r="M391" s="0" t="s">
        <v>448</v>
      </c>
      <c r="O391" s="0" t="s">
        <v>4696</v>
      </c>
      <c r="R391" s="0" t="s">
        <v>4697</v>
      </c>
      <c r="T391" s="0" t="s">
        <v>99</v>
      </c>
      <c r="Z391" s="0" t="s">
        <v>4756</v>
      </c>
      <c r="AG391" s="0" t="s">
        <v>2663</v>
      </c>
      <c r="AH391" s="0" t="s">
        <v>1985</v>
      </c>
      <c r="AI391" s="0" t="s">
        <v>4757</v>
      </c>
      <c r="AM391" s="0" t="s">
        <v>4758</v>
      </c>
      <c r="AT391" s="0" t="s">
        <v>2601</v>
      </c>
      <c r="AU391" s="0" t="s">
        <v>2457</v>
      </c>
      <c r="AY391" s="0" t="s">
        <v>4759</v>
      </c>
      <c r="AZ391" s="0" t="s">
        <v>4760</v>
      </c>
      <c r="BX391" s="0" t="s">
        <v>4761</v>
      </c>
      <c r="CI391" s="0" t="s">
        <v>4761</v>
      </c>
    </row>
    <row r="392" customFormat="false" ht="12.8" hidden="false" customHeight="false" outlineLevel="0" collapsed="false">
      <c r="A392" s="0" t="s">
        <v>445</v>
      </c>
      <c r="B392" s="0" t="s">
        <v>4762</v>
      </c>
      <c r="C392" s="0" t="s">
        <v>224</v>
      </c>
      <c r="D392" s="0" t="s">
        <v>225</v>
      </c>
      <c r="E392" s="0" t="s">
        <v>4763</v>
      </c>
      <c r="L392" s="0" t="str">
        <f aca="false">"1640"</f>
        <v>1640</v>
      </c>
      <c r="M392" s="0" t="s">
        <v>448</v>
      </c>
      <c r="O392" s="0" t="s">
        <v>4696</v>
      </c>
      <c r="R392" s="0" t="s">
        <v>4697</v>
      </c>
      <c r="T392" s="0" t="s">
        <v>99</v>
      </c>
      <c r="Z392" s="0" t="s">
        <v>4764</v>
      </c>
      <c r="AB392" s="0" t="s">
        <v>4765</v>
      </c>
      <c r="AG392" s="0" t="s">
        <v>4766</v>
      </c>
      <c r="AH392" s="0" t="s">
        <v>247</v>
      </c>
      <c r="AI392" s="0" t="s">
        <v>4767</v>
      </c>
      <c r="AM392" s="0" t="s">
        <v>4768</v>
      </c>
      <c r="AS392" s="0" t="s">
        <v>4769</v>
      </c>
      <c r="AT392" s="0" t="s">
        <v>2601</v>
      </c>
      <c r="AU392" s="0" t="s">
        <v>2457</v>
      </c>
      <c r="AY392" s="0" t="s">
        <v>4770</v>
      </c>
      <c r="AZ392" s="0" t="s">
        <v>4771</v>
      </c>
      <c r="BC392" s="0" t="str">
        <f aca="false">"000657204"</f>
        <v>000657204</v>
      </c>
      <c r="BX392" s="0" t="s">
        <v>4772</v>
      </c>
      <c r="CA392" s="0" t="s">
        <v>4704</v>
      </c>
      <c r="CI392" s="0" t="s">
        <v>4772</v>
      </c>
    </row>
    <row r="393" customFormat="false" ht="12.8" hidden="false" customHeight="false" outlineLevel="0" collapsed="false">
      <c r="A393" s="0" t="s">
        <v>445</v>
      </c>
      <c r="B393" s="0" t="s">
        <v>4773</v>
      </c>
      <c r="C393" s="0" t="s">
        <v>224</v>
      </c>
      <c r="D393" s="0" t="s">
        <v>225</v>
      </c>
      <c r="E393" s="0" t="s">
        <v>4774</v>
      </c>
      <c r="L393" s="0" t="str">
        <f aca="false">"1640"</f>
        <v>1640</v>
      </c>
      <c r="M393" s="0" t="s">
        <v>1993</v>
      </c>
      <c r="O393" s="0" t="s">
        <v>4775</v>
      </c>
      <c r="R393" s="0" t="s">
        <v>4776</v>
      </c>
      <c r="T393" s="0" t="s">
        <v>3070</v>
      </c>
      <c r="Z393" s="0" t="s">
        <v>4777</v>
      </c>
      <c r="AG393" s="0" t="s">
        <v>3941</v>
      </c>
      <c r="AH393" s="0" t="s">
        <v>3070</v>
      </c>
      <c r="AI393" s="0" t="s">
        <v>4778</v>
      </c>
      <c r="AM393" s="0" t="s">
        <v>4779</v>
      </c>
      <c r="AS393" s="0" t="s">
        <v>4780</v>
      </c>
      <c r="AT393" s="0" t="s">
        <v>2601</v>
      </c>
      <c r="AU393" s="0" t="s">
        <v>2457</v>
      </c>
      <c r="AY393" s="0" t="s">
        <v>4781</v>
      </c>
      <c r="BX393" s="0" t="s">
        <v>4782</v>
      </c>
      <c r="CA393" s="0" t="s">
        <v>4704</v>
      </c>
      <c r="CI393" s="0" t="s">
        <v>4782</v>
      </c>
    </row>
    <row r="394" customFormat="false" ht="12.8" hidden="false" customHeight="false" outlineLevel="0" collapsed="false">
      <c r="A394" s="0" t="s">
        <v>445</v>
      </c>
      <c r="B394" s="0" t="s">
        <v>4783</v>
      </c>
      <c r="C394" s="0" t="s">
        <v>224</v>
      </c>
      <c r="D394" s="0" t="s">
        <v>225</v>
      </c>
      <c r="E394" s="0" t="s">
        <v>4784</v>
      </c>
      <c r="L394" s="0" t="str">
        <f aca="false">"1640"</f>
        <v>1640</v>
      </c>
      <c r="M394" s="0" t="s">
        <v>1993</v>
      </c>
      <c r="O394" s="0" t="s">
        <v>4775</v>
      </c>
      <c r="R394" s="0" t="s">
        <v>4776</v>
      </c>
      <c r="T394" s="0" t="s">
        <v>3070</v>
      </c>
      <c r="Z394" s="0" t="s">
        <v>4785</v>
      </c>
      <c r="AS394" s="0" t="s">
        <v>4786</v>
      </c>
      <c r="AT394" s="0" t="s">
        <v>2601</v>
      </c>
      <c r="AU394" s="0" t="s">
        <v>2457</v>
      </c>
      <c r="AY394" s="0" t="s">
        <v>4787</v>
      </c>
      <c r="AZ394" s="0" t="s">
        <v>4788</v>
      </c>
      <c r="BC394" s="0" t="s">
        <v>4789</v>
      </c>
      <c r="BX394" s="0" t="s">
        <v>4790</v>
      </c>
      <c r="CA394" s="0" t="s">
        <v>4704</v>
      </c>
      <c r="CI394" s="0" t="s">
        <v>4790</v>
      </c>
    </row>
    <row r="395" customFormat="false" ht="22.5" hidden="false" customHeight="false" outlineLevel="0" collapsed="false">
      <c r="A395" s="0" t="s">
        <v>445</v>
      </c>
      <c r="B395" s="0" t="s">
        <v>4791</v>
      </c>
      <c r="C395" s="0" t="s">
        <v>4792</v>
      </c>
      <c r="D395" s="0" t="s">
        <v>1057</v>
      </c>
      <c r="E395" s="0" t="str">
        <f aca="false">"2146.16"</f>
        <v>2146.16</v>
      </c>
      <c r="L395" s="0" t="str">
        <f aca="false">"1641"</f>
        <v>1641</v>
      </c>
      <c r="O395" s="0" t="s">
        <v>4793</v>
      </c>
      <c r="R395" s="1" t="s">
        <v>4794</v>
      </c>
      <c r="T395" s="0" t="s">
        <v>1057</v>
      </c>
      <c r="AB395" s="0" t="s">
        <v>4795</v>
      </c>
      <c r="AS395" s="0" t="s">
        <v>4796</v>
      </c>
      <c r="AT395" s="0" t="s">
        <v>2601</v>
      </c>
      <c r="AU395" s="0" t="s">
        <v>2457</v>
      </c>
      <c r="AY395" s="0" t="s">
        <v>4797</v>
      </c>
      <c r="BX395" s="0" t="s">
        <v>4798</v>
      </c>
      <c r="CA395" s="0" t="s">
        <v>4704</v>
      </c>
      <c r="CE395" s="0" t="s">
        <v>4799</v>
      </c>
      <c r="CI395" s="0" t="s">
        <v>4798</v>
      </c>
    </row>
    <row r="396" customFormat="false" ht="12.8" hidden="false" customHeight="false" outlineLevel="0" collapsed="false">
      <c r="A396" s="0" t="s">
        <v>445</v>
      </c>
      <c r="B396" s="0" t="s">
        <v>4800</v>
      </c>
      <c r="C396" s="0" t="s">
        <v>224</v>
      </c>
      <c r="D396" s="0" t="s">
        <v>225</v>
      </c>
      <c r="E396" s="0" t="s">
        <v>4801</v>
      </c>
      <c r="L396" s="0" t="str">
        <f aca="false">"1641"</f>
        <v>1641</v>
      </c>
      <c r="O396" s="0" t="s">
        <v>4696</v>
      </c>
      <c r="R396" s="0" t="s">
        <v>4697</v>
      </c>
      <c r="T396" s="0" t="s">
        <v>99</v>
      </c>
      <c r="Z396" s="0" t="s">
        <v>4802</v>
      </c>
      <c r="AB396" s="0" t="s">
        <v>4803</v>
      </c>
      <c r="AS396" s="0" t="s">
        <v>4804</v>
      </c>
      <c r="AT396" s="0" t="s">
        <v>2601</v>
      </c>
      <c r="AU396" s="0" t="s">
        <v>2457</v>
      </c>
      <c r="AY396" s="0" t="s">
        <v>4805</v>
      </c>
      <c r="AZ396" s="0" t="s">
        <v>4806</v>
      </c>
      <c r="BX396" s="0" t="s">
        <v>4807</v>
      </c>
      <c r="CA396" s="0" t="s">
        <v>4704</v>
      </c>
      <c r="CI396" s="0" t="s">
        <v>4807</v>
      </c>
    </row>
    <row r="397" customFormat="false" ht="12.8" hidden="false" customHeight="false" outlineLevel="0" collapsed="false">
      <c r="A397" s="0" t="s">
        <v>445</v>
      </c>
      <c r="B397" s="0" t="s">
        <v>4808</v>
      </c>
      <c r="C397" s="0" t="s">
        <v>224</v>
      </c>
      <c r="D397" s="0" t="s">
        <v>225</v>
      </c>
      <c r="E397" s="0" t="s">
        <v>4809</v>
      </c>
      <c r="L397" s="0" t="str">
        <f aca="false">"1641"</f>
        <v>1641</v>
      </c>
      <c r="O397" s="0" t="s">
        <v>4810</v>
      </c>
      <c r="R397" s="0" t="s">
        <v>4811</v>
      </c>
      <c r="T397" s="0" t="s">
        <v>1209</v>
      </c>
      <c r="Z397" s="0" t="s">
        <v>4812</v>
      </c>
      <c r="AB397" s="0" t="s">
        <v>4813</v>
      </c>
      <c r="AG397" s="0" t="s">
        <v>242</v>
      </c>
      <c r="AH397" s="0" t="s">
        <v>243</v>
      </c>
      <c r="AI397" s="0" t="s">
        <v>4814</v>
      </c>
      <c r="AM397" s="0" t="s">
        <v>4815</v>
      </c>
      <c r="AS397" s="0" t="s">
        <v>4816</v>
      </c>
      <c r="AT397" s="0" t="s">
        <v>2601</v>
      </c>
      <c r="AU397" s="0" t="s">
        <v>2457</v>
      </c>
      <c r="AY397" s="0" t="s">
        <v>4817</v>
      </c>
      <c r="AZ397" s="0" t="s">
        <v>4818</v>
      </c>
      <c r="BX397" s="0" t="s">
        <v>4819</v>
      </c>
      <c r="CA397" s="0" t="s">
        <v>4704</v>
      </c>
      <c r="CI397" s="0" t="s">
        <v>4819</v>
      </c>
    </row>
    <row r="398" customFormat="false" ht="12.8" hidden="false" customHeight="false" outlineLevel="0" collapsed="false">
      <c r="A398" s="0" t="s">
        <v>445</v>
      </c>
      <c r="B398" s="0" t="s">
        <v>4820</v>
      </c>
      <c r="C398" s="0" t="s">
        <v>224</v>
      </c>
      <c r="D398" s="0" t="s">
        <v>225</v>
      </c>
      <c r="E398" s="0" t="s">
        <v>4821</v>
      </c>
      <c r="L398" s="0" t="str">
        <f aca="false">"1641"</f>
        <v>1641</v>
      </c>
      <c r="M398" s="0" t="s">
        <v>448</v>
      </c>
      <c r="O398" s="0" t="s">
        <v>4775</v>
      </c>
      <c r="R398" s="0" t="s">
        <v>4822</v>
      </c>
      <c r="T398" s="0" t="s">
        <v>3070</v>
      </c>
      <c r="Z398" s="0" t="s">
        <v>4823</v>
      </c>
      <c r="AG398" s="0" t="s">
        <v>3941</v>
      </c>
      <c r="AH398" s="0" t="s">
        <v>3070</v>
      </c>
      <c r="AI398" s="0" t="s">
        <v>4824</v>
      </c>
      <c r="AM398" s="0" t="s">
        <v>4825</v>
      </c>
      <c r="AS398" s="0" t="s">
        <v>4826</v>
      </c>
      <c r="AT398" s="0" t="s">
        <v>2601</v>
      </c>
      <c r="AU398" s="0" t="s">
        <v>2457</v>
      </c>
      <c r="AY398" s="0" t="s">
        <v>4827</v>
      </c>
      <c r="AZ398" s="0" t="s">
        <v>4828</v>
      </c>
      <c r="BX398" s="0" t="s">
        <v>4829</v>
      </c>
      <c r="CA398" s="0" t="s">
        <v>4704</v>
      </c>
      <c r="CI398" s="0" t="s">
        <v>4829</v>
      </c>
    </row>
    <row r="399" customFormat="false" ht="12.8" hidden="false" customHeight="false" outlineLevel="0" collapsed="false">
      <c r="A399" s="0" t="s">
        <v>445</v>
      </c>
      <c r="B399" s="0" t="s">
        <v>4830</v>
      </c>
      <c r="C399" s="0" t="s">
        <v>1056</v>
      </c>
      <c r="D399" s="0" t="s">
        <v>1057</v>
      </c>
      <c r="E399" s="0" t="s">
        <v>4831</v>
      </c>
      <c r="L399" s="0" t="str">
        <f aca="false">"1642"</f>
        <v>1642</v>
      </c>
      <c r="M399" s="0" t="s">
        <v>448</v>
      </c>
      <c r="O399" s="0" t="s">
        <v>4832</v>
      </c>
      <c r="R399" s="0" t="s">
        <v>4833</v>
      </c>
      <c r="T399" s="0" t="s">
        <v>1057</v>
      </c>
      <c r="AB399" s="0" t="s">
        <v>4834</v>
      </c>
      <c r="AS399" s="0" t="s">
        <v>4835</v>
      </c>
      <c r="AT399" s="0" t="s">
        <v>2601</v>
      </c>
      <c r="AU399" s="0" t="s">
        <v>892</v>
      </c>
      <c r="AY399" s="0" t="s">
        <v>4836</v>
      </c>
      <c r="BX399" s="0" t="s">
        <v>4837</v>
      </c>
      <c r="CB399" s="0" t="str">
        <f aca="false">"02.10.1642"</f>
        <v>02.10.1642</v>
      </c>
      <c r="CI399" s="0" t="s">
        <v>4837</v>
      </c>
      <c r="CJ399" s="0" t="s">
        <v>4838</v>
      </c>
      <c r="CO399" s="0" t="s">
        <v>4839</v>
      </c>
    </row>
    <row r="400" customFormat="false" ht="22.5" hidden="false" customHeight="false" outlineLevel="0" collapsed="false">
      <c r="A400" s="0" t="s">
        <v>445</v>
      </c>
      <c r="B400" s="0" t="s">
        <v>4840</v>
      </c>
      <c r="C400" s="0" t="s">
        <v>224</v>
      </c>
      <c r="D400" s="0" t="s">
        <v>225</v>
      </c>
      <c r="E400" s="0" t="s">
        <v>4841</v>
      </c>
      <c r="L400" s="0" t="str">
        <f aca="false">"1642"</f>
        <v>1642</v>
      </c>
      <c r="M400" s="0" t="s">
        <v>448</v>
      </c>
      <c r="O400" s="0" t="s">
        <v>4604</v>
      </c>
      <c r="R400" s="0" t="s">
        <v>4842</v>
      </c>
      <c r="T400" s="0" t="s">
        <v>243</v>
      </c>
      <c r="AG400" s="0" t="s">
        <v>242</v>
      </c>
      <c r="AH400" s="0" t="s">
        <v>243</v>
      </c>
      <c r="AI400" s="0" t="s">
        <v>4843</v>
      </c>
      <c r="AM400" s="0" t="s">
        <v>4844</v>
      </c>
      <c r="AS400" s="0" t="s">
        <v>4845</v>
      </c>
      <c r="AT400" s="0" t="s">
        <v>2601</v>
      </c>
      <c r="AU400" s="0" t="s">
        <v>2457</v>
      </c>
      <c r="AY400" s="0" t="s">
        <v>4846</v>
      </c>
      <c r="AZ400" s="0" t="s">
        <v>4847</v>
      </c>
      <c r="BX400" s="1" t="s">
        <v>4848</v>
      </c>
      <c r="CI400" s="1" t="s">
        <v>4848</v>
      </c>
    </row>
    <row r="401" customFormat="false" ht="12.8" hidden="false" customHeight="false" outlineLevel="0" collapsed="false">
      <c r="A401" s="0" t="s">
        <v>445</v>
      </c>
      <c r="B401" s="0" t="s">
        <v>4849</v>
      </c>
      <c r="C401" s="0" t="s">
        <v>1056</v>
      </c>
      <c r="D401" s="0" t="s">
        <v>1057</v>
      </c>
      <c r="E401" s="0" t="s">
        <v>4850</v>
      </c>
      <c r="L401" s="0" t="str">
        <f aca="false">"1642"</f>
        <v>1642</v>
      </c>
      <c r="O401" s="0" t="s">
        <v>4851</v>
      </c>
      <c r="R401" s="0" t="s">
        <v>4852</v>
      </c>
      <c r="T401" s="0" t="s">
        <v>1057</v>
      </c>
      <c r="AB401" s="0" t="s">
        <v>4853</v>
      </c>
      <c r="AS401" s="0" t="s">
        <v>4854</v>
      </c>
      <c r="AT401" s="0" t="s">
        <v>2601</v>
      </c>
      <c r="AU401" s="0" t="s">
        <v>2457</v>
      </c>
      <c r="AY401" s="0" t="s">
        <v>4855</v>
      </c>
      <c r="BX401" s="0" t="s">
        <v>4856</v>
      </c>
      <c r="CA401" s="0" t="s">
        <v>4704</v>
      </c>
      <c r="CI401" s="0" t="s">
        <v>4856</v>
      </c>
    </row>
    <row r="402" customFormat="false" ht="12.8" hidden="false" customHeight="false" outlineLevel="0" collapsed="false">
      <c r="A402" s="0" t="s">
        <v>445</v>
      </c>
      <c r="B402" s="0" t="s">
        <v>4857</v>
      </c>
      <c r="C402" s="0" t="s">
        <v>242</v>
      </c>
      <c r="D402" s="0" t="s">
        <v>243</v>
      </c>
      <c r="E402" s="0" t="s">
        <v>4858</v>
      </c>
      <c r="L402" s="0" t="str">
        <f aca="false">"1643"</f>
        <v>1643</v>
      </c>
      <c r="M402" s="0" t="s">
        <v>448</v>
      </c>
      <c r="N402" s="0" t="s">
        <v>4859</v>
      </c>
      <c r="O402" s="0" t="s">
        <v>4860</v>
      </c>
      <c r="T402" s="0" t="s">
        <v>2741</v>
      </c>
      <c r="Z402" s="0" t="s">
        <v>4861</v>
      </c>
      <c r="AG402" s="0" t="s">
        <v>1685</v>
      </c>
      <c r="AH402" s="0" t="s">
        <v>1686</v>
      </c>
      <c r="AI402" s="0" t="s">
        <v>4862</v>
      </c>
      <c r="AM402" s="0" t="s">
        <v>4863</v>
      </c>
      <c r="AS402" s="0" t="s">
        <v>4864</v>
      </c>
      <c r="AT402" s="0" t="s">
        <v>2601</v>
      </c>
      <c r="AU402" s="0" t="s">
        <v>2457</v>
      </c>
      <c r="AY402" s="0" t="s">
        <v>4865</v>
      </c>
      <c r="BX402" s="0" t="s">
        <v>4866</v>
      </c>
      <c r="CI402" s="0" t="s">
        <v>4866</v>
      </c>
    </row>
    <row r="403" customFormat="false" ht="12.8" hidden="false" customHeight="false" outlineLevel="0" collapsed="false">
      <c r="A403" s="0" t="s">
        <v>445</v>
      </c>
      <c r="B403" s="0" t="s">
        <v>4867</v>
      </c>
      <c r="C403" s="0" t="s">
        <v>224</v>
      </c>
      <c r="D403" s="0" t="s">
        <v>225</v>
      </c>
      <c r="E403" s="0" t="s">
        <v>4868</v>
      </c>
      <c r="L403" s="0" t="str">
        <f aca="false">"1644"</f>
        <v>1644</v>
      </c>
      <c r="M403" s="0" t="s">
        <v>448</v>
      </c>
      <c r="N403" s="0" t="s">
        <v>4869</v>
      </c>
      <c r="O403" s="0" t="s">
        <v>4870</v>
      </c>
      <c r="T403" s="0" t="s">
        <v>2741</v>
      </c>
      <c r="Z403" s="0" t="s">
        <v>4871</v>
      </c>
      <c r="AS403" s="0" t="s">
        <v>4872</v>
      </c>
      <c r="AT403" s="0" t="s">
        <v>2601</v>
      </c>
      <c r="AU403" s="0" t="s">
        <v>2457</v>
      </c>
      <c r="AY403" s="0" t="s">
        <v>4873</v>
      </c>
      <c r="AZ403" s="0" t="s">
        <v>4874</v>
      </c>
      <c r="BX403" s="0" t="s">
        <v>4875</v>
      </c>
      <c r="CA403" s="0" t="s">
        <v>4704</v>
      </c>
      <c r="CI403" s="0" t="s">
        <v>4875</v>
      </c>
    </row>
    <row r="404" customFormat="false" ht="22.5" hidden="false" customHeight="false" outlineLevel="0" collapsed="false">
      <c r="A404" s="0" t="s">
        <v>445</v>
      </c>
      <c r="B404" s="0" t="s">
        <v>4876</v>
      </c>
      <c r="C404" s="0" t="s">
        <v>224</v>
      </c>
      <c r="D404" s="0" t="s">
        <v>225</v>
      </c>
      <c r="E404" s="0" t="s">
        <v>4877</v>
      </c>
      <c r="L404" s="0" t="str">
        <f aca="false">"1645"</f>
        <v>1645</v>
      </c>
      <c r="M404" s="0" t="s">
        <v>448</v>
      </c>
      <c r="O404" s="0" t="s">
        <v>4878</v>
      </c>
      <c r="R404" s="1" t="s">
        <v>4879</v>
      </c>
      <c r="T404" s="0" t="s">
        <v>4880</v>
      </c>
      <c r="Z404" s="0" t="s">
        <v>4881</v>
      </c>
      <c r="AS404" s="0" t="s">
        <v>4882</v>
      </c>
      <c r="AT404" s="0" t="s">
        <v>2601</v>
      </c>
      <c r="AU404" s="0" t="s">
        <v>892</v>
      </c>
      <c r="AY404" s="0" t="s">
        <v>4883</v>
      </c>
      <c r="AZ404" s="0" t="s">
        <v>4884</v>
      </c>
      <c r="BX404" s="0" t="s">
        <v>4885</v>
      </c>
      <c r="CI404" s="0" t="s">
        <v>4885</v>
      </c>
    </row>
    <row r="405" customFormat="false" ht="22.5" hidden="false" customHeight="false" outlineLevel="0" collapsed="false">
      <c r="A405" s="0" t="s">
        <v>445</v>
      </c>
      <c r="B405" s="0" t="s">
        <v>4886</v>
      </c>
      <c r="C405" s="0" t="s">
        <v>224</v>
      </c>
      <c r="D405" s="0" t="s">
        <v>225</v>
      </c>
      <c r="E405" s="0" t="s">
        <v>4887</v>
      </c>
      <c r="L405" s="0" t="str">
        <f aca="false">"1646"</f>
        <v>1646</v>
      </c>
      <c r="M405" s="0" t="s">
        <v>448</v>
      </c>
      <c r="O405" s="0" t="s">
        <v>4696</v>
      </c>
      <c r="R405" s="0" t="s">
        <v>4697</v>
      </c>
      <c r="T405" s="0" t="s">
        <v>99</v>
      </c>
      <c r="Z405" s="0" t="s">
        <v>4888</v>
      </c>
      <c r="AB405" s="0" t="s">
        <v>4889</v>
      </c>
      <c r="AS405" s="0" t="s">
        <v>4113</v>
      </c>
      <c r="AT405" s="0" t="s">
        <v>2601</v>
      </c>
      <c r="AU405" s="0" t="s">
        <v>2457</v>
      </c>
      <c r="AY405" s="0" t="s">
        <v>4890</v>
      </c>
      <c r="BX405" s="1" t="s">
        <v>4891</v>
      </c>
      <c r="CA405" s="1" t="s">
        <v>4892</v>
      </c>
      <c r="CB405" s="0" t="str">
        <f aca="false">"01.01.1646"</f>
        <v>01.01.1646</v>
      </c>
      <c r="CI405" s="1" t="s">
        <v>4891</v>
      </c>
    </row>
    <row r="406" customFormat="false" ht="43.75" hidden="false" customHeight="false" outlineLevel="0" collapsed="false">
      <c r="A406" s="0" t="s">
        <v>445</v>
      </c>
      <c r="B406" s="0" t="s">
        <v>4893</v>
      </c>
      <c r="C406" s="0" t="s">
        <v>242</v>
      </c>
      <c r="D406" s="0" t="s">
        <v>243</v>
      </c>
      <c r="E406" s="0" t="s">
        <v>4894</v>
      </c>
      <c r="F406" s="0" t="s">
        <v>192</v>
      </c>
      <c r="H406" s="0" t="s">
        <v>102</v>
      </c>
      <c r="L406" s="0" t="str">
        <f aca="false">"1646"</f>
        <v>1646</v>
      </c>
      <c r="M406" s="1" t="s">
        <v>898</v>
      </c>
      <c r="O406" s="1" t="s">
        <v>4895</v>
      </c>
      <c r="T406" s="0" t="s">
        <v>3165</v>
      </c>
      <c r="Z406" s="0" t="s">
        <v>4896</v>
      </c>
      <c r="AB406" s="0" t="s">
        <v>4897</v>
      </c>
      <c r="AS406" s="0" t="s">
        <v>4898</v>
      </c>
      <c r="AT406" s="0" t="s">
        <v>2601</v>
      </c>
      <c r="AU406" s="0" t="s">
        <v>112</v>
      </c>
      <c r="AY406" s="0" t="s">
        <v>4899</v>
      </c>
      <c r="AZ406" s="0" t="s">
        <v>4900</v>
      </c>
      <c r="BC406" s="0" t="str">
        <f aca="false">"332612732"</f>
        <v>332612732</v>
      </c>
      <c r="BD406" s="0" t="s">
        <v>873</v>
      </c>
      <c r="BE406" s="0" t="s">
        <v>4901</v>
      </c>
      <c r="BJ406" s="0" t="s">
        <v>118</v>
      </c>
      <c r="BX406" s="1" t="s">
        <v>4902</v>
      </c>
      <c r="CF406" s="1" t="s">
        <v>4903</v>
      </c>
      <c r="CG406" s="0" t="s">
        <v>123</v>
      </c>
      <c r="CH406" s="0" t="s">
        <v>169</v>
      </c>
      <c r="CI406" s="1" t="s">
        <v>4902</v>
      </c>
      <c r="CJ406" s="0" t="s">
        <v>4904</v>
      </c>
      <c r="CL406" s="0" t="s">
        <v>4905</v>
      </c>
      <c r="CM406" s="0" t="s">
        <v>4905</v>
      </c>
      <c r="CO406" s="0" t="s">
        <v>4893</v>
      </c>
      <c r="CR406" s="0" t="s">
        <v>4906</v>
      </c>
    </row>
    <row r="407" customFormat="false" ht="22.5" hidden="false" customHeight="false" outlineLevel="0" collapsed="false">
      <c r="A407" s="0" t="s">
        <v>445</v>
      </c>
      <c r="B407" s="0" t="s">
        <v>4907</v>
      </c>
      <c r="C407" s="0" t="s">
        <v>2696</v>
      </c>
      <c r="D407" s="1" t="s">
        <v>2697</v>
      </c>
      <c r="E407" s="0" t="s">
        <v>4908</v>
      </c>
      <c r="L407" s="0" t="str">
        <f aca="false">"1646"</f>
        <v>1646</v>
      </c>
      <c r="M407" s="0" t="s">
        <v>1993</v>
      </c>
      <c r="O407" s="0" t="s">
        <v>4909</v>
      </c>
      <c r="R407" s="0" t="s">
        <v>4910</v>
      </c>
      <c r="T407" s="0" t="s">
        <v>1881</v>
      </c>
      <c r="Z407" s="0" t="s">
        <v>4911</v>
      </c>
      <c r="AS407" s="0" t="s">
        <v>4912</v>
      </c>
      <c r="AT407" s="0" t="s">
        <v>2601</v>
      </c>
      <c r="AU407" s="0" t="s">
        <v>2457</v>
      </c>
      <c r="AY407" s="0" t="s">
        <v>4913</v>
      </c>
      <c r="BX407" s="0" t="s">
        <v>4914</v>
      </c>
      <c r="CA407" s="0" t="s">
        <v>4704</v>
      </c>
      <c r="CI407" s="0" t="s">
        <v>4914</v>
      </c>
    </row>
    <row r="408" customFormat="false" ht="22.5" hidden="false" customHeight="false" outlineLevel="0" collapsed="false">
      <c r="B408" s="0" t="s">
        <v>4915</v>
      </c>
      <c r="C408" s="0" t="s">
        <v>242</v>
      </c>
      <c r="D408" s="0" t="s">
        <v>243</v>
      </c>
      <c r="E408" s="0" t="s">
        <v>4916</v>
      </c>
      <c r="L408" s="0" t="str">
        <f aca="false">"1648"</f>
        <v>1648</v>
      </c>
      <c r="O408" s="0" t="s">
        <v>4917</v>
      </c>
      <c r="R408" s="1" t="s">
        <v>4918</v>
      </c>
      <c r="T408" s="0" t="s">
        <v>1050</v>
      </c>
      <c r="Z408" s="0" t="s">
        <v>4919</v>
      </c>
      <c r="AB408" s="0" t="s">
        <v>4920</v>
      </c>
      <c r="AT408" s="0" t="s">
        <v>2601</v>
      </c>
      <c r="AU408" s="0" t="s">
        <v>2613</v>
      </c>
      <c r="AY408" s="0" t="s">
        <v>4921</v>
      </c>
      <c r="CA408" s="1" t="s">
        <v>4922</v>
      </c>
    </row>
    <row r="409" customFormat="false" ht="12.8" hidden="false" customHeight="false" outlineLevel="0" collapsed="false">
      <c r="C409" s="0" t="s">
        <v>1056</v>
      </c>
      <c r="D409" s="0" t="s">
        <v>1057</v>
      </c>
      <c r="E409" s="0" t="s">
        <v>4923</v>
      </c>
      <c r="L409" s="0" t="str">
        <f aca="false">"1648"</f>
        <v>1648</v>
      </c>
      <c r="O409" s="0" t="s">
        <v>4793</v>
      </c>
      <c r="T409" s="0" t="s">
        <v>1057</v>
      </c>
      <c r="Z409" s="0" t="s">
        <v>4924</v>
      </c>
      <c r="AB409" s="0" t="s">
        <v>4925</v>
      </c>
      <c r="AT409" s="0" t="s">
        <v>2601</v>
      </c>
      <c r="AU409" s="0" t="s">
        <v>2613</v>
      </c>
      <c r="CA409" s="0" t="s">
        <v>2853</v>
      </c>
    </row>
    <row r="410" customFormat="false" ht="12.8" hidden="false" customHeight="false" outlineLevel="0" collapsed="false">
      <c r="B410" s="0" t="s">
        <v>4926</v>
      </c>
      <c r="C410" s="0" t="s">
        <v>4927</v>
      </c>
      <c r="D410" s="0" t="s">
        <v>1288</v>
      </c>
      <c r="E410" s="0" t="s">
        <v>4928</v>
      </c>
      <c r="L410" s="0" t="str">
        <f aca="false">"1648"</f>
        <v>1648</v>
      </c>
      <c r="O410" s="0" t="s">
        <v>4929</v>
      </c>
      <c r="R410" s="0" t="s">
        <v>4930</v>
      </c>
      <c r="T410" s="0" t="s">
        <v>512</v>
      </c>
      <c r="AB410" s="0" t="s">
        <v>4931</v>
      </c>
      <c r="AT410" s="0" t="s">
        <v>2601</v>
      </c>
      <c r="AU410" s="0" t="s">
        <v>2613</v>
      </c>
      <c r="CA410" s="0" t="s">
        <v>2853</v>
      </c>
    </row>
    <row r="411" customFormat="false" ht="22.5" hidden="false" customHeight="false" outlineLevel="0" collapsed="false">
      <c r="A411" s="0" t="s">
        <v>445</v>
      </c>
      <c r="B411" s="0" t="s">
        <v>4932</v>
      </c>
      <c r="C411" s="0" t="s">
        <v>224</v>
      </c>
      <c r="D411" s="0" t="s">
        <v>225</v>
      </c>
      <c r="E411" s="0" t="s">
        <v>4933</v>
      </c>
      <c r="L411" s="0" t="str">
        <f aca="false">"1648"</f>
        <v>1648</v>
      </c>
      <c r="M411" s="0" t="s">
        <v>1993</v>
      </c>
      <c r="O411" s="0" t="s">
        <v>4934</v>
      </c>
      <c r="R411" s="1" t="s">
        <v>4935</v>
      </c>
      <c r="T411" s="0" t="s">
        <v>2751</v>
      </c>
      <c r="Z411" s="0" t="s">
        <v>4936</v>
      </c>
      <c r="AG411" s="0" t="s">
        <v>1429</v>
      </c>
      <c r="AH411" s="0" t="s">
        <v>99</v>
      </c>
      <c r="AI411" s="0" t="s">
        <v>4937</v>
      </c>
      <c r="AS411" s="0" t="s">
        <v>4938</v>
      </c>
      <c r="AT411" s="0" t="s">
        <v>2601</v>
      </c>
      <c r="AU411" s="0" t="s">
        <v>2457</v>
      </c>
      <c r="AY411" s="0" t="s">
        <v>4939</v>
      </c>
      <c r="BX411" s="0" t="s">
        <v>4940</v>
      </c>
      <c r="CI411" s="0" t="s">
        <v>4940</v>
      </c>
    </row>
    <row r="412" customFormat="false" ht="22.5" hidden="false" customHeight="false" outlineLevel="0" collapsed="false">
      <c r="A412" s="0" t="s">
        <v>445</v>
      </c>
      <c r="B412" s="0" t="s">
        <v>4941</v>
      </c>
      <c r="C412" s="0" t="s">
        <v>4766</v>
      </c>
      <c r="D412" s="0" t="s">
        <v>247</v>
      </c>
      <c r="E412" s="0" t="s">
        <v>4942</v>
      </c>
      <c r="F412" s="0" t="s">
        <v>192</v>
      </c>
      <c r="H412" s="0" t="s">
        <v>102</v>
      </c>
      <c r="L412" s="0" t="str">
        <f aca="false">"1648"</f>
        <v>1648</v>
      </c>
      <c r="M412" s="1" t="s">
        <v>193</v>
      </c>
      <c r="O412" s="1" t="s">
        <v>4895</v>
      </c>
      <c r="T412" s="0" t="s">
        <v>3165</v>
      </c>
      <c r="Z412" s="0" t="s">
        <v>4943</v>
      </c>
      <c r="AB412" s="0" t="s">
        <v>4944</v>
      </c>
      <c r="AG412" s="0" t="s">
        <v>224</v>
      </c>
      <c r="AH412" s="0" t="s">
        <v>225</v>
      </c>
      <c r="AI412" s="0" t="s">
        <v>4945</v>
      </c>
      <c r="AS412" s="0" t="s">
        <v>4946</v>
      </c>
      <c r="AT412" s="0" t="s">
        <v>2601</v>
      </c>
      <c r="AU412" s="0" t="s">
        <v>112</v>
      </c>
      <c r="AY412" s="0" t="s">
        <v>4947</v>
      </c>
      <c r="AZ412" s="0" t="s">
        <v>4948</v>
      </c>
      <c r="BC412" s="0" t="str">
        <f aca="false">"535538006"</f>
        <v>535538006</v>
      </c>
      <c r="BJ412" s="0" t="s">
        <v>118</v>
      </c>
      <c r="BX412" s="1" t="s">
        <v>4949</v>
      </c>
      <c r="CF412" s="0" t="s">
        <v>4950</v>
      </c>
      <c r="CG412" s="0" t="s">
        <v>123</v>
      </c>
      <c r="CH412" s="0" t="s">
        <v>124</v>
      </c>
      <c r="CI412" s="1" t="s">
        <v>4949</v>
      </c>
      <c r="CJ412" s="0" t="s">
        <v>4951</v>
      </c>
      <c r="CL412" s="0" t="s">
        <v>4952</v>
      </c>
      <c r="CM412" s="0" t="s">
        <v>4952</v>
      </c>
      <c r="CO412" s="0" t="s">
        <v>4941</v>
      </c>
      <c r="CR412" s="0" t="s">
        <v>4953</v>
      </c>
    </row>
    <row r="413" customFormat="false" ht="65" hidden="false" customHeight="false" outlineLevel="0" collapsed="false">
      <c r="A413" s="0" t="s">
        <v>445</v>
      </c>
      <c r="B413" s="0" t="s">
        <v>4954</v>
      </c>
      <c r="C413" s="0" t="s">
        <v>1685</v>
      </c>
      <c r="D413" s="0" t="s">
        <v>1686</v>
      </c>
      <c r="E413" s="0" t="s">
        <v>4955</v>
      </c>
      <c r="F413" s="0" t="s">
        <v>192</v>
      </c>
      <c r="H413" s="0" t="s">
        <v>102</v>
      </c>
      <c r="L413" s="0" t="str">
        <f aca="false">"1648"</f>
        <v>1648</v>
      </c>
      <c r="M413" s="1" t="s">
        <v>898</v>
      </c>
      <c r="O413" s="1" t="s">
        <v>4956</v>
      </c>
      <c r="T413" s="0" t="s">
        <v>1911</v>
      </c>
      <c r="Z413" s="0" t="s">
        <v>4957</v>
      </c>
      <c r="AB413" s="0" t="s">
        <v>4958</v>
      </c>
      <c r="AS413" s="0" t="s">
        <v>4804</v>
      </c>
      <c r="AT413" s="0" t="s">
        <v>2601</v>
      </c>
      <c r="AU413" s="0" t="s">
        <v>112</v>
      </c>
      <c r="AY413" s="0" t="s">
        <v>4959</v>
      </c>
      <c r="AZ413" s="0" t="s">
        <v>4960</v>
      </c>
      <c r="BD413" s="0" t="s">
        <v>873</v>
      </c>
      <c r="BE413" s="0" t="s">
        <v>4961</v>
      </c>
      <c r="BJ413" s="0" t="s">
        <v>118</v>
      </c>
      <c r="BX413" s="0" t="s">
        <v>4962</v>
      </c>
      <c r="CF413" s="1" t="s">
        <v>4963</v>
      </c>
      <c r="CG413" s="0" t="s">
        <v>123</v>
      </c>
      <c r="CH413" s="1" t="s">
        <v>4964</v>
      </c>
      <c r="CI413" s="0" t="s">
        <v>4962</v>
      </c>
      <c r="CJ413" s="0" t="s">
        <v>4965</v>
      </c>
      <c r="CL413" s="0" t="s">
        <v>4966</v>
      </c>
      <c r="CM413" s="0" t="s">
        <v>4966</v>
      </c>
      <c r="CO413" s="0" t="s">
        <v>4967</v>
      </c>
      <c r="CR413" s="0" t="s">
        <v>4968</v>
      </c>
    </row>
    <row r="414" customFormat="false" ht="22.5" hidden="false" customHeight="false" outlineLevel="0" collapsed="false">
      <c r="A414" s="0" t="s">
        <v>445</v>
      </c>
      <c r="B414" s="0" t="s">
        <v>4969</v>
      </c>
      <c r="C414" s="0" t="s">
        <v>2696</v>
      </c>
      <c r="D414" s="1" t="s">
        <v>2697</v>
      </c>
      <c r="E414" s="0" t="s">
        <v>4970</v>
      </c>
      <c r="F414" s="0" t="s">
        <v>192</v>
      </c>
      <c r="H414" s="0" t="s">
        <v>102</v>
      </c>
      <c r="L414" s="0" t="str">
        <f aca="false">"1648"</f>
        <v>1648</v>
      </c>
      <c r="M414" s="1" t="s">
        <v>898</v>
      </c>
      <c r="O414" s="1" t="s">
        <v>4971</v>
      </c>
      <c r="T414" s="0" t="s">
        <v>4972</v>
      </c>
      <c r="Z414" s="0" t="s">
        <v>4973</v>
      </c>
      <c r="AB414" s="0" t="s">
        <v>4974</v>
      </c>
      <c r="AS414" s="0" t="s">
        <v>4975</v>
      </c>
      <c r="AT414" s="0" t="s">
        <v>2601</v>
      </c>
      <c r="AU414" s="0" t="s">
        <v>112</v>
      </c>
      <c r="AY414" s="0" t="s">
        <v>4976</v>
      </c>
      <c r="AZ414" s="0" t="s">
        <v>4977</v>
      </c>
      <c r="BD414" s="0" t="s">
        <v>873</v>
      </c>
      <c r="BE414" s="0" t="s">
        <v>4978</v>
      </c>
      <c r="BJ414" s="0" t="s">
        <v>118</v>
      </c>
      <c r="BX414" s="0" t="s">
        <v>4979</v>
      </c>
      <c r="CF414" s="0" t="s">
        <v>4980</v>
      </c>
      <c r="CG414" s="0" t="s">
        <v>123</v>
      </c>
      <c r="CH414" s="1" t="s">
        <v>3964</v>
      </c>
      <c r="CI414" s="0" t="s">
        <v>4979</v>
      </c>
      <c r="CJ414" s="0" t="s">
        <v>4981</v>
      </c>
      <c r="CL414" s="0" t="s">
        <v>4982</v>
      </c>
      <c r="CM414" s="0" t="s">
        <v>4982</v>
      </c>
      <c r="CO414" s="0" t="s">
        <v>4969</v>
      </c>
      <c r="CR414" s="0" t="s">
        <v>4983</v>
      </c>
    </row>
    <row r="415" customFormat="false" ht="33.1" hidden="false" customHeight="false" outlineLevel="0" collapsed="false">
      <c r="B415" s="0" t="s">
        <v>4984</v>
      </c>
      <c r="C415" s="0" t="s">
        <v>4985</v>
      </c>
      <c r="D415" s="0" t="s">
        <v>247</v>
      </c>
      <c r="E415" s="0" t="s">
        <v>4986</v>
      </c>
      <c r="L415" s="0" t="str">
        <f aca="false">"1649"</f>
        <v>1649</v>
      </c>
      <c r="O415" s="0" t="s">
        <v>2894</v>
      </c>
      <c r="R415" s="1" t="s">
        <v>4987</v>
      </c>
      <c r="T415" s="0" t="s">
        <v>1050</v>
      </c>
      <c r="Z415" s="0" t="s">
        <v>4988</v>
      </c>
      <c r="AT415" s="0" t="s">
        <v>2601</v>
      </c>
      <c r="AU415" s="0" t="s">
        <v>2613</v>
      </c>
      <c r="AY415" s="0" t="s">
        <v>4989</v>
      </c>
    </row>
    <row r="416" customFormat="false" ht="22.5" hidden="false" customHeight="false" outlineLevel="0" collapsed="false">
      <c r="A416" s="0" t="s">
        <v>445</v>
      </c>
      <c r="B416" s="0" t="s">
        <v>4990</v>
      </c>
      <c r="C416" s="0" t="s">
        <v>2696</v>
      </c>
      <c r="D416" s="1" t="s">
        <v>2697</v>
      </c>
      <c r="E416" s="0" t="s">
        <v>4991</v>
      </c>
      <c r="L416" s="0" t="str">
        <f aca="false">"1649"</f>
        <v>1649</v>
      </c>
      <c r="M416" s="0" t="s">
        <v>1993</v>
      </c>
      <c r="O416" s="0" t="s">
        <v>4992</v>
      </c>
      <c r="R416" s="0" t="s">
        <v>4993</v>
      </c>
      <c r="T416" s="0" t="s">
        <v>1150</v>
      </c>
      <c r="Z416" s="0" t="s">
        <v>4994</v>
      </c>
      <c r="AT416" s="0" t="s">
        <v>2601</v>
      </c>
      <c r="AU416" s="0" t="s">
        <v>2457</v>
      </c>
      <c r="AY416" s="0" t="s">
        <v>4995</v>
      </c>
      <c r="BX416" s="0" t="s">
        <v>4996</v>
      </c>
      <c r="CI416" s="0" t="s">
        <v>4996</v>
      </c>
    </row>
    <row r="417" customFormat="false" ht="22.5" hidden="false" customHeight="false" outlineLevel="0" collapsed="false">
      <c r="A417" s="0" t="s">
        <v>445</v>
      </c>
      <c r="B417" s="0" t="s">
        <v>4997</v>
      </c>
      <c r="C417" s="0" t="s">
        <v>2696</v>
      </c>
      <c r="D417" s="1" t="s">
        <v>2697</v>
      </c>
      <c r="E417" s="0" t="s">
        <v>4998</v>
      </c>
      <c r="L417" s="0" t="str">
        <f aca="false">"1649"</f>
        <v>1649</v>
      </c>
      <c r="M417" s="0" t="s">
        <v>1993</v>
      </c>
      <c r="O417" s="0" t="s">
        <v>4999</v>
      </c>
      <c r="R417" s="1" t="s">
        <v>5000</v>
      </c>
      <c r="T417" s="0" t="s">
        <v>1050</v>
      </c>
      <c r="Z417" s="0" t="s">
        <v>5001</v>
      </c>
      <c r="AB417" s="0" t="s">
        <v>5002</v>
      </c>
      <c r="AS417" s="0" t="s">
        <v>5003</v>
      </c>
      <c r="AT417" s="0" t="s">
        <v>2601</v>
      </c>
      <c r="AU417" s="0" t="s">
        <v>2457</v>
      </c>
      <c r="AY417" s="0" t="s">
        <v>5004</v>
      </c>
      <c r="BX417" s="0" t="s">
        <v>5005</v>
      </c>
      <c r="CB417" s="0" t="str">
        <f aca="false">"01.01.1649"</f>
        <v>01.01.1649</v>
      </c>
      <c r="CI417" s="0" t="s">
        <v>5005</v>
      </c>
    </row>
    <row r="418" customFormat="false" ht="22.5" hidden="false" customHeight="false" outlineLevel="0" collapsed="false">
      <c r="A418" s="0" t="s">
        <v>445</v>
      </c>
      <c r="B418" s="0" t="s">
        <v>5006</v>
      </c>
      <c r="C418" s="0" t="s">
        <v>224</v>
      </c>
      <c r="D418" s="0" t="s">
        <v>225</v>
      </c>
      <c r="E418" s="0" t="s">
        <v>5007</v>
      </c>
      <c r="L418" s="0" t="str">
        <f aca="false">"1649"</f>
        <v>1649</v>
      </c>
      <c r="M418" s="0" t="s">
        <v>448</v>
      </c>
      <c r="O418" s="0" t="s">
        <v>5008</v>
      </c>
      <c r="R418" s="0" t="s">
        <v>4697</v>
      </c>
      <c r="T418" s="0" t="s">
        <v>99</v>
      </c>
      <c r="Z418" s="0" t="s">
        <v>5009</v>
      </c>
      <c r="AS418" s="0" t="s">
        <v>5010</v>
      </c>
      <c r="AT418" s="0" t="s">
        <v>2601</v>
      </c>
      <c r="AU418" s="0" t="s">
        <v>2457</v>
      </c>
      <c r="AY418" s="0" t="s">
        <v>5011</v>
      </c>
      <c r="AZ418" s="0" t="s">
        <v>5012</v>
      </c>
      <c r="BX418" s="1" t="s">
        <v>5013</v>
      </c>
      <c r="CB418" s="0" t="str">
        <f aca="false">"11.02.1649"</f>
        <v>11.02.1649</v>
      </c>
      <c r="CI418" s="1" t="s">
        <v>5013</v>
      </c>
    </row>
    <row r="419" customFormat="false" ht="12.8" hidden="false" customHeight="false" outlineLevel="0" collapsed="false">
      <c r="B419" s="0" t="s">
        <v>5014</v>
      </c>
      <c r="C419" s="0" t="s">
        <v>5015</v>
      </c>
      <c r="D419" s="0" t="s">
        <v>512</v>
      </c>
      <c r="E419" s="0" t="s">
        <v>5016</v>
      </c>
      <c r="L419" s="0" t="str">
        <f aca="false">"1649"</f>
        <v>1649</v>
      </c>
      <c r="O419" s="0" t="s">
        <v>5017</v>
      </c>
      <c r="R419" s="0" t="s">
        <v>5018</v>
      </c>
      <c r="T419" s="0" t="s">
        <v>512</v>
      </c>
      <c r="AB419" s="0" t="s">
        <v>5019</v>
      </c>
      <c r="AT419" s="0" t="s">
        <v>2601</v>
      </c>
      <c r="AU419" s="0" t="s">
        <v>2613</v>
      </c>
      <c r="CA419" s="0" t="s">
        <v>2853</v>
      </c>
    </row>
    <row r="420" customFormat="false" ht="12.8" hidden="false" customHeight="false" outlineLevel="0" collapsed="false">
      <c r="A420" s="0" t="s">
        <v>445</v>
      </c>
      <c r="B420" s="0" t="s">
        <v>5020</v>
      </c>
      <c r="C420" s="0" t="s">
        <v>397</v>
      </c>
      <c r="D420" s="0" t="s">
        <v>398</v>
      </c>
      <c r="E420" s="0" t="s">
        <v>5021</v>
      </c>
      <c r="L420" s="0" t="str">
        <f aca="false">"1649"</f>
        <v>1649</v>
      </c>
      <c r="M420" s="0" t="s">
        <v>448</v>
      </c>
      <c r="O420" s="0" t="s">
        <v>5022</v>
      </c>
      <c r="R420" s="0" t="s">
        <v>5023</v>
      </c>
      <c r="T420" s="0" t="s">
        <v>5024</v>
      </c>
      <c r="Z420" s="0" t="s">
        <v>5025</v>
      </c>
      <c r="AS420" s="0" t="s">
        <v>5026</v>
      </c>
      <c r="AT420" s="0" t="s">
        <v>2601</v>
      </c>
      <c r="AU420" s="0" t="s">
        <v>2457</v>
      </c>
      <c r="AY420" s="0" t="s">
        <v>5027</v>
      </c>
      <c r="BX420" s="0" t="s">
        <v>5028</v>
      </c>
      <c r="CB420" s="0" t="str">
        <f aca="false">"01.01.1649"</f>
        <v>01.01.1649</v>
      </c>
      <c r="CI420" s="0" t="s">
        <v>5028</v>
      </c>
    </row>
    <row r="421" customFormat="false" ht="12.8" hidden="false" customHeight="false" outlineLevel="0" collapsed="false">
      <c r="B421" s="0" t="s">
        <v>5029</v>
      </c>
      <c r="C421" s="0" t="s">
        <v>5030</v>
      </c>
      <c r="D421" s="0" t="s">
        <v>2688</v>
      </c>
      <c r="E421" s="0" t="s">
        <v>5031</v>
      </c>
      <c r="L421" s="0" t="str">
        <f aca="false">"1649"</f>
        <v>1649</v>
      </c>
      <c r="O421" s="0" t="s">
        <v>5032</v>
      </c>
      <c r="R421" s="0" t="s">
        <v>5033</v>
      </c>
      <c r="T421" s="0" t="s">
        <v>99</v>
      </c>
      <c r="Z421" s="0" t="s">
        <v>5034</v>
      </c>
      <c r="AG421" s="0" t="s">
        <v>5035</v>
      </c>
      <c r="AH421" s="0" t="s">
        <v>1416</v>
      </c>
      <c r="AI421" s="0" t="s">
        <v>5036</v>
      </c>
      <c r="AS421" s="0" t="s">
        <v>5037</v>
      </c>
      <c r="AT421" s="0" t="s">
        <v>2601</v>
      </c>
      <c r="AU421" s="0" t="s">
        <v>2457</v>
      </c>
      <c r="AY421" s="0" t="s">
        <v>5038</v>
      </c>
      <c r="AZ421" s="0" t="s">
        <v>5039</v>
      </c>
    </row>
    <row r="422" customFormat="false" ht="22.5" hidden="false" customHeight="false" outlineLevel="0" collapsed="false">
      <c r="A422" s="0" t="s">
        <v>445</v>
      </c>
      <c r="B422" s="0" t="s">
        <v>5040</v>
      </c>
      <c r="C422" s="0" t="s">
        <v>242</v>
      </c>
      <c r="D422" s="0" t="s">
        <v>243</v>
      </c>
      <c r="E422" s="0" t="s">
        <v>5041</v>
      </c>
      <c r="F422" s="0" t="s">
        <v>192</v>
      </c>
      <c r="H422" s="0" t="s">
        <v>102</v>
      </c>
      <c r="L422" s="0" t="str">
        <f aca="false">"1649"</f>
        <v>1649</v>
      </c>
      <c r="M422" s="1" t="s">
        <v>898</v>
      </c>
      <c r="O422" s="1" t="s">
        <v>5042</v>
      </c>
      <c r="T422" s="0" t="s">
        <v>2869</v>
      </c>
      <c r="Z422" s="0" t="s">
        <v>5043</v>
      </c>
      <c r="AB422" s="0" t="s">
        <v>5044</v>
      </c>
      <c r="AG422" s="0" t="s">
        <v>2696</v>
      </c>
      <c r="AH422" s="1" t="s">
        <v>2697</v>
      </c>
      <c r="AI422" s="0" t="s">
        <v>5045</v>
      </c>
      <c r="AJ422" s="0" t="s">
        <v>5046</v>
      </c>
      <c r="AM422" s="0" t="s">
        <v>5047</v>
      </c>
      <c r="AS422" s="0" t="s">
        <v>4739</v>
      </c>
      <c r="AT422" s="0" t="s">
        <v>2601</v>
      </c>
      <c r="AU422" s="0" t="s">
        <v>872</v>
      </c>
      <c r="AY422" s="0" t="s">
        <v>5048</v>
      </c>
      <c r="AZ422" s="0" t="s">
        <v>5049</v>
      </c>
      <c r="BC422" s="0" t="str">
        <f aca="false">"332609944"</f>
        <v>332609944</v>
      </c>
      <c r="BD422" s="0" t="s">
        <v>873</v>
      </c>
      <c r="BE422" s="0" t="s">
        <v>5050</v>
      </c>
      <c r="BJ422" s="0" t="s">
        <v>118</v>
      </c>
      <c r="BV422" s="0" t="s">
        <v>5051</v>
      </c>
      <c r="BX422" s="0" t="s">
        <v>5052</v>
      </c>
      <c r="CC422" s="0" t="s">
        <v>5053</v>
      </c>
      <c r="CI422" s="0" t="s">
        <v>5052</v>
      </c>
      <c r="CJ422" s="0" t="s">
        <v>5054</v>
      </c>
      <c r="CO422" s="0" t="s">
        <v>5040</v>
      </c>
      <c r="CR422" s="0" t="s">
        <v>5055</v>
      </c>
    </row>
    <row r="423" customFormat="false" ht="12.8" hidden="false" customHeight="false" outlineLevel="0" collapsed="false">
      <c r="A423" s="0" t="s">
        <v>445</v>
      </c>
      <c r="B423" s="0" t="s">
        <v>5056</v>
      </c>
      <c r="C423" s="0" t="s">
        <v>224</v>
      </c>
      <c r="D423" s="0" t="s">
        <v>225</v>
      </c>
      <c r="E423" s="0" t="s">
        <v>5057</v>
      </c>
      <c r="L423" s="0" t="str">
        <f aca="false">"1649"</f>
        <v>1649</v>
      </c>
      <c r="M423" s="0" t="s">
        <v>448</v>
      </c>
      <c r="O423" s="0" t="s">
        <v>5058</v>
      </c>
      <c r="R423" s="0" t="s">
        <v>5059</v>
      </c>
      <c r="T423" s="0" t="s">
        <v>5060</v>
      </c>
      <c r="Z423" s="0" t="s">
        <v>5061</v>
      </c>
      <c r="AC423" s="0" t="s">
        <v>5062</v>
      </c>
      <c r="AS423" s="0" t="s">
        <v>5063</v>
      </c>
      <c r="AT423" s="0" t="s">
        <v>2601</v>
      </c>
      <c r="AU423" s="0" t="s">
        <v>2457</v>
      </c>
      <c r="AY423" s="0" t="s">
        <v>5064</v>
      </c>
      <c r="AZ423" s="0" t="s">
        <v>5065</v>
      </c>
      <c r="BX423" s="0" t="s">
        <v>5066</v>
      </c>
      <c r="CB423" s="0" t="str">
        <f aca="false">"24.12.1648"</f>
        <v>24.12.1648</v>
      </c>
      <c r="CI423" s="0" t="s">
        <v>5066</v>
      </c>
    </row>
    <row r="424" customFormat="false" ht="12.8" hidden="false" customHeight="false" outlineLevel="0" collapsed="false">
      <c r="B424" s="0" t="s">
        <v>5067</v>
      </c>
      <c r="C424" s="0" t="s">
        <v>1685</v>
      </c>
      <c r="D424" s="0" t="s">
        <v>1686</v>
      </c>
      <c r="E424" s="0" t="s">
        <v>5068</v>
      </c>
      <c r="L424" s="0" t="str">
        <f aca="false">"1649"</f>
        <v>1649</v>
      </c>
      <c r="O424" s="0" t="s">
        <v>5069</v>
      </c>
      <c r="R424" s="0" t="s">
        <v>5070</v>
      </c>
      <c r="T424" s="0" t="s">
        <v>2718</v>
      </c>
      <c r="Z424" s="0" t="s">
        <v>5071</v>
      </c>
      <c r="AB424" s="0" t="s">
        <v>5072</v>
      </c>
      <c r="AT424" s="0" t="s">
        <v>2601</v>
      </c>
      <c r="AU424" s="0" t="s">
        <v>892</v>
      </c>
      <c r="AY424" s="0" t="s">
        <v>5073</v>
      </c>
      <c r="CJ424" s="0" t="s">
        <v>5074</v>
      </c>
      <c r="CO424" s="0" t="s">
        <v>5067</v>
      </c>
    </row>
    <row r="425" customFormat="false" ht="33.1" hidden="false" customHeight="false" outlineLevel="0" collapsed="false">
      <c r="B425" s="0" t="s">
        <v>5075</v>
      </c>
      <c r="C425" s="0" t="s">
        <v>4985</v>
      </c>
      <c r="D425" s="0" t="s">
        <v>247</v>
      </c>
      <c r="E425" s="0" t="s">
        <v>5076</v>
      </c>
      <c r="L425" s="0" t="str">
        <f aca="false">"1649"</f>
        <v>1649</v>
      </c>
      <c r="O425" s="0" t="s">
        <v>2894</v>
      </c>
      <c r="R425" s="1" t="s">
        <v>4987</v>
      </c>
      <c r="T425" s="0" t="s">
        <v>1050</v>
      </c>
      <c r="Z425" s="0" t="s">
        <v>5077</v>
      </c>
      <c r="AB425" s="0" t="s">
        <v>5078</v>
      </c>
      <c r="AT425" s="0" t="s">
        <v>2601</v>
      </c>
      <c r="AU425" s="0" t="s">
        <v>2613</v>
      </c>
    </row>
    <row r="426" customFormat="false" ht="33.1" hidden="false" customHeight="false" outlineLevel="0" collapsed="false">
      <c r="B426" s="0" t="s">
        <v>5079</v>
      </c>
      <c r="C426" s="0" t="s">
        <v>4985</v>
      </c>
      <c r="D426" s="0" t="s">
        <v>247</v>
      </c>
      <c r="E426" s="0" t="s">
        <v>5080</v>
      </c>
      <c r="L426" s="0" t="str">
        <f aca="false">"1649"</f>
        <v>1649</v>
      </c>
      <c r="M426" s="0" t="s">
        <v>448</v>
      </c>
      <c r="O426" s="0" t="s">
        <v>2894</v>
      </c>
      <c r="R426" s="1" t="s">
        <v>4987</v>
      </c>
      <c r="T426" s="0" t="s">
        <v>1050</v>
      </c>
      <c r="Z426" s="0" t="s">
        <v>5081</v>
      </c>
      <c r="AB426" s="0" t="s">
        <v>5082</v>
      </c>
      <c r="AT426" s="0" t="s">
        <v>2601</v>
      </c>
      <c r="AU426" s="0" t="s">
        <v>2613</v>
      </c>
    </row>
    <row r="427" customFormat="false" ht="33.1" hidden="false" customHeight="false" outlineLevel="0" collapsed="false">
      <c r="B427" s="0" t="s">
        <v>5083</v>
      </c>
      <c r="C427" s="0" t="s">
        <v>4985</v>
      </c>
      <c r="D427" s="0" t="s">
        <v>247</v>
      </c>
      <c r="E427" s="0" t="s">
        <v>5084</v>
      </c>
      <c r="L427" s="0" t="str">
        <f aca="false">"1649"</f>
        <v>1649</v>
      </c>
      <c r="O427" s="0" t="s">
        <v>2894</v>
      </c>
      <c r="R427" s="1" t="s">
        <v>4987</v>
      </c>
      <c r="T427" s="0" t="s">
        <v>1050</v>
      </c>
      <c r="Z427" s="0" t="s">
        <v>5085</v>
      </c>
      <c r="AB427" s="0" t="s">
        <v>5086</v>
      </c>
      <c r="AT427" s="0" t="s">
        <v>2601</v>
      </c>
      <c r="AU427" s="0" t="s">
        <v>2613</v>
      </c>
    </row>
    <row r="428" customFormat="false" ht="33.1" hidden="false" customHeight="false" outlineLevel="0" collapsed="false">
      <c r="B428" s="0" t="s">
        <v>5087</v>
      </c>
      <c r="C428" s="0" t="s">
        <v>4985</v>
      </c>
      <c r="D428" s="0" t="s">
        <v>247</v>
      </c>
      <c r="E428" s="0" t="s">
        <v>5088</v>
      </c>
      <c r="L428" s="0" t="str">
        <f aca="false">"1649"</f>
        <v>1649</v>
      </c>
      <c r="O428" s="0" t="s">
        <v>2894</v>
      </c>
      <c r="R428" s="1" t="s">
        <v>4987</v>
      </c>
      <c r="T428" s="0" t="s">
        <v>1050</v>
      </c>
      <c r="Z428" s="0" t="s">
        <v>5089</v>
      </c>
      <c r="AB428" s="0" t="s">
        <v>5090</v>
      </c>
      <c r="AT428" s="0" t="s">
        <v>2601</v>
      </c>
      <c r="AU428" s="0" t="s">
        <v>2613</v>
      </c>
    </row>
    <row r="429" customFormat="false" ht="33.1" hidden="false" customHeight="false" outlineLevel="0" collapsed="false">
      <c r="B429" s="0" t="s">
        <v>5091</v>
      </c>
      <c r="C429" s="0" t="s">
        <v>4985</v>
      </c>
      <c r="D429" s="0" t="s">
        <v>247</v>
      </c>
      <c r="E429" s="0" t="s">
        <v>5092</v>
      </c>
      <c r="L429" s="0" t="str">
        <f aca="false">"1649"</f>
        <v>1649</v>
      </c>
      <c r="O429" s="0" t="s">
        <v>2894</v>
      </c>
      <c r="R429" s="1" t="s">
        <v>4987</v>
      </c>
      <c r="T429" s="0" t="s">
        <v>1050</v>
      </c>
      <c r="Z429" s="0" t="s">
        <v>5093</v>
      </c>
      <c r="AB429" s="0" t="s">
        <v>5094</v>
      </c>
      <c r="AT429" s="0" t="s">
        <v>2601</v>
      </c>
      <c r="AU429" s="0" t="s">
        <v>2613</v>
      </c>
    </row>
    <row r="430" customFormat="false" ht="33.1" hidden="false" customHeight="false" outlineLevel="0" collapsed="false">
      <c r="B430" s="0" t="s">
        <v>5095</v>
      </c>
      <c r="C430" s="0" t="s">
        <v>4985</v>
      </c>
      <c r="D430" s="0" t="s">
        <v>247</v>
      </c>
      <c r="E430" s="0" t="s">
        <v>5096</v>
      </c>
      <c r="L430" s="0" t="str">
        <f aca="false">"1649"</f>
        <v>1649</v>
      </c>
      <c r="M430" s="0" t="s">
        <v>448</v>
      </c>
      <c r="O430" s="0" t="s">
        <v>2894</v>
      </c>
      <c r="R430" s="1" t="s">
        <v>4987</v>
      </c>
      <c r="T430" s="0" t="s">
        <v>1050</v>
      </c>
      <c r="Z430" s="0" t="s">
        <v>5097</v>
      </c>
      <c r="AB430" s="0" t="s">
        <v>5098</v>
      </c>
      <c r="AT430" s="0" t="s">
        <v>2601</v>
      </c>
      <c r="AU430" s="0" t="s">
        <v>2613</v>
      </c>
      <c r="AY430" s="0" t="s">
        <v>5099</v>
      </c>
    </row>
    <row r="431" customFormat="false" ht="12.8" hidden="false" customHeight="false" outlineLevel="0" collapsed="false">
      <c r="A431" s="0" t="s">
        <v>96</v>
      </c>
      <c r="B431" s="0" t="s">
        <v>5100</v>
      </c>
      <c r="C431" s="0" t="s">
        <v>5101</v>
      </c>
      <c r="D431" s="0" t="s">
        <v>1288</v>
      </c>
      <c r="E431" s="0" t="s">
        <v>2390</v>
      </c>
      <c r="F431" s="0" t="s">
        <v>5102</v>
      </c>
      <c r="H431" s="0" t="s">
        <v>102</v>
      </c>
      <c r="I431" s="0" t="str">
        <f aca="false">"1677"</f>
        <v>1677</v>
      </c>
      <c r="J431" s="0" t="str">
        <f aca="false">"1678"</f>
        <v>1678</v>
      </c>
      <c r="M431" s="0" t="s">
        <v>553</v>
      </c>
      <c r="O431" s="0" t="s">
        <v>2381</v>
      </c>
      <c r="AD431" s="0" t="s">
        <v>5103</v>
      </c>
      <c r="AE431" s="0" t="str">
        <f aca="false">"71"</f>
        <v>71</v>
      </c>
      <c r="AF431" s="0" t="s">
        <v>518</v>
      </c>
      <c r="AO431" s="0" t="s">
        <v>5104</v>
      </c>
      <c r="AT431" s="0" t="s">
        <v>139</v>
      </c>
      <c r="AU431" s="0" t="s">
        <v>112</v>
      </c>
      <c r="BJ431" s="0" t="s">
        <v>118</v>
      </c>
      <c r="BK431" s="0" t="s">
        <v>542</v>
      </c>
      <c r="BL431" s="0" t="s">
        <v>5105</v>
      </c>
      <c r="BU431" s="0" t="s">
        <v>5106</v>
      </c>
      <c r="BX431" s="0" t="s">
        <v>5107</v>
      </c>
      <c r="BY431" s="0" t="s">
        <v>2380</v>
      </c>
      <c r="BZ431" s="0" t="s">
        <v>5108</v>
      </c>
      <c r="CH431" s="0" t="s">
        <v>169</v>
      </c>
      <c r="CI431" s="0" t="s">
        <v>5107</v>
      </c>
      <c r="CQ431" s="0" t="s">
        <v>5109</v>
      </c>
      <c r="CR431" s="0" t="s">
        <v>5110</v>
      </c>
    </row>
    <row r="432" customFormat="false" ht="12.8" hidden="false" customHeight="false" outlineLevel="0" collapsed="false">
      <c r="A432" s="0" t="s">
        <v>880</v>
      </c>
      <c r="B432" s="0" t="s">
        <v>5111</v>
      </c>
      <c r="C432" s="0" t="s">
        <v>5112</v>
      </c>
      <c r="D432" s="0" t="s">
        <v>868</v>
      </c>
      <c r="E432" s="0" t="s">
        <v>5113</v>
      </c>
      <c r="I432" s="0" t="str">
        <f aca="false">"1701"</f>
        <v>1701</v>
      </c>
      <c r="J432" s="0" t="str">
        <f aca="false">"1710"</f>
        <v>1710</v>
      </c>
      <c r="W432" s="0" t="s">
        <v>5114</v>
      </c>
      <c r="X432" s="0" t="s">
        <v>5115</v>
      </c>
      <c r="AT432" s="0" t="s">
        <v>338</v>
      </c>
      <c r="AU432" s="0" t="s">
        <v>892</v>
      </c>
      <c r="AY432" s="0" t="s">
        <v>5116</v>
      </c>
      <c r="CJ432" s="0" t="s">
        <v>5117</v>
      </c>
      <c r="CO432" s="0" t="s">
        <v>5111</v>
      </c>
    </row>
    <row r="433" customFormat="false" ht="96.85" hidden="false" customHeight="false" outlineLevel="0" collapsed="false">
      <c r="A433" s="0" t="s">
        <v>445</v>
      </c>
      <c r="B433" s="0" t="s">
        <v>5118</v>
      </c>
      <c r="C433" s="0" t="s">
        <v>1213</v>
      </c>
      <c r="D433" s="0" t="s">
        <v>1214</v>
      </c>
      <c r="E433" s="0" t="s">
        <v>5119</v>
      </c>
      <c r="F433" s="0" t="s">
        <v>192</v>
      </c>
      <c r="H433" s="0" t="s">
        <v>102</v>
      </c>
      <c r="L433" s="0" t="str">
        <f aca="false">"1763"</f>
        <v>1763</v>
      </c>
      <c r="M433" s="0" t="s">
        <v>448</v>
      </c>
      <c r="O433" s="1" t="s">
        <v>5120</v>
      </c>
      <c r="T433" s="0" t="s">
        <v>4466</v>
      </c>
      <c r="AP433" s="0" t="s">
        <v>4463</v>
      </c>
      <c r="AQ433" s="0" t="s">
        <v>5121</v>
      </c>
      <c r="AT433" s="0" t="s">
        <v>2601</v>
      </c>
      <c r="AU433" s="0" t="s">
        <v>872</v>
      </c>
      <c r="CJ433" s="1" t="s">
        <v>5122</v>
      </c>
      <c r="CO433" s="1" t="s">
        <v>5123</v>
      </c>
    </row>
    <row r="434" customFormat="false" ht="12.8" hidden="false" customHeight="false" outlineLevel="0" collapsed="false">
      <c r="A434" s="0" t="s">
        <v>445</v>
      </c>
      <c r="B434" s="0" t="s">
        <v>5124</v>
      </c>
      <c r="C434" s="0" t="s">
        <v>1213</v>
      </c>
      <c r="D434" s="0" t="s">
        <v>1214</v>
      </c>
      <c r="E434" s="0" t="s">
        <v>5125</v>
      </c>
      <c r="F434" s="0" t="s">
        <v>192</v>
      </c>
      <c r="H434" s="0" t="s">
        <v>102</v>
      </c>
      <c r="L434" s="0" t="str">
        <f aca="false">"1763"</f>
        <v>1763</v>
      </c>
      <c r="M434" s="0" t="s">
        <v>448</v>
      </c>
      <c r="O434" s="0" t="s">
        <v>5126</v>
      </c>
      <c r="T434" s="0" t="s">
        <v>4466</v>
      </c>
      <c r="AP434" s="0" t="s">
        <v>4463</v>
      </c>
      <c r="AQ434" s="0" t="s">
        <v>5127</v>
      </c>
      <c r="AT434" s="0" t="s">
        <v>906</v>
      </c>
      <c r="AU434" s="0" t="s">
        <v>872</v>
      </c>
      <c r="AY434" s="0" t="s">
        <v>5128</v>
      </c>
      <c r="BV434" s="0" t="s">
        <v>5129</v>
      </c>
      <c r="CJ434" s="0" t="s">
        <v>5130</v>
      </c>
      <c r="CO434" s="0" t="s">
        <v>5124</v>
      </c>
    </row>
    <row r="435" customFormat="false" ht="12.8" hidden="false" customHeight="false" outlineLevel="0" collapsed="false">
      <c r="A435" s="0" t="s">
        <v>445</v>
      </c>
      <c r="B435" s="0" t="s">
        <v>5131</v>
      </c>
      <c r="E435" s="0" t="s">
        <v>5132</v>
      </c>
      <c r="M435" s="0" t="s">
        <v>448</v>
      </c>
      <c r="O435" s="0" t="s">
        <v>5133</v>
      </c>
      <c r="AP435" s="0" t="s">
        <v>4570</v>
      </c>
      <c r="AQ435" s="0" t="s">
        <v>5134</v>
      </c>
      <c r="AT435" s="0" t="s">
        <v>906</v>
      </c>
      <c r="AU435" s="0" t="s">
        <v>872</v>
      </c>
      <c r="AW435" s="0" t="s">
        <v>907</v>
      </c>
      <c r="CJ435" s="0" t="s">
        <v>5135</v>
      </c>
      <c r="CO435" s="0" t="s">
        <v>5131</v>
      </c>
    </row>
    <row r="436" customFormat="false" ht="12.8" hidden="false" customHeight="false" outlineLevel="0" collapsed="false">
      <c r="A436" s="0" t="s">
        <v>96</v>
      </c>
      <c r="B436" s="0" t="s">
        <v>5136</v>
      </c>
      <c r="C436" s="0" t="s">
        <v>224</v>
      </c>
      <c r="D436" s="0" t="s">
        <v>225</v>
      </c>
      <c r="E436" s="0" t="s">
        <v>5137</v>
      </c>
      <c r="F436" s="0" t="s">
        <v>131</v>
      </c>
      <c r="H436" s="0" t="s">
        <v>102</v>
      </c>
      <c r="K436" s="0" t="s">
        <v>1853</v>
      </c>
      <c r="M436" s="0" t="s">
        <v>5138</v>
      </c>
      <c r="O436" s="0" t="s">
        <v>3226</v>
      </c>
      <c r="T436" s="0" t="s">
        <v>1164</v>
      </c>
      <c r="U436" s="0" t="s">
        <v>1546</v>
      </c>
      <c r="V436" s="0" t="s">
        <v>5139</v>
      </c>
      <c r="AT436" s="0" t="s">
        <v>906</v>
      </c>
      <c r="AU436" s="0" t="s">
        <v>872</v>
      </c>
      <c r="AY436" s="0" t="s">
        <v>5140</v>
      </c>
      <c r="BC436" s="0" t="str">
        <f aca="false">"235260169"</f>
        <v>235260169</v>
      </c>
      <c r="BV436" s="0" t="s">
        <v>5141</v>
      </c>
      <c r="CJ436" s="0" t="s">
        <v>5142</v>
      </c>
      <c r="CO436" s="0" t="s">
        <v>5143</v>
      </c>
    </row>
    <row r="437" customFormat="false" ht="22.5" hidden="false" customHeight="false" outlineLevel="0" collapsed="false">
      <c r="A437" s="0" t="s">
        <v>190</v>
      </c>
      <c r="B437" s="0" t="s">
        <v>5144</v>
      </c>
      <c r="C437" s="0" t="s">
        <v>224</v>
      </c>
      <c r="D437" s="0" t="s">
        <v>225</v>
      </c>
      <c r="E437" s="0" t="s">
        <v>5145</v>
      </c>
      <c r="F437" s="0" t="s">
        <v>192</v>
      </c>
      <c r="H437" s="0" t="s">
        <v>102</v>
      </c>
      <c r="L437" s="0" t="str">
        <f aca="false">"1713"</f>
        <v>1713</v>
      </c>
      <c r="M437" s="1" t="s">
        <v>193</v>
      </c>
      <c r="O437" s="1" t="s">
        <v>5146</v>
      </c>
      <c r="T437" s="0" t="s">
        <v>1686</v>
      </c>
      <c r="AA437" s="0" t="str">
        <f aca="false">"11133317"</f>
        <v>11133317</v>
      </c>
      <c r="AB437" s="0" t="s">
        <v>5147</v>
      </c>
      <c r="AG437" s="0" t="s">
        <v>1685</v>
      </c>
      <c r="AH437" s="0" t="s">
        <v>1686</v>
      </c>
      <c r="AI437" s="0" t="s">
        <v>5148</v>
      </c>
      <c r="AS437" s="0" t="s">
        <v>5149</v>
      </c>
      <c r="AT437" s="0" t="s">
        <v>906</v>
      </c>
      <c r="AU437" s="0" t="s">
        <v>112</v>
      </c>
      <c r="AY437" s="0" t="s">
        <v>5150</v>
      </c>
      <c r="BC437" s="0" t="str">
        <f aca="false">"150219938"</f>
        <v>150219938</v>
      </c>
      <c r="BD437" s="0" t="s">
        <v>873</v>
      </c>
      <c r="BE437" s="0" t="s">
        <v>5151</v>
      </c>
      <c r="BJ437" s="0" t="s">
        <v>118</v>
      </c>
      <c r="CP437" s="0" t="s">
        <v>5152</v>
      </c>
    </row>
    <row r="438" customFormat="false" ht="12.8" hidden="false" customHeight="false" outlineLevel="0" collapsed="false">
      <c r="A438" s="0" t="s">
        <v>445</v>
      </c>
      <c r="B438" s="0" t="s">
        <v>5153</v>
      </c>
      <c r="C438" s="0" t="s">
        <v>224</v>
      </c>
      <c r="D438" s="0" t="s">
        <v>225</v>
      </c>
      <c r="E438" s="0" t="s">
        <v>5154</v>
      </c>
      <c r="L438" s="0" t="str">
        <f aca="false">"1713"</f>
        <v>1713</v>
      </c>
      <c r="M438" s="0" t="s">
        <v>448</v>
      </c>
      <c r="O438" s="0" t="s">
        <v>5155</v>
      </c>
      <c r="AA438" s="0" t="str">
        <f aca="false">"11133317"</f>
        <v>11133317</v>
      </c>
      <c r="AB438" s="0" t="s">
        <v>5156</v>
      </c>
      <c r="AP438" s="0" t="s">
        <v>5144</v>
      </c>
      <c r="AQ438" s="0" t="str">
        <f aca="false">"22"</f>
        <v>22</v>
      </c>
      <c r="AT438" s="0" t="s">
        <v>906</v>
      </c>
      <c r="AU438" s="0" t="s">
        <v>872</v>
      </c>
      <c r="AW438" s="0" t="s">
        <v>907</v>
      </c>
      <c r="BX438" s="0" t="s">
        <v>5157</v>
      </c>
      <c r="CI438" s="0" t="s">
        <v>5157</v>
      </c>
      <c r="CJ438" s="0" t="s">
        <v>5158</v>
      </c>
      <c r="CO438" s="0" t="s">
        <v>5153</v>
      </c>
    </row>
    <row r="439" customFormat="false" ht="22.5" hidden="false" customHeight="false" outlineLevel="0" collapsed="false">
      <c r="A439" s="0" t="s">
        <v>190</v>
      </c>
      <c r="B439" s="0" t="s">
        <v>5159</v>
      </c>
      <c r="C439" s="0" t="s">
        <v>1213</v>
      </c>
      <c r="D439" s="0" t="s">
        <v>1214</v>
      </c>
      <c r="E439" s="0" t="s">
        <v>5160</v>
      </c>
      <c r="F439" s="0" t="s">
        <v>192</v>
      </c>
      <c r="H439" s="0" t="s">
        <v>102</v>
      </c>
      <c r="L439" s="0" t="str">
        <f aca="false">"1777"</f>
        <v>1777</v>
      </c>
      <c r="M439" s="1" t="s">
        <v>898</v>
      </c>
      <c r="O439" s="1" t="s">
        <v>5161</v>
      </c>
      <c r="T439" s="0" t="s">
        <v>5162</v>
      </c>
      <c r="AA439" s="0" t="str">
        <f aca="false">"80433235"</f>
        <v>80433235</v>
      </c>
      <c r="AB439" s="0" t="s">
        <v>5163</v>
      </c>
      <c r="AT439" s="0" t="s">
        <v>906</v>
      </c>
      <c r="AU439" s="0" t="s">
        <v>112</v>
      </c>
      <c r="AZ439" s="0" t="s">
        <v>5164</v>
      </c>
      <c r="BC439" s="0" t="str">
        <f aca="false">"314065806"</f>
        <v>314065806</v>
      </c>
      <c r="BD439" s="0" t="s">
        <v>873</v>
      </c>
      <c r="BE439" s="0" t="s">
        <v>5165</v>
      </c>
      <c r="BJ439" s="0" t="s">
        <v>118</v>
      </c>
      <c r="CP439" s="0" t="s">
        <v>5166</v>
      </c>
    </row>
    <row r="440" customFormat="false" ht="12.8" hidden="false" customHeight="false" outlineLevel="0" collapsed="false">
      <c r="A440" s="0" t="s">
        <v>445</v>
      </c>
      <c r="B440" s="0" t="s">
        <v>5167</v>
      </c>
      <c r="C440" s="0" t="s">
        <v>1213</v>
      </c>
      <c r="D440" s="0" t="s">
        <v>1214</v>
      </c>
      <c r="E440" s="0" t="s">
        <v>5168</v>
      </c>
      <c r="M440" s="0" t="s">
        <v>448</v>
      </c>
      <c r="O440" s="0" t="s">
        <v>5169</v>
      </c>
      <c r="AB440" s="0" t="s">
        <v>5170</v>
      </c>
      <c r="AP440" s="0" t="s">
        <v>5159</v>
      </c>
      <c r="AQ440" s="0" t="s">
        <v>5171</v>
      </c>
      <c r="AT440" s="0" t="s">
        <v>906</v>
      </c>
      <c r="AU440" s="0" t="s">
        <v>872</v>
      </c>
      <c r="AW440" s="0" t="s">
        <v>907</v>
      </c>
      <c r="CJ440" s="0" t="s">
        <v>5172</v>
      </c>
      <c r="CO440" s="0" t="s">
        <v>5167</v>
      </c>
    </row>
    <row r="441" customFormat="false" ht="224.35" hidden="false" customHeight="false" outlineLevel="0" collapsed="false">
      <c r="A441" s="0" t="s">
        <v>190</v>
      </c>
      <c r="B441" s="0" t="s">
        <v>5173</v>
      </c>
      <c r="C441" s="0" t="s">
        <v>224</v>
      </c>
      <c r="D441" s="0" t="s">
        <v>225</v>
      </c>
      <c r="E441" s="0" t="s">
        <v>5174</v>
      </c>
      <c r="L441" s="0" t="str">
        <f aca="false">"1872"</f>
        <v>1872</v>
      </c>
      <c r="M441" s="1" t="s">
        <v>5175</v>
      </c>
      <c r="O441" s="1" t="s">
        <v>5176</v>
      </c>
      <c r="T441" s="0" t="s">
        <v>2688</v>
      </c>
      <c r="AS441" s="0" t="s">
        <v>5177</v>
      </c>
      <c r="AT441" s="0" t="s">
        <v>906</v>
      </c>
      <c r="AU441" s="0" t="s">
        <v>892</v>
      </c>
      <c r="BC441" s="0" t="s">
        <v>5178</v>
      </c>
      <c r="CP441" s="1" t="s">
        <v>5179</v>
      </c>
    </row>
    <row r="442" customFormat="false" ht="12.8" hidden="false" customHeight="false" outlineLevel="0" collapsed="false">
      <c r="A442" s="0" t="s">
        <v>445</v>
      </c>
      <c r="B442" s="0" t="s">
        <v>5180</v>
      </c>
      <c r="C442" s="0" t="s">
        <v>224</v>
      </c>
      <c r="D442" s="0" t="s">
        <v>225</v>
      </c>
      <c r="E442" s="0" t="s">
        <v>5181</v>
      </c>
      <c r="I442" s="0" t="str">
        <f aca="false">"1645"</f>
        <v>1645</v>
      </c>
      <c r="J442" s="0" t="str">
        <f aca="false">"1648"</f>
        <v>1648</v>
      </c>
      <c r="M442" s="0" t="s">
        <v>448</v>
      </c>
      <c r="O442" s="0" t="s">
        <v>5182</v>
      </c>
      <c r="AP442" s="0" t="s">
        <v>5173</v>
      </c>
      <c r="AQ442" s="0" t="str">
        <f aca="false">"268"</f>
        <v>268</v>
      </c>
      <c r="AT442" s="0" t="s">
        <v>906</v>
      </c>
      <c r="AU442" s="0" t="s">
        <v>872</v>
      </c>
      <c r="AW442" s="0" t="s">
        <v>907</v>
      </c>
      <c r="CJ442" s="0" t="s">
        <v>5183</v>
      </c>
      <c r="CO442" s="0" t="s">
        <v>5180</v>
      </c>
    </row>
    <row r="443" customFormat="false" ht="65" hidden="false" customHeight="false" outlineLevel="0" collapsed="false">
      <c r="A443" s="0" t="s">
        <v>190</v>
      </c>
      <c r="B443" s="0" t="s">
        <v>5184</v>
      </c>
      <c r="C443" s="0" t="s">
        <v>224</v>
      </c>
      <c r="D443" s="0" t="s">
        <v>225</v>
      </c>
      <c r="E443" s="0" t="s">
        <v>5185</v>
      </c>
      <c r="L443" s="0" t="str">
        <f aca="false">"1985"</f>
        <v>1985</v>
      </c>
      <c r="M443" s="0" t="s">
        <v>245</v>
      </c>
      <c r="O443" s="0" t="s">
        <v>5186</v>
      </c>
      <c r="T443" s="0" t="s">
        <v>1214</v>
      </c>
      <c r="AS443" s="0" t="str">
        <f aca="false">"559"</f>
        <v>559</v>
      </c>
      <c r="AT443" s="0" t="s">
        <v>906</v>
      </c>
      <c r="AU443" s="0" t="s">
        <v>112</v>
      </c>
      <c r="AY443" s="0" t="s">
        <v>5187</v>
      </c>
      <c r="BC443" s="0" t="str">
        <f aca="false">"032841396"</f>
        <v>032841396</v>
      </c>
      <c r="CP443" s="1" t="s">
        <v>5188</v>
      </c>
    </row>
    <row r="444" customFormat="false" ht="12.8" hidden="false" customHeight="false" outlineLevel="0" collapsed="false">
      <c r="A444" s="0" t="s">
        <v>445</v>
      </c>
      <c r="B444" s="0" t="s">
        <v>5189</v>
      </c>
      <c r="C444" s="0" t="s">
        <v>224</v>
      </c>
      <c r="D444" s="0" t="s">
        <v>225</v>
      </c>
      <c r="E444" s="0" t="s">
        <v>5190</v>
      </c>
      <c r="K444" s="0" t="s">
        <v>5191</v>
      </c>
      <c r="M444" s="0" t="s">
        <v>448</v>
      </c>
      <c r="O444" s="0" t="s">
        <v>3569</v>
      </c>
      <c r="AP444" s="0" t="s">
        <v>5184</v>
      </c>
      <c r="AQ444" s="0" t="s">
        <v>5192</v>
      </c>
      <c r="AT444" s="0" t="s">
        <v>906</v>
      </c>
      <c r="AU444" s="0" t="s">
        <v>872</v>
      </c>
      <c r="AW444" s="0" t="s">
        <v>907</v>
      </c>
      <c r="BX444" s="0" t="s">
        <v>5193</v>
      </c>
      <c r="CH444" s="0" t="s">
        <v>1265</v>
      </c>
      <c r="CI444" s="0" t="s">
        <v>5193</v>
      </c>
      <c r="CJ444" s="0" t="s">
        <v>5194</v>
      </c>
      <c r="CO444" s="0" t="s">
        <v>5189</v>
      </c>
    </row>
    <row r="445" customFormat="false" ht="12.8" hidden="false" customHeight="false" outlineLevel="0" collapsed="false">
      <c r="A445" s="0" t="s">
        <v>445</v>
      </c>
      <c r="B445" s="0" t="s">
        <v>5195</v>
      </c>
      <c r="C445" s="0" t="s">
        <v>224</v>
      </c>
      <c r="D445" s="0" t="s">
        <v>225</v>
      </c>
      <c r="E445" s="0" t="s">
        <v>5196</v>
      </c>
      <c r="M445" s="0" t="s">
        <v>448</v>
      </c>
      <c r="O445" s="0" t="s">
        <v>5182</v>
      </c>
      <c r="AP445" s="0" t="s">
        <v>5173</v>
      </c>
      <c r="AQ445" s="0" t="str">
        <f aca="false">"160"</f>
        <v>160</v>
      </c>
      <c r="AT445" s="0" t="s">
        <v>906</v>
      </c>
      <c r="AU445" s="0" t="s">
        <v>892</v>
      </c>
      <c r="AW445" s="0" t="s">
        <v>907</v>
      </c>
      <c r="CJ445" s="0" t="s">
        <v>5197</v>
      </c>
      <c r="CO445" s="0" t="s">
        <v>5195</v>
      </c>
    </row>
    <row r="446" customFormat="false" ht="12.8" hidden="false" customHeight="false" outlineLevel="0" collapsed="false">
      <c r="A446" s="0" t="s">
        <v>445</v>
      </c>
      <c r="B446" s="0" t="s">
        <v>5198</v>
      </c>
      <c r="C446" s="0" t="s">
        <v>224</v>
      </c>
      <c r="D446" s="0" t="s">
        <v>225</v>
      </c>
      <c r="E446" s="0" t="s">
        <v>5199</v>
      </c>
      <c r="M446" s="0" t="s">
        <v>448</v>
      </c>
      <c r="O446" s="0" t="s">
        <v>5182</v>
      </c>
      <c r="AB446" s="0" t="s">
        <v>5200</v>
      </c>
      <c r="AP446" s="0" t="s">
        <v>5173</v>
      </c>
      <c r="AQ446" s="0" t="str">
        <f aca="false">"174"</f>
        <v>174</v>
      </c>
      <c r="AT446" s="0" t="s">
        <v>906</v>
      </c>
      <c r="AU446" s="0" t="s">
        <v>892</v>
      </c>
      <c r="AW446" s="0" t="s">
        <v>907</v>
      </c>
      <c r="CJ446" s="0" t="s">
        <v>5201</v>
      </c>
      <c r="CO446" s="0" t="s">
        <v>5198</v>
      </c>
    </row>
    <row r="447" customFormat="false" ht="12.8" hidden="false" customHeight="false" outlineLevel="0" collapsed="false">
      <c r="A447" s="0" t="s">
        <v>190</v>
      </c>
      <c r="B447" s="0" t="s">
        <v>5202</v>
      </c>
      <c r="C447" s="0" t="s">
        <v>224</v>
      </c>
      <c r="D447" s="0" t="s">
        <v>225</v>
      </c>
      <c r="E447" s="0" t="s">
        <v>5203</v>
      </c>
      <c r="L447" s="0" t="str">
        <f aca="false">"1826"</f>
        <v>1826</v>
      </c>
      <c r="M447" s="0" t="s">
        <v>245</v>
      </c>
      <c r="O447" s="0" t="s">
        <v>5204</v>
      </c>
      <c r="T447" s="0" t="s">
        <v>1050</v>
      </c>
      <c r="AB447" s="0" t="s">
        <v>5205</v>
      </c>
      <c r="AS447" s="0" t="s">
        <v>5206</v>
      </c>
      <c r="AT447" s="0" t="s">
        <v>906</v>
      </c>
      <c r="AU447" s="0" t="s">
        <v>112</v>
      </c>
      <c r="BC447" s="0" t="str">
        <f aca="false">"219530793"</f>
        <v>219530793</v>
      </c>
      <c r="CC447" s="0" t="s">
        <v>5207</v>
      </c>
      <c r="CP447" s="0" t="s">
        <v>5208</v>
      </c>
    </row>
    <row r="448" customFormat="false" ht="22.5" hidden="false" customHeight="false" outlineLevel="0" collapsed="false">
      <c r="A448" s="0" t="s">
        <v>445</v>
      </c>
      <c r="B448" s="0" t="s">
        <v>4182</v>
      </c>
      <c r="C448" s="0" t="s">
        <v>224</v>
      </c>
      <c r="D448" s="0" t="s">
        <v>225</v>
      </c>
      <c r="E448" s="0" t="s">
        <v>5209</v>
      </c>
      <c r="M448" s="0" t="s">
        <v>448</v>
      </c>
      <c r="O448" s="0" t="s">
        <v>1898</v>
      </c>
      <c r="AB448" s="0" t="s">
        <v>5205</v>
      </c>
      <c r="AP448" s="0" t="s">
        <v>5202</v>
      </c>
      <c r="AQ448" s="0" t="s">
        <v>5210</v>
      </c>
      <c r="AT448" s="0" t="s">
        <v>906</v>
      </c>
      <c r="AU448" s="0" t="s">
        <v>872</v>
      </c>
      <c r="AW448" s="0" t="s">
        <v>907</v>
      </c>
      <c r="BX448" s="1" t="s">
        <v>5211</v>
      </c>
      <c r="CI448" s="1" t="s">
        <v>5211</v>
      </c>
      <c r="CJ448" s="0" t="s">
        <v>5212</v>
      </c>
      <c r="CO448" s="0" t="s">
        <v>4182</v>
      </c>
    </row>
    <row r="449" customFormat="false" ht="12.8" hidden="false" customHeight="false" outlineLevel="0" collapsed="false">
      <c r="A449" s="0" t="s">
        <v>445</v>
      </c>
      <c r="B449" s="0" t="s">
        <v>5213</v>
      </c>
      <c r="C449" s="0" t="s">
        <v>224</v>
      </c>
      <c r="D449" s="0" t="s">
        <v>225</v>
      </c>
      <c r="E449" s="0" t="s">
        <v>5214</v>
      </c>
      <c r="M449" s="0" t="s">
        <v>448</v>
      </c>
      <c r="O449" s="0" t="s">
        <v>5182</v>
      </c>
      <c r="AP449" s="0" t="s">
        <v>5184</v>
      </c>
      <c r="AQ449" s="0" t="str">
        <f aca="false">"291"</f>
        <v>291</v>
      </c>
      <c r="AT449" s="0" t="s">
        <v>906</v>
      </c>
      <c r="AU449" s="0" t="s">
        <v>872</v>
      </c>
      <c r="AW449" s="0" t="s">
        <v>907</v>
      </c>
      <c r="BU449" s="0" t="s">
        <v>5215</v>
      </c>
      <c r="BX449" s="0" t="s">
        <v>5216</v>
      </c>
      <c r="CI449" s="0" t="s">
        <v>5216</v>
      </c>
      <c r="CJ449" s="0" t="s">
        <v>5217</v>
      </c>
      <c r="CO449" s="0" t="s">
        <v>5213</v>
      </c>
    </row>
    <row r="450" customFormat="false" ht="22.5" hidden="false" customHeight="false" outlineLevel="0" collapsed="false">
      <c r="A450" s="0" t="s">
        <v>445</v>
      </c>
      <c r="B450" s="0" t="s">
        <v>5218</v>
      </c>
      <c r="C450" s="0" t="s">
        <v>224</v>
      </c>
      <c r="D450" s="0" t="s">
        <v>225</v>
      </c>
      <c r="E450" s="0" t="s">
        <v>5219</v>
      </c>
      <c r="M450" s="0" t="s">
        <v>448</v>
      </c>
      <c r="O450" s="1" t="s">
        <v>5220</v>
      </c>
      <c r="AP450" s="0" t="s">
        <v>5184</v>
      </c>
      <c r="AQ450" s="0" t="str">
        <f aca="false">"446"</f>
        <v>446</v>
      </c>
      <c r="AT450" s="0" t="s">
        <v>906</v>
      </c>
      <c r="AU450" s="0" t="s">
        <v>872</v>
      </c>
      <c r="AW450" s="0" t="s">
        <v>907</v>
      </c>
      <c r="BX450" s="0" t="s">
        <v>5221</v>
      </c>
      <c r="CI450" s="0" t="s">
        <v>5221</v>
      </c>
      <c r="CJ450" s="0" t="s">
        <v>5222</v>
      </c>
      <c r="CO450" s="0" t="s">
        <v>5218</v>
      </c>
    </row>
    <row r="451" customFormat="false" ht="22.5" hidden="false" customHeight="false" outlineLevel="0" collapsed="false">
      <c r="A451" s="0" t="s">
        <v>190</v>
      </c>
      <c r="B451" s="0" t="s">
        <v>5223</v>
      </c>
      <c r="C451" s="0" t="s">
        <v>397</v>
      </c>
      <c r="D451" s="0" t="s">
        <v>398</v>
      </c>
      <c r="E451" s="0" t="s">
        <v>5224</v>
      </c>
      <c r="L451" s="0" t="str">
        <f aca="false">"1885"</f>
        <v>1885</v>
      </c>
      <c r="M451" s="0" t="s">
        <v>245</v>
      </c>
      <c r="O451" s="1" t="s">
        <v>5225</v>
      </c>
      <c r="T451" s="0" t="s">
        <v>1050</v>
      </c>
      <c r="AS451" s="0" t="s">
        <v>5226</v>
      </c>
      <c r="AT451" s="0" t="s">
        <v>906</v>
      </c>
      <c r="AU451" s="0" t="s">
        <v>112</v>
      </c>
      <c r="BC451" s="0" t="str">
        <f aca="false">"134599268"</f>
        <v>134599268</v>
      </c>
      <c r="CP451" s="0" t="s">
        <v>5227</v>
      </c>
    </row>
    <row r="452" customFormat="false" ht="12.8" hidden="false" customHeight="false" outlineLevel="0" collapsed="false">
      <c r="A452" s="0" t="s">
        <v>445</v>
      </c>
      <c r="B452" s="0" t="s">
        <v>5228</v>
      </c>
      <c r="C452" s="0" t="s">
        <v>397</v>
      </c>
      <c r="D452" s="0" t="s">
        <v>398</v>
      </c>
      <c r="E452" s="0" t="s">
        <v>5229</v>
      </c>
      <c r="M452" s="0" t="s">
        <v>448</v>
      </c>
      <c r="O452" s="0" t="s">
        <v>5230</v>
      </c>
      <c r="AB452" s="0" t="s">
        <v>5231</v>
      </c>
      <c r="AP452" s="0" t="s">
        <v>5223</v>
      </c>
      <c r="AQ452" s="0" t="s">
        <v>5232</v>
      </c>
      <c r="AT452" s="0" t="s">
        <v>906</v>
      </c>
      <c r="AU452" s="0" t="s">
        <v>872</v>
      </c>
      <c r="AW452" s="0" t="s">
        <v>907</v>
      </c>
      <c r="CJ452" s="0" t="s">
        <v>5233</v>
      </c>
      <c r="CO452" s="0" t="s">
        <v>5228</v>
      </c>
    </row>
    <row r="453" customFormat="false" ht="12.8" hidden="false" customHeight="false" outlineLevel="0" collapsed="false">
      <c r="A453" s="0" t="s">
        <v>445</v>
      </c>
      <c r="B453" s="0" t="s">
        <v>5234</v>
      </c>
      <c r="C453" s="0" t="s">
        <v>224</v>
      </c>
      <c r="D453" s="0" t="s">
        <v>225</v>
      </c>
      <c r="E453" s="0" t="s">
        <v>5235</v>
      </c>
      <c r="M453" s="0" t="s">
        <v>448</v>
      </c>
      <c r="O453" s="0" t="s">
        <v>1607</v>
      </c>
      <c r="AP453" s="0" t="s">
        <v>5184</v>
      </c>
      <c r="AQ453" s="0" t="s">
        <v>5236</v>
      </c>
      <c r="AT453" s="0" t="s">
        <v>906</v>
      </c>
      <c r="AU453" s="0" t="s">
        <v>872</v>
      </c>
      <c r="AW453" s="0" t="s">
        <v>907</v>
      </c>
      <c r="BX453" s="0" t="s">
        <v>5237</v>
      </c>
      <c r="CH453" s="0" t="s">
        <v>342</v>
      </c>
      <c r="CI453" s="0" t="s">
        <v>5237</v>
      </c>
      <c r="CJ453" s="0" t="s">
        <v>5238</v>
      </c>
      <c r="CO453" s="0" t="s">
        <v>5234</v>
      </c>
    </row>
    <row r="454" customFormat="false" ht="12.8" hidden="false" customHeight="false" outlineLevel="0" collapsed="false">
      <c r="A454" s="0" t="s">
        <v>190</v>
      </c>
      <c r="B454" s="0" t="s">
        <v>5239</v>
      </c>
      <c r="C454" s="0" t="s">
        <v>397</v>
      </c>
      <c r="D454" s="0" t="s">
        <v>398</v>
      </c>
      <c r="E454" s="0" t="s">
        <v>5240</v>
      </c>
      <c r="L454" s="0" t="str">
        <f aca="false">"1653"</f>
        <v>1653</v>
      </c>
      <c r="M454" s="0" t="s">
        <v>448</v>
      </c>
      <c r="Q454" s="0" t="str">
        <f aca="false">"2"</f>
        <v>2</v>
      </c>
      <c r="T454" s="0" t="s">
        <v>5241</v>
      </c>
      <c r="Z454" s="0" t="s">
        <v>5242</v>
      </c>
      <c r="AB454" s="0" t="s">
        <v>5243</v>
      </c>
      <c r="AS454" s="0" t="s">
        <v>5244</v>
      </c>
      <c r="AT454" s="0" t="s">
        <v>906</v>
      </c>
      <c r="AU454" s="0" t="s">
        <v>872</v>
      </c>
      <c r="AY454" s="0" t="s">
        <v>5245</v>
      </c>
      <c r="BC454" s="0" t="str">
        <f aca="false">"847092240"</f>
        <v>847092240</v>
      </c>
      <c r="BV454" s="0" t="s">
        <v>5246</v>
      </c>
    </row>
    <row r="455" customFormat="false" ht="12.8" hidden="false" customHeight="false" outlineLevel="0" collapsed="false">
      <c r="A455" s="0" t="s">
        <v>445</v>
      </c>
      <c r="B455" s="0" t="s">
        <v>5247</v>
      </c>
      <c r="C455" s="0" t="s">
        <v>224</v>
      </c>
      <c r="D455" s="0" t="s">
        <v>225</v>
      </c>
      <c r="E455" s="0" t="s">
        <v>5248</v>
      </c>
      <c r="M455" s="0" t="s">
        <v>448</v>
      </c>
      <c r="O455" s="0" t="s">
        <v>5249</v>
      </c>
      <c r="AP455" s="0" t="s">
        <v>5184</v>
      </c>
      <c r="AQ455" s="0" t="s">
        <v>5250</v>
      </c>
      <c r="AT455" s="0" t="s">
        <v>906</v>
      </c>
      <c r="AU455" s="0" t="s">
        <v>872</v>
      </c>
      <c r="AW455" s="0" t="s">
        <v>907</v>
      </c>
      <c r="BX455" s="0" t="s">
        <v>5251</v>
      </c>
      <c r="CI455" s="0" t="s">
        <v>5251</v>
      </c>
      <c r="CJ455" s="0" t="s">
        <v>5252</v>
      </c>
      <c r="CO455" s="0" t="s">
        <v>5247</v>
      </c>
    </row>
    <row r="456" customFormat="false" ht="12.8" hidden="false" customHeight="false" outlineLevel="0" collapsed="false">
      <c r="A456" s="0" t="s">
        <v>445</v>
      </c>
      <c r="B456" s="0" t="s">
        <v>5253</v>
      </c>
      <c r="C456" s="0" t="s">
        <v>224</v>
      </c>
      <c r="D456" s="0" t="s">
        <v>225</v>
      </c>
      <c r="E456" s="0" t="s">
        <v>5254</v>
      </c>
      <c r="M456" s="0" t="s">
        <v>448</v>
      </c>
      <c r="O456" s="0" t="s">
        <v>5182</v>
      </c>
      <c r="AP456" s="0" t="s">
        <v>5184</v>
      </c>
      <c r="AQ456" s="0" t="str">
        <f aca="false">"297"</f>
        <v>297</v>
      </c>
      <c r="AT456" s="0" t="s">
        <v>906</v>
      </c>
      <c r="AU456" s="0" t="s">
        <v>892</v>
      </c>
      <c r="AW456" s="0" t="s">
        <v>907</v>
      </c>
      <c r="BU456" s="0" t="s">
        <v>5255</v>
      </c>
      <c r="BX456" s="0" t="s">
        <v>5256</v>
      </c>
      <c r="CI456" s="0" t="s">
        <v>5256</v>
      </c>
      <c r="CJ456" s="0" t="s">
        <v>5257</v>
      </c>
      <c r="CO456" s="0" t="s">
        <v>5253</v>
      </c>
    </row>
    <row r="457" customFormat="false" ht="12.8" hidden="false" customHeight="false" outlineLevel="0" collapsed="false">
      <c r="A457" s="0" t="s">
        <v>445</v>
      </c>
      <c r="B457" s="0" t="s">
        <v>5258</v>
      </c>
      <c r="C457" s="0" t="s">
        <v>224</v>
      </c>
      <c r="D457" s="0" t="s">
        <v>225</v>
      </c>
      <c r="E457" s="0" t="s">
        <v>5259</v>
      </c>
      <c r="AB457" s="0" t="s">
        <v>5260</v>
      </c>
      <c r="AP457" s="0" t="s">
        <v>5173</v>
      </c>
      <c r="AQ457" s="0" t="str">
        <f aca="false">"258"</f>
        <v>258</v>
      </c>
      <c r="AT457" s="0" t="s">
        <v>906</v>
      </c>
      <c r="AU457" s="0" t="s">
        <v>872</v>
      </c>
      <c r="AW457" s="0" t="s">
        <v>907</v>
      </c>
      <c r="CJ457" s="0" t="s">
        <v>5261</v>
      </c>
      <c r="CO457" s="0" t="s">
        <v>5258</v>
      </c>
    </row>
    <row r="458" customFormat="false" ht="43.75" hidden="false" customHeight="false" outlineLevel="0" collapsed="false">
      <c r="A458" s="0" t="s">
        <v>445</v>
      </c>
      <c r="B458" s="0" t="s">
        <v>5262</v>
      </c>
      <c r="C458" s="0" t="s">
        <v>1685</v>
      </c>
      <c r="D458" s="0" t="s">
        <v>1686</v>
      </c>
      <c r="E458" s="0" t="s">
        <v>5263</v>
      </c>
      <c r="L458" s="0" t="str">
        <f aca="false">"1795"</f>
        <v>1795</v>
      </c>
      <c r="M458" s="1" t="s">
        <v>5264</v>
      </c>
      <c r="O458" s="1" t="s">
        <v>5265</v>
      </c>
      <c r="T458" s="1" t="s">
        <v>5266</v>
      </c>
      <c r="AA458" s="0" t="str">
        <f aca="false">"90265440"</f>
        <v>90265440</v>
      </c>
      <c r="AB458" s="0" t="s">
        <v>5267</v>
      </c>
      <c r="AR458" s="0" t="str">
        <f aca="false">"3"</f>
        <v>3</v>
      </c>
      <c r="AT458" s="0" t="s">
        <v>906</v>
      </c>
      <c r="AU458" s="0" t="s">
        <v>892</v>
      </c>
      <c r="AW458" s="0" t="s">
        <v>907</v>
      </c>
      <c r="BC458" s="0" t="str">
        <f aca="false">"750585455"</f>
        <v>750585455</v>
      </c>
      <c r="CJ458" s="0" t="s">
        <v>5268</v>
      </c>
      <c r="CO458" s="0" t="s">
        <v>5262</v>
      </c>
    </row>
    <row r="459" customFormat="false" ht="22.5" hidden="false" customHeight="false" outlineLevel="0" collapsed="false">
      <c r="A459" s="0" t="s">
        <v>445</v>
      </c>
      <c r="B459" s="0" t="s">
        <v>5269</v>
      </c>
      <c r="C459" s="0" t="s">
        <v>242</v>
      </c>
      <c r="D459" s="0" t="s">
        <v>243</v>
      </c>
      <c r="E459" s="0" t="s">
        <v>5270</v>
      </c>
      <c r="L459" s="0" t="str">
        <f aca="false">"1705"</f>
        <v>1705</v>
      </c>
      <c r="M459" s="1" t="s">
        <v>898</v>
      </c>
      <c r="O459" s="1" t="s">
        <v>5271</v>
      </c>
      <c r="T459" s="0" t="s">
        <v>5272</v>
      </c>
      <c r="AA459" s="0" t="str">
        <f aca="false">"11578734"</f>
        <v>11578734</v>
      </c>
      <c r="AB459" s="0" t="s">
        <v>5273</v>
      </c>
      <c r="AS459" s="0" t="s">
        <v>1199</v>
      </c>
      <c r="AT459" s="0" t="s">
        <v>906</v>
      </c>
      <c r="AU459" s="0" t="s">
        <v>892</v>
      </c>
      <c r="AW459" s="0" t="s">
        <v>907</v>
      </c>
      <c r="BC459" s="0" t="str">
        <f aca="false">"393341089"</f>
        <v>393341089</v>
      </c>
      <c r="CJ459" s="0" t="s">
        <v>5274</v>
      </c>
      <c r="CO459" s="0" t="s">
        <v>5269</v>
      </c>
    </row>
    <row r="460" customFormat="false" ht="12.8" hidden="false" customHeight="false" outlineLevel="0" collapsed="false">
      <c r="A460" s="0" t="s">
        <v>445</v>
      </c>
      <c r="B460" s="0" t="s">
        <v>5275</v>
      </c>
      <c r="C460" s="0" t="s">
        <v>242</v>
      </c>
      <c r="D460" s="0" t="s">
        <v>243</v>
      </c>
      <c r="E460" s="0" t="s">
        <v>5276</v>
      </c>
      <c r="L460" s="0" t="str">
        <f aca="false">"1714"</f>
        <v>1714</v>
      </c>
      <c r="AT460" s="0" t="s">
        <v>906</v>
      </c>
      <c r="AU460" s="0" t="s">
        <v>892</v>
      </c>
      <c r="AW460" s="0" t="s">
        <v>907</v>
      </c>
      <c r="AY460" s="0" t="s">
        <v>5277</v>
      </c>
      <c r="CJ460" s="0" t="s">
        <v>5278</v>
      </c>
      <c r="CO460" s="0" t="s">
        <v>5275</v>
      </c>
    </row>
    <row r="461" customFormat="false" ht="12.8" hidden="false" customHeight="false" outlineLevel="0" collapsed="false">
      <c r="A461" s="0" t="s">
        <v>445</v>
      </c>
      <c r="C461" s="0" t="s">
        <v>397</v>
      </c>
      <c r="D461" s="0" t="s">
        <v>398</v>
      </c>
      <c r="E461" s="0" t="s">
        <v>5279</v>
      </c>
      <c r="L461" s="0" t="str">
        <f aca="false">"1707"</f>
        <v>1707</v>
      </c>
      <c r="M461" s="0" t="s">
        <v>448</v>
      </c>
      <c r="O461" s="0" t="s">
        <v>5280</v>
      </c>
      <c r="T461" s="0" t="s">
        <v>5281</v>
      </c>
      <c r="AA461" s="0" t="str">
        <f aca="false">"10471081"</f>
        <v>10471081</v>
      </c>
      <c r="AB461" s="0" t="s">
        <v>5282</v>
      </c>
      <c r="AS461" s="0" t="s">
        <v>5283</v>
      </c>
      <c r="AT461" s="0" t="s">
        <v>1200</v>
      </c>
      <c r="AU461" s="0" t="s">
        <v>872</v>
      </c>
      <c r="AW461" s="0" t="s">
        <v>907</v>
      </c>
      <c r="BC461" s="2" t="s">
        <v>5284</v>
      </c>
      <c r="CH461" s="0" t="s">
        <v>625</v>
      </c>
    </row>
    <row r="462" customFormat="false" ht="33.1" hidden="false" customHeight="false" outlineLevel="0" collapsed="false">
      <c r="A462" s="0" t="s">
        <v>445</v>
      </c>
      <c r="B462" s="0" t="s">
        <v>5285</v>
      </c>
      <c r="C462" s="0" t="s">
        <v>5286</v>
      </c>
      <c r="D462" s="0" t="s">
        <v>360</v>
      </c>
      <c r="E462" s="0" t="s">
        <v>5287</v>
      </c>
      <c r="L462" s="0" t="str">
        <f aca="false">"1763"</f>
        <v>1763</v>
      </c>
      <c r="M462" s="1" t="s">
        <v>1414</v>
      </c>
      <c r="O462" s="1" t="s">
        <v>5288</v>
      </c>
      <c r="T462" s="0" t="s">
        <v>5289</v>
      </c>
      <c r="AS462" s="0" t="s">
        <v>3991</v>
      </c>
      <c r="AT462" s="0" t="s">
        <v>906</v>
      </c>
      <c r="AU462" s="0" t="s">
        <v>872</v>
      </c>
      <c r="AV462" s="0" t="s">
        <v>113</v>
      </c>
      <c r="AW462" s="0" t="s">
        <v>907</v>
      </c>
      <c r="CC462" s="0" t="s">
        <v>5290</v>
      </c>
      <c r="CJ462" s="0" t="s">
        <v>5291</v>
      </c>
      <c r="CO462" s="0" t="s">
        <v>5285</v>
      </c>
    </row>
    <row r="463" customFormat="false" ht="12.8" hidden="false" customHeight="false" outlineLevel="0" collapsed="false">
      <c r="A463" s="0" t="s">
        <v>96</v>
      </c>
      <c r="B463" s="0" t="s">
        <v>5292</v>
      </c>
      <c r="C463" s="0" t="s">
        <v>5286</v>
      </c>
      <c r="D463" s="0" t="s">
        <v>360</v>
      </c>
      <c r="E463" s="0" t="s">
        <v>5293</v>
      </c>
      <c r="L463" s="0" t="str">
        <f aca="false">"1739"</f>
        <v>1739</v>
      </c>
      <c r="M463" s="0" t="s">
        <v>870</v>
      </c>
      <c r="O463" s="0" t="s">
        <v>5294</v>
      </c>
      <c r="T463" s="0" t="s">
        <v>360</v>
      </c>
      <c r="AT463" s="0" t="s">
        <v>906</v>
      </c>
      <c r="AU463" s="0" t="s">
        <v>872</v>
      </c>
      <c r="AV463" s="0" t="s">
        <v>113</v>
      </c>
      <c r="CJ463" s="0" t="s">
        <v>5295</v>
      </c>
      <c r="CO463" s="0" t="s">
        <v>5292</v>
      </c>
    </row>
    <row r="464" customFormat="false" ht="22.5" hidden="false" customHeight="false" outlineLevel="0" collapsed="false">
      <c r="A464" s="0" t="s">
        <v>445</v>
      </c>
      <c r="B464" s="0" t="s">
        <v>5296</v>
      </c>
      <c r="C464" s="0" t="s">
        <v>5286</v>
      </c>
      <c r="D464" s="0" t="s">
        <v>360</v>
      </c>
      <c r="E464" s="0" t="s">
        <v>5297</v>
      </c>
      <c r="L464" s="0" t="str">
        <f aca="false">"1762"</f>
        <v>1762</v>
      </c>
      <c r="M464" s="1" t="s">
        <v>898</v>
      </c>
      <c r="O464" s="1" t="s">
        <v>5298</v>
      </c>
      <c r="T464" s="0" t="s">
        <v>5299</v>
      </c>
      <c r="AS464" s="0" t="s">
        <v>1199</v>
      </c>
      <c r="AT464" s="0" t="s">
        <v>906</v>
      </c>
      <c r="AU464" s="0" t="s">
        <v>872</v>
      </c>
      <c r="AV464" s="0" t="s">
        <v>113</v>
      </c>
      <c r="AW464" s="0" t="s">
        <v>907</v>
      </c>
      <c r="BV464" s="0" t="s">
        <v>5300</v>
      </c>
      <c r="CD464" s="0" t="s">
        <v>5301</v>
      </c>
      <c r="CH464" s="0" t="s">
        <v>625</v>
      </c>
      <c r="CJ464" s="0" t="s">
        <v>5302</v>
      </c>
      <c r="CO464" s="0" t="s">
        <v>5296</v>
      </c>
    </row>
    <row r="465" customFormat="false" ht="22.5" hidden="false" customHeight="false" outlineLevel="0" collapsed="false">
      <c r="A465" s="0" t="s">
        <v>445</v>
      </c>
      <c r="B465" s="0" t="s">
        <v>5303</v>
      </c>
      <c r="C465" s="0" t="s">
        <v>5286</v>
      </c>
      <c r="D465" s="0" t="s">
        <v>360</v>
      </c>
      <c r="E465" s="0" t="s">
        <v>5304</v>
      </c>
      <c r="L465" s="0" t="str">
        <f aca="false">"1750"</f>
        <v>1750</v>
      </c>
      <c r="M465" s="1" t="s">
        <v>898</v>
      </c>
      <c r="O465" s="1" t="s">
        <v>5305</v>
      </c>
      <c r="T465" s="0" t="s">
        <v>3198</v>
      </c>
      <c r="AS465" s="0" t="s">
        <v>3991</v>
      </c>
      <c r="AT465" s="0" t="s">
        <v>906</v>
      </c>
      <c r="AU465" s="0" t="s">
        <v>112</v>
      </c>
      <c r="AV465" s="0" t="s">
        <v>113</v>
      </c>
      <c r="AW465" s="0" t="s">
        <v>907</v>
      </c>
      <c r="AY465" s="0" t="s">
        <v>5306</v>
      </c>
      <c r="BX465" s="0" t="s">
        <v>5307</v>
      </c>
      <c r="CF465" s="0" t="s">
        <v>5308</v>
      </c>
      <c r="CG465" s="0" t="s">
        <v>123</v>
      </c>
      <c r="CH465" s="0" t="s">
        <v>145</v>
      </c>
      <c r="CI465" s="0" t="s">
        <v>5307</v>
      </c>
      <c r="CJ465" s="0" t="s">
        <v>5309</v>
      </c>
      <c r="CL465" s="0" t="s">
        <v>5310</v>
      </c>
      <c r="CM465" s="0" t="s">
        <v>5310</v>
      </c>
      <c r="CO465" s="0" t="s">
        <v>5311</v>
      </c>
    </row>
    <row r="466" customFormat="false" ht="12.8" hidden="false" customHeight="false" outlineLevel="0" collapsed="false">
      <c r="A466" s="0" t="s">
        <v>445</v>
      </c>
      <c r="B466" s="0" t="s">
        <v>5312</v>
      </c>
      <c r="C466" s="0" t="s">
        <v>5286</v>
      </c>
      <c r="D466" s="0" t="s">
        <v>360</v>
      </c>
      <c r="E466" s="0" t="s">
        <v>5313</v>
      </c>
      <c r="L466" s="0" t="str">
        <f aca="false">"1740"</f>
        <v>1740</v>
      </c>
      <c r="M466" s="0" t="s">
        <v>448</v>
      </c>
      <c r="O466" s="0" t="s">
        <v>5314</v>
      </c>
      <c r="R466" s="0" t="s">
        <v>5315</v>
      </c>
      <c r="T466" s="0" t="s">
        <v>3971</v>
      </c>
      <c r="AT466" s="0" t="s">
        <v>906</v>
      </c>
      <c r="AU466" s="0" t="s">
        <v>872</v>
      </c>
      <c r="AV466" s="0" t="s">
        <v>113</v>
      </c>
      <c r="AW466" s="0" t="s">
        <v>907</v>
      </c>
      <c r="AZ466" s="0" t="s">
        <v>5316</v>
      </c>
      <c r="CJ466" s="0" t="s">
        <v>5317</v>
      </c>
      <c r="CO466" s="0" t="s">
        <v>5312</v>
      </c>
    </row>
    <row r="467" customFormat="false" ht="43.75" hidden="false" customHeight="false" outlineLevel="0" collapsed="false">
      <c r="A467" s="0" t="s">
        <v>445</v>
      </c>
      <c r="B467" s="0" t="s">
        <v>5318</v>
      </c>
      <c r="C467" s="0" t="s">
        <v>397</v>
      </c>
      <c r="D467" s="0" t="s">
        <v>398</v>
      </c>
      <c r="E467" s="0" t="s">
        <v>5319</v>
      </c>
      <c r="L467" s="0" t="str">
        <f aca="false">"1749"</f>
        <v>1749</v>
      </c>
      <c r="M467" s="1" t="s">
        <v>898</v>
      </c>
      <c r="O467" s="1" t="s">
        <v>5320</v>
      </c>
      <c r="T467" s="0" t="s">
        <v>896</v>
      </c>
      <c r="AA467" s="0" t="str">
        <f aca="false">"11854006"</f>
        <v>11854006</v>
      </c>
      <c r="AB467" s="0" t="s">
        <v>5321</v>
      </c>
      <c r="AS467" s="0" t="s">
        <v>5322</v>
      </c>
      <c r="AT467" s="0" t="s">
        <v>906</v>
      </c>
      <c r="AU467" s="0" t="s">
        <v>112</v>
      </c>
      <c r="AW467" s="0" t="s">
        <v>907</v>
      </c>
      <c r="AY467" s="0" t="s">
        <v>5323</v>
      </c>
      <c r="BC467" s="0" t="str">
        <f aca="false">"734375980"</f>
        <v>734375980</v>
      </c>
      <c r="BX467" s="0" t="s">
        <v>5324</v>
      </c>
      <c r="CF467" s="1" t="s">
        <v>5325</v>
      </c>
      <c r="CG467" s="0" t="s">
        <v>123</v>
      </c>
      <c r="CH467" s="0" t="s">
        <v>625</v>
      </c>
      <c r="CI467" s="0" t="s">
        <v>5324</v>
      </c>
      <c r="CJ467" s="0" t="s">
        <v>5326</v>
      </c>
      <c r="CL467" s="0" t="s">
        <v>5327</v>
      </c>
      <c r="CM467" s="0" t="s">
        <v>5327</v>
      </c>
      <c r="CO467" s="0" t="s">
        <v>5318</v>
      </c>
      <c r="CR467" s="0" t="s">
        <v>5328</v>
      </c>
    </row>
    <row r="468" customFormat="false" ht="22.5" hidden="false" customHeight="false" outlineLevel="0" collapsed="false">
      <c r="A468" s="0" t="s">
        <v>445</v>
      </c>
      <c r="B468" s="0" t="s">
        <v>5329</v>
      </c>
      <c r="C468" s="0" t="s">
        <v>1213</v>
      </c>
      <c r="D468" s="0" t="s">
        <v>1214</v>
      </c>
      <c r="E468" s="0" t="s">
        <v>5330</v>
      </c>
      <c r="L468" s="0" t="str">
        <f aca="false">"1762"</f>
        <v>1762</v>
      </c>
      <c r="M468" s="1" t="s">
        <v>898</v>
      </c>
      <c r="O468" s="1" t="s">
        <v>5331</v>
      </c>
      <c r="T468" s="0" t="s">
        <v>5332</v>
      </c>
      <c r="AG468" s="0" t="s">
        <v>397</v>
      </c>
      <c r="AH468" s="0" t="s">
        <v>398</v>
      </c>
      <c r="AI468" s="0" t="s">
        <v>5333</v>
      </c>
      <c r="AJ468" s="0" t="s">
        <v>5334</v>
      </c>
      <c r="AS468" s="0" t="s">
        <v>4251</v>
      </c>
      <c r="AT468" s="0" t="s">
        <v>906</v>
      </c>
      <c r="AU468" s="0" t="s">
        <v>872</v>
      </c>
      <c r="AW468" s="0" t="s">
        <v>907</v>
      </c>
      <c r="BC468" s="0" t="str">
        <f aca="false">"480745986"</f>
        <v>480745986</v>
      </c>
      <c r="BV468" s="1" t="s">
        <v>5335</v>
      </c>
      <c r="BX468" s="0" t="s">
        <v>5336</v>
      </c>
      <c r="CC468" s="1" t="s">
        <v>5337</v>
      </c>
      <c r="CF468" s="0" t="s">
        <v>5338</v>
      </c>
      <c r="CG468" s="0" t="s">
        <v>123</v>
      </c>
      <c r="CH468" s="0" t="s">
        <v>1265</v>
      </c>
      <c r="CI468" s="0" t="s">
        <v>5336</v>
      </c>
      <c r="CJ468" s="1" t="s">
        <v>5339</v>
      </c>
      <c r="CL468" s="0" t="s">
        <v>5340</v>
      </c>
      <c r="CM468" s="0" t="s">
        <v>5340</v>
      </c>
      <c r="CO468" s="1" t="s">
        <v>5341</v>
      </c>
      <c r="CR468" s="0" t="s">
        <v>5342</v>
      </c>
    </row>
    <row r="469" customFormat="false" ht="12.8" hidden="false" customHeight="false" outlineLevel="0" collapsed="false">
      <c r="A469" s="0" t="s">
        <v>880</v>
      </c>
      <c r="B469" s="0" t="s">
        <v>5343</v>
      </c>
      <c r="C469" s="0" t="s">
        <v>2146</v>
      </c>
      <c r="D469" s="0" t="s">
        <v>2147</v>
      </c>
      <c r="E469" s="0" t="s">
        <v>5344</v>
      </c>
      <c r="F469" s="0" t="s">
        <v>884</v>
      </c>
      <c r="L469" s="0" t="str">
        <f aca="false">"1660"</f>
        <v>1660</v>
      </c>
      <c r="W469" s="0" t="s">
        <v>5345</v>
      </c>
      <c r="AB469" s="0" t="s">
        <v>5346</v>
      </c>
      <c r="AT469" s="0" t="s">
        <v>338</v>
      </c>
      <c r="AU469" s="0" t="s">
        <v>2457</v>
      </c>
      <c r="CJ469" s="0" t="s">
        <v>5347</v>
      </c>
      <c r="CO469" s="0" t="s">
        <v>5348</v>
      </c>
      <c r="CP469" s="0" t="s">
        <v>5349</v>
      </c>
    </row>
    <row r="470" customFormat="false" ht="12.8" hidden="false" customHeight="false" outlineLevel="0" collapsed="false">
      <c r="A470" s="0" t="s">
        <v>880</v>
      </c>
      <c r="B470" s="0" t="s">
        <v>5350</v>
      </c>
      <c r="C470" s="0" t="s">
        <v>2146</v>
      </c>
      <c r="D470" s="0" t="s">
        <v>2147</v>
      </c>
      <c r="E470" s="0" t="s">
        <v>5351</v>
      </c>
      <c r="U470" s="0" t="s">
        <v>5352</v>
      </c>
      <c r="AP470" s="0" t="s">
        <v>5343</v>
      </c>
      <c r="AT470" s="0" t="s">
        <v>338</v>
      </c>
      <c r="AU470" s="0" t="s">
        <v>2457</v>
      </c>
      <c r="CJ470" s="0" t="s">
        <v>5353</v>
      </c>
      <c r="CO470" s="0" t="s">
        <v>5350</v>
      </c>
    </row>
    <row r="471" customFormat="false" ht="22.5" hidden="false" customHeight="false" outlineLevel="0" collapsed="false">
      <c r="A471" s="0" t="s">
        <v>190</v>
      </c>
      <c r="B471" s="0" t="s">
        <v>5354</v>
      </c>
      <c r="C471" s="0" t="s">
        <v>224</v>
      </c>
      <c r="D471" s="0" t="s">
        <v>225</v>
      </c>
      <c r="E471" s="0" t="str">
        <f aca="false">"47.4126"</f>
        <v>47.4126</v>
      </c>
      <c r="L471" s="0" t="str">
        <f aca="false">"1968"</f>
        <v>1968</v>
      </c>
      <c r="M471" s="1" t="s">
        <v>5175</v>
      </c>
      <c r="O471" s="1" t="s">
        <v>5355</v>
      </c>
      <c r="T471" s="1" t="s">
        <v>5356</v>
      </c>
      <c r="AQ471" s="0" t="str">
        <f aca="false">"43"</f>
        <v>43</v>
      </c>
      <c r="AS471" s="0" t="s">
        <v>5357</v>
      </c>
      <c r="AT471" s="0" t="s">
        <v>906</v>
      </c>
      <c r="AU471" s="0" t="s">
        <v>892</v>
      </c>
      <c r="AY471" s="0" t="s">
        <v>5358</v>
      </c>
      <c r="BC471" s="0" t="str">
        <f aca="false">"221721126"</f>
        <v>221721126</v>
      </c>
      <c r="CP471" s="0" t="s">
        <v>5359</v>
      </c>
    </row>
    <row r="472" customFormat="false" ht="12.8" hidden="false" customHeight="false" outlineLevel="0" collapsed="false">
      <c r="A472" s="0" t="s">
        <v>445</v>
      </c>
      <c r="B472" s="0" t="s">
        <v>4129</v>
      </c>
      <c r="C472" s="0" t="s">
        <v>224</v>
      </c>
      <c r="D472" s="0" t="s">
        <v>225</v>
      </c>
      <c r="E472" s="0" t="s">
        <v>5360</v>
      </c>
      <c r="L472" s="0" t="str">
        <f aca="false">"1788"</f>
        <v>1788</v>
      </c>
      <c r="M472" s="0" t="s">
        <v>448</v>
      </c>
      <c r="O472" s="0" t="s">
        <v>5361</v>
      </c>
      <c r="AP472" s="0" t="s">
        <v>5354</v>
      </c>
      <c r="AQ472" s="0" t="str">
        <f aca="false">"43"</f>
        <v>43</v>
      </c>
      <c r="AT472" s="0" t="s">
        <v>906</v>
      </c>
      <c r="AU472" s="0" t="s">
        <v>892</v>
      </c>
      <c r="AW472" s="0" t="s">
        <v>907</v>
      </c>
      <c r="CJ472" s="0" t="s">
        <v>5362</v>
      </c>
      <c r="CO472" s="0" t="s">
        <v>4129</v>
      </c>
    </row>
    <row r="473" customFormat="false" ht="22.5" hidden="false" customHeight="false" outlineLevel="0" collapsed="false">
      <c r="A473" s="0" t="s">
        <v>190</v>
      </c>
      <c r="B473" s="0" t="s">
        <v>5363</v>
      </c>
      <c r="C473" s="0" t="s">
        <v>224</v>
      </c>
      <c r="D473" s="0" t="s">
        <v>225</v>
      </c>
      <c r="E473" s="0" t="s">
        <v>5364</v>
      </c>
      <c r="L473" s="0" t="str">
        <f aca="false">"1839"</f>
        <v>1839</v>
      </c>
      <c r="M473" s="1" t="s">
        <v>193</v>
      </c>
      <c r="O473" s="1" t="s">
        <v>5365</v>
      </c>
      <c r="T473" s="0" t="s">
        <v>360</v>
      </c>
      <c r="AR473" s="0" t="str">
        <f aca="false">"2"</f>
        <v>2</v>
      </c>
      <c r="AS473" s="0" t="str">
        <f aca="false">"356"</f>
        <v>356</v>
      </c>
      <c r="AT473" s="0" t="s">
        <v>906</v>
      </c>
      <c r="AU473" s="0" t="s">
        <v>2457</v>
      </c>
      <c r="AZ473" s="0" t="s">
        <v>5366</v>
      </c>
      <c r="BC473" s="2" t="s">
        <v>5367</v>
      </c>
      <c r="CP473" s="0" t="s">
        <v>5368</v>
      </c>
    </row>
    <row r="474" customFormat="false" ht="12.8" hidden="false" customHeight="false" outlineLevel="0" collapsed="false">
      <c r="A474" s="0" t="s">
        <v>445</v>
      </c>
      <c r="B474" s="0" t="s">
        <v>4129</v>
      </c>
      <c r="C474" s="0" t="s">
        <v>224</v>
      </c>
      <c r="D474" s="0" t="s">
        <v>225</v>
      </c>
      <c r="E474" s="0" t="s">
        <v>5369</v>
      </c>
      <c r="M474" s="0" t="s">
        <v>448</v>
      </c>
      <c r="O474" s="0" t="s">
        <v>5361</v>
      </c>
      <c r="AP474" s="0" t="s">
        <v>5363</v>
      </c>
      <c r="AS474" s="0" t="s">
        <v>5370</v>
      </c>
      <c r="AT474" s="0" t="s">
        <v>906</v>
      </c>
      <c r="AU474" s="0" t="s">
        <v>2457</v>
      </c>
      <c r="AW474" s="0" t="s">
        <v>907</v>
      </c>
      <c r="CJ474" s="0" t="s">
        <v>5371</v>
      </c>
      <c r="CO474" s="0" t="s">
        <v>4129</v>
      </c>
    </row>
    <row r="475" customFormat="false" ht="12.8" hidden="false" customHeight="false" outlineLevel="0" collapsed="false">
      <c r="A475" s="0" t="s">
        <v>326</v>
      </c>
      <c r="B475" s="0" t="s">
        <v>5372</v>
      </c>
      <c r="C475" s="0" t="s">
        <v>3456</v>
      </c>
      <c r="D475" s="0" t="s">
        <v>3457</v>
      </c>
      <c r="E475" s="0" t="s">
        <v>5373</v>
      </c>
      <c r="L475" s="0" t="str">
        <f aca="false">"1660"</f>
        <v>1660</v>
      </c>
      <c r="M475" s="0" t="s">
        <v>870</v>
      </c>
      <c r="O475" s="0" t="s">
        <v>5374</v>
      </c>
      <c r="R475" s="0" t="s">
        <v>5375</v>
      </c>
      <c r="T475" s="0" t="s">
        <v>2147</v>
      </c>
      <c r="AB475" s="0" t="s">
        <v>5376</v>
      </c>
      <c r="AT475" s="0" t="s">
        <v>338</v>
      </c>
      <c r="AU475" s="0" t="s">
        <v>2457</v>
      </c>
      <c r="AV475" s="0" t="s">
        <v>113</v>
      </c>
      <c r="AY475" s="0" t="s">
        <v>5377</v>
      </c>
      <c r="CJ475" s="0" t="s">
        <v>5378</v>
      </c>
      <c r="CO475" s="0" t="s">
        <v>5379</v>
      </c>
      <c r="CP475" s="0" t="s">
        <v>5380</v>
      </c>
    </row>
    <row r="476" customFormat="false" ht="12.8" hidden="false" customHeight="false" outlineLevel="0" collapsed="false">
      <c r="A476" s="0" t="s">
        <v>326</v>
      </c>
      <c r="B476" s="0" t="s">
        <v>5381</v>
      </c>
      <c r="C476" s="0" t="s">
        <v>3456</v>
      </c>
      <c r="D476" s="0" t="s">
        <v>3457</v>
      </c>
      <c r="E476" s="0" t="s">
        <v>5382</v>
      </c>
      <c r="L476" s="0" t="str">
        <f aca="false">"1660"</f>
        <v>1660</v>
      </c>
      <c r="M476" s="0" t="s">
        <v>870</v>
      </c>
      <c r="O476" s="0" t="s">
        <v>5374</v>
      </c>
      <c r="R476" s="0" t="s">
        <v>5375</v>
      </c>
      <c r="T476" s="0" t="s">
        <v>2147</v>
      </c>
      <c r="U476" s="0" t="s">
        <v>5352</v>
      </c>
      <c r="AP476" s="0" t="s">
        <v>5372</v>
      </c>
      <c r="AT476" s="0" t="s">
        <v>338</v>
      </c>
      <c r="AU476" s="0" t="s">
        <v>872</v>
      </c>
      <c r="CJ476" s="0" t="s">
        <v>5383</v>
      </c>
      <c r="CO476" s="0" t="s">
        <v>5350</v>
      </c>
    </row>
    <row r="477" customFormat="false" ht="12.8" hidden="false" customHeight="false" outlineLevel="0" collapsed="false">
      <c r="A477" s="0" t="s">
        <v>445</v>
      </c>
      <c r="B477" s="0" t="s">
        <v>5384</v>
      </c>
      <c r="C477" s="0" t="s">
        <v>224</v>
      </c>
      <c r="D477" s="0" t="s">
        <v>225</v>
      </c>
      <c r="E477" s="0" t="s">
        <v>5385</v>
      </c>
      <c r="M477" s="0" t="s">
        <v>448</v>
      </c>
      <c r="O477" s="0" t="s">
        <v>5182</v>
      </c>
      <c r="AP477" s="0" t="s">
        <v>5173</v>
      </c>
      <c r="AQ477" s="0" t="str">
        <f aca="false">"523"</f>
        <v>523</v>
      </c>
      <c r="AT477" s="0" t="s">
        <v>906</v>
      </c>
      <c r="AU477" s="0" t="s">
        <v>892</v>
      </c>
      <c r="AW477" s="0" t="s">
        <v>907</v>
      </c>
      <c r="CJ477" s="0" t="s">
        <v>5386</v>
      </c>
      <c r="CO477" s="0" t="s">
        <v>5384</v>
      </c>
    </row>
    <row r="478" customFormat="false" ht="12.8" hidden="false" customHeight="false" outlineLevel="0" collapsed="false">
      <c r="A478" s="0" t="s">
        <v>445</v>
      </c>
      <c r="B478" s="0" t="s">
        <v>5387</v>
      </c>
      <c r="C478" s="0" t="s">
        <v>224</v>
      </c>
      <c r="D478" s="0" t="s">
        <v>225</v>
      </c>
      <c r="E478" s="0" t="s">
        <v>5388</v>
      </c>
      <c r="M478" s="0" t="s">
        <v>448</v>
      </c>
      <c r="O478" s="0" t="s">
        <v>5182</v>
      </c>
      <c r="AP478" s="0" t="s">
        <v>5173</v>
      </c>
      <c r="AQ478" s="0" t="str">
        <f aca="false">"239"</f>
        <v>239</v>
      </c>
      <c r="AT478" s="0" t="s">
        <v>906</v>
      </c>
      <c r="AU478" s="0" t="s">
        <v>5389</v>
      </c>
      <c r="AW478" s="0" t="s">
        <v>907</v>
      </c>
      <c r="CJ478" s="0" t="s">
        <v>5390</v>
      </c>
      <c r="CO478" s="0" t="s">
        <v>5387</v>
      </c>
    </row>
    <row r="479" customFormat="false" ht="12.8" hidden="false" customHeight="false" outlineLevel="0" collapsed="false">
      <c r="A479" s="0" t="s">
        <v>445</v>
      </c>
      <c r="B479" s="0" t="s">
        <v>5391</v>
      </c>
      <c r="C479" s="0" t="s">
        <v>224</v>
      </c>
      <c r="D479" s="0" t="s">
        <v>225</v>
      </c>
      <c r="E479" s="0" t="s">
        <v>5392</v>
      </c>
      <c r="O479" s="0" t="s">
        <v>5182</v>
      </c>
      <c r="AP479" s="0" t="s">
        <v>5173</v>
      </c>
      <c r="AQ479" s="0" t="str">
        <f aca="false">"59"</f>
        <v>59</v>
      </c>
      <c r="AT479" s="0" t="s">
        <v>906</v>
      </c>
      <c r="AU479" s="0" t="s">
        <v>892</v>
      </c>
      <c r="AW479" s="0" t="s">
        <v>907</v>
      </c>
      <c r="CJ479" s="0" t="s">
        <v>5393</v>
      </c>
      <c r="CO479" s="0" t="s">
        <v>5391</v>
      </c>
    </row>
    <row r="480" customFormat="false" ht="12.8" hidden="false" customHeight="false" outlineLevel="0" collapsed="false">
      <c r="A480" s="0" t="s">
        <v>445</v>
      </c>
      <c r="B480" s="0" t="s">
        <v>5394</v>
      </c>
      <c r="C480" s="0" t="s">
        <v>224</v>
      </c>
      <c r="D480" s="0" t="s">
        <v>225</v>
      </c>
      <c r="E480" s="0" t="s">
        <v>5395</v>
      </c>
      <c r="M480" s="0" t="s">
        <v>448</v>
      </c>
      <c r="O480" s="0" t="s">
        <v>5182</v>
      </c>
      <c r="AP480" s="0" t="s">
        <v>5173</v>
      </c>
      <c r="AQ480" s="0" t="str">
        <f aca="false">"204"</f>
        <v>204</v>
      </c>
      <c r="AT480" s="0" t="s">
        <v>906</v>
      </c>
      <c r="AU480" s="0" t="s">
        <v>892</v>
      </c>
      <c r="AW480" s="0" t="s">
        <v>907</v>
      </c>
      <c r="CJ480" s="0" t="s">
        <v>5396</v>
      </c>
      <c r="CO480" s="0" t="s">
        <v>5394</v>
      </c>
    </row>
    <row r="481" customFormat="false" ht="12.8" hidden="false" customHeight="false" outlineLevel="0" collapsed="false">
      <c r="A481" s="0" t="s">
        <v>445</v>
      </c>
      <c r="B481" s="0" t="s">
        <v>5131</v>
      </c>
      <c r="C481" s="0" t="s">
        <v>224</v>
      </c>
      <c r="D481" s="0" t="s">
        <v>225</v>
      </c>
      <c r="E481" s="0" t="s">
        <v>5397</v>
      </c>
      <c r="M481" s="0" t="s">
        <v>448</v>
      </c>
      <c r="O481" s="0" t="s">
        <v>5182</v>
      </c>
      <c r="AP481" s="0" t="s">
        <v>5173</v>
      </c>
      <c r="AQ481" s="0" t="str">
        <f aca="false">"527"</f>
        <v>527</v>
      </c>
      <c r="AT481" s="0" t="s">
        <v>906</v>
      </c>
      <c r="AU481" s="0" t="s">
        <v>892</v>
      </c>
      <c r="AW481" s="0" t="s">
        <v>907</v>
      </c>
      <c r="CJ481" s="0" t="s">
        <v>5398</v>
      </c>
      <c r="CO481" s="0" t="s">
        <v>5131</v>
      </c>
    </row>
    <row r="482" customFormat="false" ht="12.8" hidden="false" customHeight="false" outlineLevel="0" collapsed="false">
      <c r="A482" s="0" t="s">
        <v>445</v>
      </c>
      <c r="B482" s="0" t="s">
        <v>5399</v>
      </c>
      <c r="C482" s="0" t="s">
        <v>224</v>
      </c>
      <c r="D482" s="0" t="s">
        <v>225</v>
      </c>
      <c r="E482" s="0" t="s">
        <v>5400</v>
      </c>
      <c r="AP482" s="0" t="s">
        <v>5173</v>
      </c>
      <c r="AQ482" s="0" t="str">
        <f aca="false">"88"</f>
        <v>88</v>
      </c>
      <c r="AT482" s="0" t="s">
        <v>906</v>
      </c>
      <c r="AU482" s="0" t="s">
        <v>892</v>
      </c>
      <c r="AW482" s="0" t="s">
        <v>907</v>
      </c>
      <c r="CJ482" s="0" t="s">
        <v>5401</v>
      </c>
      <c r="CO482" s="0" t="s">
        <v>5399</v>
      </c>
    </row>
    <row r="483" customFormat="false" ht="12.8" hidden="false" customHeight="false" outlineLevel="0" collapsed="false">
      <c r="A483" s="0" t="s">
        <v>445</v>
      </c>
      <c r="B483" s="0" t="s">
        <v>5402</v>
      </c>
      <c r="C483" s="0" t="s">
        <v>224</v>
      </c>
      <c r="D483" s="0" t="s">
        <v>225</v>
      </c>
      <c r="E483" s="0" t="s">
        <v>5403</v>
      </c>
      <c r="M483" s="0" t="s">
        <v>448</v>
      </c>
      <c r="O483" s="0" t="s">
        <v>5182</v>
      </c>
      <c r="AP483" s="0" t="s">
        <v>5173</v>
      </c>
      <c r="AQ483" s="0" t="str">
        <f aca="false">"280"</f>
        <v>280</v>
      </c>
      <c r="AT483" s="0" t="s">
        <v>906</v>
      </c>
      <c r="AU483" s="0" t="s">
        <v>892</v>
      </c>
      <c r="AW483" s="0" t="s">
        <v>907</v>
      </c>
      <c r="CJ483" s="0" t="s">
        <v>5404</v>
      </c>
      <c r="CO483" s="0" t="s">
        <v>5405</v>
      </c>
    </row>
    <row r="484" customFormat="false" ht="12.8" hidden="false" customHeight="false" outlineLevel="0" collapsed="false">
      <c r="A484" s="0" t="s">
        <v>445</v>
      </c>
      <c r="B484" s="0" t="s">
        <v>5405</v>
      </c>
      <c r="C484" s="0" t="s">
        <v>224</v>
      </c>
      <c r="D484" s="0" t="s">
        <v>225</v>
      </c>
      <c r="E484" s="0" t="s">
        <v>5406</v>
      </c>
      <c r="I484" s="0" t="str">
        <f aca="false">"1648"</f>
        <v>1648</v>
      </c>
      <c r="J484" s="0" t="str">
        <f aca="false">"1650"</f>
        <v>1650</v>
      </c>
      <c r="M484" s="0" t="s">
        <v>448</v>
      </c>
      <c r="O484" s="0" t="s">
        <v>5182</v>
      </c>
      <c r="AP484" s="0" t="s">
        <v>5173</v>
      </c>
      <c r="AQ484" s="0" t="str">
        <f aca="false">"313"</f>
        <v>313</v>
      </c>
      <c r="AT484" s="0" t="s">
        <v>906</v>
      </c>
      <c r="AU484" s="0" t="s">
        <v>892</v>
      </c>
      <c r="AW484" s="0" t="s">
        <v>907</v>
      </c>
      <c r="CJ484" s="0" t="s">
        <v>5407</v>
      </c>
      <c r="CO484" s="0" t="s">
        <v>5405</v>
      </c>
    </row>
    <row r="485" customFormat="false" ht="12.8" hidden="false" customHeight="false" outlineLevel="0" collapsed="false">
      <c r="A485" s="0" t="s">
        <v>445</v>
      </c>
      <c r="B485" s="0" t="s">
        <v>5131</v>
      </c>
      <c r="C485" s="0" t="s">
        <v>224</v>
      </c>
      <c r="D485" s="0" t="s">
        <v>225</v>
      </c>
      <c r="E485" s="0" t="s">
        <v>5408</v>
      </c>
      <c r="K485" s="0" t="s">
        <v>5409</v>
      </c>
      <c r="M485" s="0" t="s">
        <v>448</v>
      </c>
      <c r="O485" s="0" t="s">
        <v>5182</v>
      </c>
      <c r="AP485" s="0" t="s">
        <v>5173</v>
      </c>
      <c r="AQ485" s="0" t="str">
        <f aca="false">"488"</f>
        <v>488</v>
      </c>
      <c r="AT485" s="0" t="s">
        <v>906</v>
      </c>
      <c r="AU485" s="0" t="s">
        <v>892</v>
      </c>
      <c r="AW485" s="0" t="s">
        <v>907</v>
      </c>
      <c r="CJ485" s="0" t="s">
        <v>5410</v>
      </c>
      <c r="CO485" s="0" t="s">
        <v>5131</v>
      </c>
    </row>
    <row r="486" customFormat="false" ht="12.8" hidden="false" customHeight="false" outlineLevel="0" collapsed="false">
      <c r="A486" s="0" t="s">
        <v>445</v>
      </c>
      <c r="B486" s="0" t="s">
        <v>5411</v>
      </c>
      <c r="C486" s="0" t="s">
        <v>224</v>
      </c>
      <c r="D486" s="0" t="s">
        <v>225</v>
      </c>
      <c r="E486" s="0" t="s">
        <v>5412</v>
      </c>
      <c r="I486" s="0" t="str">
        <f aca="false">"1645"</f>
        <v>1645</v>
      </c>
      <c r="J486" s="0" t="str">
        <f aca="false">"1648"</f>
        <v>1648</v>
      </c>
      <c r="M486" s="0" t="s">
        <v>448</v>
      </c>
      <c r="O486" s="0" t="s">
        <v>5182</v>
      </c>
      <c r="AP486" s="0" t="s">
        <v>5173</v>
      </c>
      <c r="AQ486" s="0" t="str">
        <f aca="false">"488"</f>
        <v>488</v>
      </c>
      <c r="AT486" s="0" t="s">
        <v>906</v>
      </c>
      <c r="AU486" s="0" t="s">
        <v>892</v>
      </c>
      <c r="AW486" s="0" t="s">
        <v>907</v>
      </c>
      <c r="CJ486" s="0" t="s">
        <v>5413</v>
      </c>
      <c r="CO486" s="0" t="s">
        <v>5411</v>
      </c>
    </row>
    <row r="487" customFormat="false" ht="12.8" hidden="false" customHeight="false" outlineLevel="0" collapsed="false">
      <c r="A487" s="0" t="s">
        <v>445</v>
      </c>
      <c r="B487" s="0" t="s">
        <v>5414</v>
      </c>
      <c r="C487" s="0" t="s">
        <v>224</v>
      </c>
      <c r="D487" s="0" t="s">
        <v>225</v>
      </c>
      <c r="E487" s="0" t="s">
        <v>5415</v>
      </c>
      <c r="M487" s="0" t="s">
        <v>448</v>
      </c>
      <c r="O487" s="0" t="s">
        <v>5182</v>
      </c>
      <c r="AP487" s="0" t="s">
        <v>5173</v>
      </c>
      <c r="AQ487" s="0" t="str">
        <f aca="false">"205"</f>
        <v>205</v>
      </c>
      <c r="AT487" s="0" t="s">
        <v>906</v>
      </c>
      <c r="AU487" s="0" t="s">
        <v>892</v>
      </c>
      <c r="AW487" s="0" t="s">
        <v>907</v>
      </c>
      <c r="CJ487" s="0" t="s">
        <v>5416</v>
      </c>
      <c r="CO487" s="0" t="s">
        <v>5414</v>
      </c>
    </row>
    <row r="488" customFormat="false" ht="12.8" hidden="false" customHeight="false" outlineLevel="0" collapsed="false">
      <c r="A488" s="0" t="s">
        <v>445</v>
      </c>
      <c r="B488" s="0" t="s">
        <v>5131</v>
      </c>
      <c r="C488" s="0" t="s">
        <v>224</v>
      </c>
      <c r="D488" s="0" t="s">
        <v>225</v>
      </c>
      <c r="E488" s="0" t="s">
        <v>5417</v>
      </c>
      <c r="L488" s="0" t="str">
        <f aca="false">"1648"</f>
        <v>1648</v>
      </c>
      <c r="M488" s="0" t="s">
        <v>448</v>
      </c>
      <c r="O488" s="0" t="s">
        <v>5182</v>
      </c>
      <c r="AP488" s="0" t="s">
        <v>5173</v>
      </c>
      <c r="AQ488" s="0" t="str">
        <f aca="false">"205"</f>
        <v>205</v>
      </c>
      <c r="AT488" s="0" t="s">
        <v>906</v>
      </c>
      <c r="AU488" s="0" t="s">
        <v>892</v>
      </c>
      <c r="AW488" s="0" t="s">
        <v>907</v>
      </c>
      <c r="CJ488" s="0" t="s">
        <v>5418</v>
      </c>
      <c r="CO488" s="0" t="s">
        <v>5131</v>
      </c>
    </row>
    <row r="489" customFormat="false" ht="12.8" hidden="false" customHeight="false" outlineLevel="0" collapsed="false">
      <c r="A489" s="0" t="s">
        <v>445</v>
      </c>
      <c r="B489" s="0" t="s">
        <v>5419</v>
      </c>
      <c r="C489" s="0" t="s">
        <v>224</v>
      </c>
      <c r="D489" s="0" t="s">
        <v>225</v>
      </c>
      <c r="E489" s="0" t="s">
        <v>5420</v>
      </c>
      <c r="K489" s="0" t="s">
        <v>5409</v>
      </c>
      <c r="M489" s="0" t="s">
        <v>448</v>
      </c>
      <c r="O489" s="0" t="s">
        <v>5182</v>
      </c>
      <c r="AP489" s="0" t="s">
        <v>5173</v>
      </c>
      <c r="AQ489" s="0" t="str">
        <f aca="false">"205"</f>
        <v>205</v>
      </c>
      <c r="AT489" s="0" t="s">
        <v>906</v>
      </c>
      <c r="AU489" s="0" t="s">
        <v>892</v>
      </c>
      <c r="AW489" s="0" t="s">
        <v>907</v>
      </c>
      <c r="CJ489" s="0" t="s">
        <v>5421</v>
      </c>
      <c r="CO489" s="0" t="s">
        <v>5419</v>
      </c>
    </row>
    <row r="490" customFormat="false" ht="22.5" hidden="false" customHeight="false" outlineLevel="0" collapsed="false">
      <c r="A490" s="0" t="s">
        <v>445</v>
      </c>
      <c r="B490" s="0" t="s">
        <v>5422</v>
      </c>
      <c r="C490" s="0" t="s">
        <v>1213</v>
      </c>
      <c r="D490" s="0" t="s">
        <v>1214</v>
      </c>
      <c r="E490" s="0" t="s">
        <v>5423</v>
      </c>
      <c r="L490" s="0" t="str">
        <f aca="false">"1762"</f>
        <v>1762</v>
      </c>
      <c r="M490" s="1" t="s">
        <v>5424</v>
      </c>
      <c r="O490" s="1" t="s">
        <v>5425</v>
      </c>
      <c r="T490" s="0" t="s">
        <v>5332</v>
      </c>
      <c r="AS490" s="0" t="str">
        <f aca="false">"12"</f>
        <v>12</v>
      </c>
      <c r="AT490" s="0" t="s">
        <v>906</v>
      </c>
      <c r="AU490" s="0" t="s">
        <v>872</v>
      </c>
      <c r="AZ490" s="0" t="s">
        <v>5426</v>
      </c>
      <c r="CH490" s="0" t="s">
        <v>342</v>
      </c>
      <c r="CJ490" s="0" t="s">
        <v>5427</v>
      </c>
      <c r="CO490" s="0" t="s">
        <v>5422</v>
      </c>
    </row>
    <row r="491" customFormat="false" ht="22.5" hidden="false" customHeight="false" outlineLevel="0" collapsed="false">
      <c r="A491" s="0" t="s">
        <v>96</v>
      </c>
      <c r="B491" s="0" t="s">
        <v>5428</v>
      </c>
      <c r="C491" s="0" t="s">
        <v>98</v>
      </c>
      <c r="D491" s="0" t="s">
        <v>99</v>
      </c>
      <c r="E491" s="0" t="s">
        <v>5429</v>
      </c>
      <c r="F491" s="1" t="s">
        <v>149</v>
      </c>
      <c r="H491" s="0" t="s">
        <v>102</v>
      </c>
      <c r="L491" s="0" t="str">
        <f aca="false">"1713"</f>
        <v>1713</v>
      </c>
      <c r="M491" s="1" t="s">
        <v>175</v>
      </c>
      <c r="O491" s="1" t="s">
        <v>1398</v>
      </c>
      <c r="AD491" s="0" t="s">
        <v>107</v>
      </c>
      <c r="AE491" s="0" t="s">
        <v>5430</v>
      </c>
      <c r="AF491" s="0" t="s">
        <v>109</v>
      </c>
      <c r="AT491" s="0" t="s">
        <v>139</v>
      </c>
      <c r="AU491" s="0" t="s">
        <v>112</v>
      </c>
      <c r="AV491" s="0" t="s">
        <v>113</v>
      </c>
      <c r="BU491" s="0" t="s">
        <v>5431</v>
      </c>
      <c r="BW491" s="0" t="s">
        <v>5432</v>
      </c>
      <c r="BX491" s="0" t="s">
        <v>5433</v>
      </c>
      <c r="CH491" s="0" t="s">
        <v>169</v>
      </c>
      <c r="CI491" s="0" t="s">
        <v>5433</v>
      </c>
      <c r="CJ491" s="0" t="s">
        <v>5434</v>
      </c>
      <c r="CO491" s="0" t="s">
        <v>5428</v>
      </c>
      <c r="CR491" s="0" t="s">
        <v>5435</v>
      </c>
    </row>
    <row r="492" customFormat="false" ht="33.1" hidden="false" customHeight="false" outlineLevel="0" collapsed="false">
      <c r="A492" s="0" t="s">
        <v>880</v>
      </c>
      <c r="C492" s="0" t="s">
        <v>5436</v>
      </c>
      <c r="D492" s="0" t="s">
        <v>3952</v>
      </c>
      <c r="E492" s="0" t="s">
        <v>5437</v>
      </c>
      <c r="L492" s="0" t="str">
        <f aca="false">"06.01.1713"</f>
        <v>06.01.1713</v>
      </c>
      <c r="M492" s="0" t="s">
        <v>5438</v>
      </c>
      <c r="O492" s="0" t="s">
        <v>5439</v>
      </c>
      <c r="T492" s="0" t="s">
        <v>329</v>
      </c>
      <c r="U492" s="1" t="s">
        <v>5440</v>
      </c>
      <c r="V492" s="1" t="s">
        <v>5441</v>
      </c>
      <c r="X492" s="0" t="s">
        <v>5442</v>
      </c>
      <c r="AO492" s="0" t="s">
        <v>3883</v>
      </c>
      <c r="AT492" s="0" t="s">
        <v>338</v>
      </c>
      <c r="AU492" s="0" t="s">
        <v>2457</v>
      </c>
      <c r="CJ492" s="0" t="s">
        <v>5443</v>
      </c>
      <c r="CO492" s="0" t="s">
        <v>5444</v>
      </c>
    </row>
    <row r="493" customFormat="false" ht="22.5" hidden="false" customHeight="false" outlineLevel="0" collapsed="false">
      <c r="A493" s="0" t="s">
        <v>445</v>
      </c>
      <c r="B493" s="0" t="s">
        <v>5445</v>
      </c>
      <c r="C493" s="0" t="s">
        <v>1213</v>
      </c>
      <c r="D493" s="0" t="s">
        <v>1214</v>
      </c>
      <c r="E493" s="0" t="s">
        <v>5446</v>
      </c>
      <c r="L493" s="0" t="str">
        <f aca="false">"1763"</f>
        <v>1763</v>
      </c>
      <c r="M493" s="1" t="s">
        <v>898</v>
      </c>
      <c r="O493" s="1" t="s">
        <v>5331</v>
      </c>
      <c r="T493" s="0" t="s">
        <v>5332</v>
      </c>
      <c r="AS493" s="0" t="s">
        <v>4377</v>
      </c>
      <c r="AT493" s="0" t="s">
        <v>906</v>
      </c>
      <c r="AU493" s="0" t="s">
        <v>892</v>
      </c>
      <c r="CJ493" s="0" t="s">
        <v>5447</v>
      </c>
      <c r="CO493" s="0" t="s">
        <v>5448</v>
      </c>
    </row>
    <row r="494" customFormat="false" ht="22.5" hidden="false" customHeight="false" outlineLevel="0" collapsed="false">
      <c r="A494" s="0" t="s">
        <v>880</v>
      </c>
      <c r="B494" s="0" t="s">
        <v>5449</v>
      </c>
      <c r="C494" s="0" t="s">
        <v>5450</v>
      </c>
      <c r="D494" s="0" t="s">
        <v>5451</v>
      </c>
      <c r="E494" s="0" t="s">
        <v>5452</v>
      </c>
      <c r="L494" s="0" t="str">
        <f aca="false">"1695"</f>
        <v>1695</v>
      </c>
      <c r="M494" s="1" t="s">
        <v>5453</v>
      </c>
      <c r="O494" s="1" t="s">
        <v>5454</v>
      </c>
      <c r="X494" s="0" t="s">
        <v>5455</v>
      </c>
      <c r="AB494" s="0" t="s">
        <v>5456</v>
      </c>
      <c r="AO494" s="0" t="s">
        <v>5457</v>
      </c>
      <c r="AP494" s="0" t="s">
        <v>5458</v>
      </c>
      <c r="AT494" s="0" t="s">
        <v>338</v>
      </c>
      <c r="AU494" s="0" t="s">
        <v>112</v>
      </c>
      <c r="CJ494" s="0" t="s">
        <v>5459</v>
      </c>
      <c r="CO494" s="0" t="s">
        <v>5449</v>
      </c>
    </row>
    <row r="495" customFormat="false" ht="22.5" hidden="false" customHeight="false" outlineLevel="0" collapsed="false">
      <c r="A495" s="0" t="s">
        <v>880</v>
      </c>
      <c r="B495" s="0" t="s">
        <v>5458</v>
      </c>
      <c r="C495" s="0" t="s">
        <v>5450</v>
      </c>
      <c r="D495" s="0" t="s">
        <v>5451</v>
      </c>
      <c r="E495" s="0" t="s">
        <v>5460</v>
      </c>
      <c r="L495" s="0" t="str">
        <f aca="false">"1695"</f>
        <v>1695</v>
      </c>
      <c r="M495" s="1" t="s">
        <v>5453</v>
      </c>
      <c r="O495" s="1" t="s">
        <v>5454</v>
      </c>
      <c r="T495" s="0" t="s">
        <v>868</v>
      </c>
      <c r="X495" s="0" t="s">
        <v>5455</v>
      </c>
      <c r="AB495" s="0" t="s">
        <v>5456</v>
      </c>
      <c r="AT495" s="0" t="s">
        <v>338</v>
      </c>
      <c r="AU495" s="0" t="s">
        <v>112</v>
      </c>
      <c r="CP495" s="0" t="s">
        <v>5461</v>
      </c>
    </row>
    <row r="496" customFormat="false" ht="22.5" hidden="false" customHeight="false" outlineLevel="0" collapsed="false">
      <c r="A496" s="0" t="s">
        <v>445</v>
      </c>
      <c r="B496" s="0" t="s">
        <v>5462</v>
      </c>
      <c r="C496" s="0" t="s">
        <v>1213</v>
      </c>
      <c r="D496" s="0" t="s">
        <v>1214</v>
      </c>
      <c r="E496" s="0" t="s">
        <v>5463</v>
      </c>
      <c r="L496" s="0" t="str">
        <f aca="false">"1763"</f>
        <v>1763</v>
      </c>
      <c r="M496" s="1" t="s">
        <v>898</v>
      </c>
      <c r="O496" s="1" t="s">
        <v>5331</v>
      </c>
      <c r="T496" s="0" t="s">
        <v>5332</v>
      </c>
      <c r="AS496" s="0" t="str">
        <f aca="false">"12"</f>
        <v>12</v>
      </c>
      <c r="AT496" s="0" t="s">
        <v>906</v>
      </c>
      <c r="AU496" s="0" t="s">
        <v>892</v>
      </c>
      <c r="CJ496" s="0" t="s">
        <v>5464</v>
      </c>
      <c r="CO496" s="0" t="s">
        <v>5465</v>
      </c>
    </row>
    <row r="497" customFormat="false" ht="33.1" hidden="false" customHeight="false" outlineLevel="0" collapsed="false">
      <c r="A497" s="0" t="s">
        <v>880</v>
      </c>
      <c r="C497" s="0" t="s">
        <v>882</v>
      </c>
      <c r="D497" s="0" t="s">
        <v>670</v>
      </c>
      <c r="E497" s="0" t="s">
        <v>5466</v>
      </c>
      <c r="F497" s="0" t="s">
        <v>884</v>
      </c>
      <c r="G497" s="0" t="s">
        <v>102</v>
      </c>
      <c r="I497" s="0" t="str">
        <f aca="false">"1700"</f>
        <v>1700</v>
      </c>
      <c r="J497" s="0" t="str">
        <f aca="false">"1710"</f>
        <v>1710</v>
      </c>
      <c r="M497" s="0" t="s">
        <v>5467</v>
      </c>
      <c r="O497" s="0" t="s">
        <v>5468</v>
      </c>
      <c r="T497" s="0" t="s">
        <v>329</v>
      </c>
      <c r="U497" s="1" t="s">
        <v>5440</v>
      </c>
      <c r="V497" s="1" t="s">
        <v>5441</v>
      </c>
      <c r="W497" s="0" t="s">
        <v>5469</v>
      </c>
      <c r="AO497" s="0" t="s">
        <v>3883</v>
      </c>
      <c r="AT497" s="0" t="s">
        <v>338</v>
      </c>
      <c r="AU497" s="0" t="s">
        <v>2457</v>
      </c>
      <c r="CJ497" s="0" t="s">
        <v>5470</v>
      </c>
      <c r="CO497" s="0" t="s">
        <v>5471</v>
      </c>
    </row>
    <row r="498" customFormat="false" ht="12.8" hidden="false" customHeight="false" outlineLevel="0" collapsed="false">
      <c r="A498" s="0" t="s">
        <v>5472</v>
      </c>
      <c r="C498" s="0" t="s">
        <v>5473</v>
      </c>
      <c r="D498" s="0" t="s">
        <v>5474</v>
      </c>
      <c r="E498" s="0" t="s">
        <v>5475</v>
      </c>
      <c r="F498" s="0" t="s">
        <v>884</v>
      </c>
      <c r="G498" s="0" t="s">
        <v>102</v>
      </c>
      <c r="L498" s="0" t="str">
        <f aca="false">"1712"</f>
        <v>1712</v>
      </c>
      <c r="T498" s="0" t="s">
        <v>868</v>
      </c>
      <c r="AO498" s="0" t="s">
        <v>3871</v>
      </c>
      <c r="AT498" s="0" t="s">
        <v>338</v>
      </c>
      <c r="AU498" s="0" t="s">
        <v>2457</v>
      </c>
      <c r="AY498" s="0" t="s">
        <v>5476</v>
      </c>
    </row>
    <row r="499" customFormat="false" ht="22.5" hidden="false" customHeight="false" outlineLevel="0" collapsed="false">
      <c r="A499" s="0" t="s">
        <v>445</v>
      </c>
      <c r="B499" s="0" t="s">
        <v>5477</v>
      </c>
      <c r="C499" s="0" t="s">
        <v>1213</v>
      </c>
      <c r="D499" s="0" t="s">
        <v>1214</v>
      </c>
      <c r="E499" s="0" t="s">
        <v>5478</v>
      </c>
      <c r="L499" s="0" t="str">
        <f aca="false">"1763"</f>
        <v>1763</v>
      </c>
      <c r="M499" s="1" t="s">
        <v>898</v>
      </c>
      <c r="O499" s="1" t="s">
        <v>5479</v>
      </c>
      <c r="T499" s="0" t="s">
        <v>5332</v>
      </c>
      <c r="AG499" s="0" t="s">
        <v>397</v>
      </c>
      <c r="AH499" s="0" t="s">
        <v>398</v>
      </c>
      <c r="AI499" s="0" t="s">
        <v>5480</v>
      </c>
      <c r="AJ499" s="0" t="s">
        <v>5481</v>
      </c>
      <c r="AT499" s="0" t="s">
        <v>906</v>
      </c>
      <c r="AU499" s="0" t="s">
        <v>892</v>
      </c>
      <c r="AW499" s="0" t="s">
        <v>907</v>
      </c>
      <c r="BC499" s="0" t="str">
        <f aca="false">"452156009"</f>
        <v>452156009</v>
      </c>
      <c r="CJ499" s="0" t="s">
        <v>5482</v>
      </c>
      <c r="CO499" s="0" t="s">
        <v>5477</v>
      </c>
    </row>
    <row r="500" customFormat="false" ht="43.75" hidden="false" customHeight="false" outlineLevel="0" collapsed="false">
      <c r="A500" s="0" t="s">
        <v>190</v>
      </c>
      <c r="B500" s="0" t="s">
        <v>5483</v>
      </c>
      <c r="C500" s="0" t="s">
        <v>224</v>
      </c>
      <c r="D500" s="0" t="s">
        <v>225</v>
      </c>
      <c r="E500" s="0" t="s">
        <v>5484</v>
      </c>
      <c r="L500" s="0" t="str">
        <f aca="false">"1988"</f>
        <v>1988</v>
      </c>
      <c r="M500" s="1" t="s">
        <v>3803</v>
      </c>
      <c r="O500" s="1" t="s">
        <v>5485</v>
      </c>
      <c r="T500" s="0" t="s">
        <v>2688</v>
      </c>
      <c r="Z500" s="0" t="s">
        <v>5486</v>
      </c>
      <c r="AS500" s="0" t="s">
        <v>5487</v>
      </c>
      <c r="AT500" s="0" t="s">
        <v>906</v>
      </c>
      <c r="AU500" s="0" t="s">
        <v>892</v>
      </c>
      <c r="BC500" s="0" t="str">
        <f aca="false">"024922471"</f>
        <v>024922471</v>
      </c>
      <c r="CJ500" s="1" t="s">
        <v>5488</v>
      </c>
      <c r="CO500" s="1" t="s">
        <v>5489</v>
      </c>
      <c r="CP500" s="0" t="s">
        <v>5490</v>
      </c>
    </row>
    <row r="501" customFormat="false" ht="12.8" hidden="false" customHeight="false" outlineLevel="0" collapsed="false">
      <c r="A501" s="0" t="s">
        <v>445</v>
      </c>
      <c r="B501" s="0" t="s">
        <v>5491</v>
      </c>
      <c r="C501" s="0" t="s">
        <v>224</v>
      </c>
      <c r="D501" s="0" t="s">
        <v>225</v>
      </c>
      <c r="E501" s="0" t="s">
        <v>5484</v>
      </c>
      <c r="I501" s="0" t="str">
        <f aca="false">"1645"</f>
        <v>1645</v>
      </c>
      <c r="J501" s="0" t="str">
        <f aca="false">"1648"</f>
        <v>1648</v>
      </c>
      <c r="M501" s="0" t="s">
        <v>448</v>
      </c>
      <c r="U501" s="0" t="s">
        <v>5492</v>
      </c>
      <c r="AP501" s="0" t="s">
        <v>5483</v>
      </c>
      <c r="AQ501" s="0" t="s">
        <v>5493</v>
      </c>
      <c r="AT501" s="0" t="s">
        <v>906</v>
      </c>
      <c r="AU501" s="0" t="s">
        <v>892</v>
      </c>
      <c r="AW501" s="0" t="s">
        <v>907</v>
      </c>
      <c r="AY501" s="0" t="s">
        <v>5494</v>
      </c>
      <c r="BV501" s="0" t="s">
        <v>5495</v>
      </c>
      <c r="BX501" s="0" t="s">
        <v>5496</v>
      </c>
      <c r="CI501" s="0" t="s">
        <v>5496</v>
      </c>
    </row>
    <row r="502" customFormat="false" ht="22.5" hidden="false" customHeight="false" outlineLevel="0" collapsed="false">
      <c r="A502" s="0" t="s">
        <v>445</v>
      </c>
      <c r="B502" s="0" t="s">
        <v>5497</v>
      </c>
      <c r="C502" s="0" t="s">
        <v>895</v>
      </c>
      <c r="D502" s="0" t="s">
        <v>896</v>
      </c>
      <c r="E502" s="0" t="s">
        <v>5498</v>
      </c>
      <c r="L502" s="0" t="str">
        <f aca="false">"1742"</f>
        <v>1742</v>
      </c>
      <c r="M502" s="1" t="s">
        <v>898</v>
      </c>
      <c r="O502" s="1" t="s">
        <v>5499</v>
      </c>
      <c r="T502" s="0" t="s">
        <v>1164</v>
      </c>
      <c r="AS502" s="0" t="s">
        <v>1945</v>
      </c>
      <c r="AT502" s="0" t="s">
        <v>906</v>
      </c>
      <c r="AU502" s="0" t="s">
        <v>112</v>
      </c>
      <c r="AV502" s="0" t="s">
        <v>113</v>
      </c>
      <c r="AW502" s="0" t="s">
        <v>907</v>
      </c>
      <c r="AY502" s="0" t="s">
        <v>5500</v>
      </c>
      <c r="BC502" s="0" t="str">
        <f aca="false">"134787706"</f>
        <v>134787706</v>
      </c>
      <c r="BX502" s="0" t="s">
        <v>5501</v>
      </c>
      <c r="CF502" s="0" t="s">
        <v>5502</v>
      </c>
      <c r="CG502" s="0" t="s">
        <v>123</v>
      </c>
      <c r="CH502" s="0" t="s">
        <v>625</v>
      </c>
      <c r="CI502" s="0" t="s">
        <v>5501</v>
      </c>
      <c r="CJ502" s="1" t="s">
        <v>5503</v>
      </c>
      <c r="CL502" s="0" t="s">
        <v>5504</v>
      </c>
      <c r="CM502" s="0" t="s">
        <v>5504</v>
      </c>
      <c r="CO502" s="1" t="s">
        <v>5505</v>
      </c>
      <c r="CR502" s="0" t="s">
        <v>5506</v>
      </c>
    </row>
    <row r="503" customFormat="false" ht="12.8" hidden="false" customHeight="false" outlineLevel="0" collapsed="false">
      <c r="A503" s="0" t="s">
        <v>96</v>
      </c>
      <c r="B503" s="0" t="s">
        <v>5507</v>
      </c>
      <c r="C503" s="0" t="s">
        <v>895</v>
      </c>
      <c r="D503" s="0" t="s">
        <v>896</v>
      </c>
      <c r="E503" s="0" t="s">
        <v>5508</v>
      </c>
      <c r="F503" s="0" t="s">
        <v>131</v>
      </c>
      <c r="L503" s="0" t="str">
        <f aca="false">"1748"</f>
        <v>1748</v>
      </c>
      <c r="M503" s="0" t="s">
        <v>5138</v>
      </c>
      <c r="O503" s="0" t="s">
        <v>408</v>
      </c>
      <c r="AT503" s="0" t="s">
        <v>906</v>
      </c>
      <c r="AU503" s="0" t="s">
        <v>892</v>
      </c>
      <c r="AV503" s="0" t="s">
        <v>113</v>
      </c>
      <c r="BC503" s="0" t="str">
        <f aca="false">"230828620"</f>
        <v>230828620</v>
      </c>
      <c r="CH503" s="0" t="s">
        <v>1265</v>
      </c>
      <c r="CJ503" s="0" t="s">
        <v>5509</v>
      </c>
      <c r="CO503" s="0" t="s">
        <v>5507</v>
      </c>
    </row>
    <row r="504" customFormat="false" ht="22.5" hidden="false" customHeight="false" outlineLevel="0" collapsed="false">
      <c r="A504" s="0" t="s">
        <v>445</v>
      </c>
      <c r="B504" s="0" t="s">
        <v>5510</v>
      </c>
      <c r="C504" s="0" t="s">
        <v>224</v>
      </c>
      <c r="D504" s="0" t="s">
        <v>225</v>
      </c>
      <c r="E504" s="0" t="s">
        <v>5511</v>
      </c>
      <c r="L504" s="0" t="str">
        <f aca="false">"1643"</f>
        <v>1643</v>
      </c>
      <c r="M504" s="1" t="s">
        <v>898</v>
      </c>
      <c r="O504" s="1" t="s">
        <v>5512</v>
      </c>
      <c r="T504" s="0" t="s">
        <v>5024</v>
      </c>
      <c r="Z504" s="0" t="s">
        <v>5513</v>
      </c>
      <c r="AT504" s="0" t="s">
        <v>906</v>
      </c>
      <c r="AU504" s="0" t="s">
        <v>892</v>
      </c>
      <c r="AV504" s="0" t="s">
        <v>113</v>
      </c>
      <c r="AW504" s="0" t="s">
        <v>907</v>
      </c>
      <c r="AZ504" s="0" t="s">
        <v>5514</v>
      </c>
      <c r="BC504" s="0" t="str">
        <f aca="false">"839332416"</f>
        <v>839332416</v>
      </c>
      <c r="CJ504" s="0" t="s">
        <v>5515</v>
      </c>
      <c r="CO504" s="0" t="s">
        <v>5510</v>
      </c>
    </row>
    <row r="505" customFormat="false" ht="22.5" hidden="false" customHeight="false" outlineLevel="0" collapsed="false">
      <c r="A505" s="0" t="s">
        <v>445</v>
      </c>
      <c r="B505" s="0" t="s">
        <v>5516</v>
      </c>
      <c r="C505" s="0" t="s">
        <v>224</v>
      </c>
      <c r="D505" s="0" t="s">
        <v>225</v>
      </c>
      <c r="E505" s="0" t="s">
        <v>5517</v>
      </c>
      <c r="L505" s="0" t="str">
        <f aca="false">"1650"</f>
        <v>1650</v>
      </c>
      <c r="M505" s="1" t="s">
        <v>898</v>
      </c>
      <c r="O505" s="1" t="s">
        <v>5518</v>
      </c>
      <c r="T505" s="0" t="s">
        <v>2638</v>
      </c>
      <c r="Z505" s="0" t="s">
        <v>5519</v>
      </c>
      <c r="AT505" s="0" t="s">
        <v>906</v>
      </c>
      <c r="AU505" s="0" t="s">
        <v>892</v>
      </c>
      <c r="AV505" s="0" t="s">
        <v>113</v>
      </c>
      <c r="AW505" s="0" t="s">
        <v>907</v>
      </c>
      <c r="AY505" s="0" t="s">
        <v>5520</v>
      </c>
      <c r="AZ505" s="0" t="s">
        <v>5521</v>
      </c>
      <c r="CH505" s="0" t="s">
        <v>342</v>
      </c>
      <c r="CJ505" s="0" t="s">
        <v>5522</v>
      </c>
      <c r="CO505" s="0" t="s">
        <v>5516</v>
      </c>
    </row>
    <row r="506" customFormat="false" ht="22.5" hidden="false" customHeight="false" outlineLevel="0" collapsed="false">
      <c r="A506" s="0" t="s">
        <v>190</v>
      </c>
      <c r="B506" s="0" t="s">
        <v>5523</v>
      </c>
      <c r="C506" s="0" t="s">
        <v>242</v>
      </c>
      <c r="D506" s="0" t="s">
        <v>243</v>
      </c>
      <c r="E506" s="0" t="s">
        <v>5524</v>
      </c>
      <c r="L506" s="0" t="str">
        <f aca="false">"1755"</f>
        <v>1755</v>
      </c>
      <c r="M506" s="0" t="s">
        <v>245</v>
      </c>
      <c r="O506" s="0" t="s">
        <v>5525</v>
      </c>
      <c r="T506" s="0" t="s">
        <v>4104</v>
      </c>
      <c r="AA506" s="0" t="str">
        <f aca="false">"10582118"</f>
        <v>10582118</v>
      </c>
      <c r="AB506" s="0" t="s">
        <v>5526</v>
      </c>
      <c r="AS506" s="0" t="s">
        <v>5226</v>
      </c>
      <c r="AT506" s="0" t="s">
        <v>906</v>
      </c>
      <c r="AU506" s="0" t="s">
        <v>892</v>
      </c>
      <c r="AY506" s="0" t="s">
        <v>5527</v>
      </c>
      <c r="AZ506" s="0" t="s">
        <v>5528</v>
      </c>
      <c r="BC506" s="0" t="str">
        <f aca="false">"211046612"</f>
        <v>211046612</v>
      </c>
      <c r="BX506" s="0" t="s">
        <v>5529</v>
      </c>
      <c r="CH506" s="0" t="s">
        <v>145</v>
      </c>
      <c r="CI506" s="0" t="s">
        <v>5529</v>
      </c>
      <c r="CP506" s="1" t="s">
        <v>5530</v>
      </c>
    </row>
    <row r="507" customFormat="false" ht="12.8" hidden="false" customHeight="false" outlineLevel="0" collapsed="false">
      <c r="A507" s="0" t="s">
        <v>445</v>
      </c>
      <c r="B507" s="0" t="s">
        <v>5531</v>
      </c>
      <c r="C507" s="0" t="s">
        <v>242</v>
      </c>
      <c r="D507" s="0" t="s">
        <v>243</v>
      </c>
      <c r="E507" s="0" t="s">
        <v>5532</v>
      </c>
      <c r="L507" s="0" t="str">
        <f aca="false">"25.09.1755"</f>
        <v>25.09.1755</v>
      </c>
      <c r="M507" s="0" t="s">
        <v>448</v>
      </c>
      <c r="O507" s="0" t="s">
        <v>5525</v>
      </c>
      <c r="T507" s="0" t="s">
        <v>4104</v>
      </c>
      <c r="AP507" s="0" t="s">
        <v>5523</v>
      </c>
      <c r="AQ507" s="0" t="s">
        <v>5533</v>
      </c>
      <c r="AT507" s="0" t="s">
        <v>906</v>
      </c>
      <c r="AU507" s="0" t="s">
        <v>892</v>
      </c>
      <c r="BX507" s="0" t="s">
        <v>5534</v>
      </c>
      <c r="CI507" s="0" t="s">
        <v>5534</v>
      </c>
    </row>
    <row r="508" customFormat="false" ht="22.5" hidden="false" customHeight="false" outlineLevel="0" collapsed="false">
      <c r="A508" s="0" t="s">
        <v>190</v>
      </c>
      <c r="B508" s="0" t="s">
        <v>5535</v>
      </c>
      <c r="C508" s="0" t="s">
        <v>1213</v>
      </c>
      <c r="D508" s="0" t="s">
        <v>1214</v>
      </c>
      <c r="E508" s="0" t="s">
        <v>5536</v>
      </c>
      <c r="L508" s="0" t="str">
        <f aca="false">"1748"</f>
        <v>1748</v>
      </c>
      <c r="M508" s="1" t="s">
        <v>193</v>
      </c>
      <c r="O508" s="1" t="s">
        <v>5537</v>
      </c>
      <c r="T508" s="0" t="s">
        <v>930</v>
      </c>
      <c r="AA508" s="0" t="str">
        <f aca="false">"11609729"</f>
        <v>11609729</v>
      </c>
      <c r="AB508" s="0" t="s">
        <v>5538</v>
      </c>
      <c r="AS508" s="0" t="s">
        <v>5539</v>
      </c>
      <c r="AT508" s="0" t="s">
        <v>906</v>
      </c>
      <c r="AU508" s="0" t="s">
        <v>892</v>
      </c>
      <c r="BC508" s="0" t="str">
        <f aca="false">"224935836"</f>
        <v>224935836</v>
      </c>
      <c r="CP508" s="0" t="s">
        <v>5540</v>
      </c>
    </row>
    <row r="509" customFormat="false" ht="12.8" hidden="false" customHeight="false" outlineLevel="0" collapsed="false">
      <c r="A509" s="0" t="s">
        <v>445</v>
      </c>
      <c r="B509" s="0" t="s">
        <v>5541</v>
      </c>
      <c r="C509" s="0" t="s">
        <v>1213</v>
      </c>
      <c r="D509" s="0" t="s">
        <v>1214</v>
      </c>
      <c r="E509" s="0" t="s">
        <v>5542</v>
      </c>
      <c r="L509" s="0" t="str">
        <f aca="false">"26.12.1745"</f>
        <v>26.12.1745</v>
      </c>
      <c r="M509" s="0" t="s">
        <v>448</v>
      </c>
      <c r="O509" s="0" t="s">
        <v>4027</v>
      </c>
      <c r="AP509" s="0" t="s">
        <v>5535</v>
      </c>
      <c r="AQ509" s="0" t="str">
        <f aca="false">"13"</f>
        <v>13</v>
      </c>
      <c r="AT509" s="0" t="s">
        <v>906</v>
      </c>
      <c r="AU509" s="0" t="s">
        <v>892</v>
      </c>
      <c r="AW509" s="0" t="s">
        <v>907</v>
      </c>
      <c r="AY509" s="0" t="s">
        <v>5543</v>
      </c>
      <c r="CJ509" s="0" t="s">
        <v>5544</v>
      </c>
      <c r="CO509" s="0" t="s">
        <v>5541</v>
      </c>
    </row>
    <row r="510" customFormat="false" ht="12.8" hidden="false" customHeight="false" outlineLevel="0" collapsed="false">
      <c r="A510" s="0" t="s">
        <v>880</v>
      </c>
      <c r="B510" s="0" t="s">
        <v>5545</v>
      </c>
      <c r="C510" s="0" t="s">
        <v>5546</v>
      </c>
      <c r="D510" s="0" t="s">
        <v>5547</v>
      </c>
      <c r="E510" s="0" t="s">
        <v>5548</v>
      </c>
      <c r="F510" s="0" t="s">
        <v>884</v>
      </c>
      <c r="G510" s="0" t="s">
        <v>5549</v>
      </c>
      <c r="L510" s="0" t="s">
        <v>5550</v>
      </c>
      <c r="U510" s="0" t="s">
        <v>5551</v>
      </c>
      <c r="V510" s="0" t="s">
        <v>5552</v>
      </c>
      <c r="AT510" s="0" t="s">
        <v>338</v>
      </c>
      <c r="AU510" s="0" t="s">
        <v>872</v>
      </c>
      <c r="BW510" s="0" t="s">
        <v>5553</v>
      </c>
      <c r="CJ510" s="0" t="s">
        <v>5554</v>
      </c>
      <c r="CO510" s="0" t="s">
        <v>5555</v>
      </c>
    </row>
    <row r="511" customFormat="false" ht="12.8" hidden="false" customHeight="false" outlineLevel="0" collapsed="false">
      <c r="A511" s="0" t="s">
        <v>445</v>
      </c>
      <c r="B511" s="0" t="s">
        <v>5556</v>
      </c>
      <c r="C511" s="0" t="s">
        <v>224</v>
      </c>
      <c r="D511" s="0" t="s">
        <v>225</v>
      </c>
      <c r="E511" s="0" t="s">
        <v>5557</v>
      </c>
      <c r="L511" s="0" t="str">
        <f aca="false">"1650"</f>
        <v>1650</v>
      </c>
      <c r="M511" s="0" t="s">
        <v>448</v>
      </c>
      <c r="O511" s="0" t="s">
        <v>5558</v>
      </c>
      <c r="R511" s="0" t="s">
        <v>5559</v>
      </c>
      <c r="T511" s="0" t="s">
        <v>4417</v>
      </c>
      <c r="Z511" s="0" t="s">
        <v>5560</v>
      </c>
      <c r="AS511" s="0" t="s">
        <v>5561</v>
      </c>
      <c r="AT511" s="0" t="s">
        <v>2601</v>
      </c>
      <c r="AU511" s="0" t="s">
        <v>892</v>
      </c>
      <c r="AY511" s="0" t="s">
        <v>5562</v>
      </c>
      <c r="AZ511" s="0" t="s">
        <v>5563</v>
      </c>
      <c r="BX511" s="0" t="s">
        <v>5564</v>
      </c>
      <c r="CB511" s="0" t="str">
        <f aca="false">"22.07.1650"</f>
        <v>22.07.1650</v>
      </c>
      <c r="CI511" s="0" t="s">
        <v>5564</v>
      </c>
    </row>
    <row r="512" customFormat="false" ht="12.8" hidden="false" customHeight="false" outlineLevel="0" collapsed="false">
      <c r="A512" s="0" t="s">
        <v>445</v>
      </c>
      <c r="B512" s="0" t="s">
        <v>5565</v>
      </c>
      <c r="C512" s="0" t="s">
        <v>1685</v>
      </c>
      <c r="D512" s="0" t="s">
        <v>1686</v>
      </c>
      <c r="E512" s="0" t="s">
        <v>5566</v>
      </c>
      <c r="L512" s="0" t="str">
        <f aca="false">"1650"</f>
        <v>1650</v>
      </c>
      <c r="M512" s="0" t="s">
        <v>448</v>
      </c>
      <c r="O512" s="0" t="s">
        <v>5567</v>
      </c>
      <c r="R512" s="0" t="s">
        <v>5568</v>
      </c>
      <c r="T512" s="0" t="s">
        <v>1911</v>
      </c>
      <c r="Z512" s="0" t="s">
        <v>5569</v>
      </c>
      <c r="AB512" s="0" t="s">
        <v>5570</v>
      </c>
      <c r="AC512" s="0" t="s">
        <v>5571</v>
      </c>
      <c r="AS512" s="0" t="s">
        <v>5572</v>
      </c>
      <c r="AT512" s="0" t="s">
        <v>2601</v>
      </c>
      <c r="AU512" s="0" t="s">
        <v>2457</v>
      </c>
      <c r="AY512" s="0" t="s">
        <v>5573</v>
      </c>
      <c r="AZ512" s="0" t="s">
        <v>5574</v>
      </c>
      <c r="BX512" s="0" t="s">
        <v>5575</v>
      </c>
      <c r="CB512" s="0" t="str">
        <f aca="false">"31.07.1650"</f>
        <v>31.07.1650</v>
      </c>
      <c r="CI512" s="0" t="s">
        <v>5575</v>
      </c>
    </row>
    <row r="513" customFormat="false" ht="65" hidden="false" customHeight="false" outlineLevel="0" collapsed="false">
      <c r="A513" s="0" t="s">
        <v>445</v>
      </c>
      <c r="B513" s="0" t="s">
        <v>5576</v>
      </c>
      <c r="C513" s="0" t="s">
        <v>2696</v>
      </c>
      <c r="D513" s="1" t="s">
        <v>2697</v>
      </c>
      <c r="E513" s="0" t="s">
        <v>5577</v>
      </c>
      <c r="L513" s="0" t="str">
        <f aca="false">"1650"</f>
        <v>1650</v>
      </c>
      <c r="M513" s="0" t="s">
        <v>448</v>
      </c>
      <c r="O513" s="1" t="s">
        <v>5578</v>
      </c>
      <c r="R513" s="0" t="s">
        <v>4615</v>
      </c>
      <c r="T513" s="0" t="s">
        <v>2869</v>
      </c>
      <c r="Z513" s="0" t="s">
        <v>5579</v>
      </c>
      <c r="AS513" s="0" t="s">
        <v>4680</v>
      </c>
      <c r="AT513" s="0" t="s">
        <v>2601</v>
      </c>
      <c r="AU513" s="0" t="s">
        <v>892</v>
      </c>
      <c r="AY513" s="0" t="s">
        <v>5580</v>
      </c>
      <c r="AZ513" s="0" t="s">
        <v>5581</v>
      </c>
      <c r="BC513" s="0" t="str">
        <f aca="false">"000255033"</f>
        <v>000255033</v>
      </c>
      <c r="BX513" s="0" t="s">
        <v>5582</v>
      </c>
      <c r="CI513" s="0" t="s">
        <v>5582</v>
      </c>
    </row>
    <row r="514" customFormat="false" ht="43.75" hidden="false" customHeight="false" outlineLevel="0" collapsed="false">
      <c r="A514" s="0" t="s">
        <v>445</v>
      </c>
      <c r="B514" s="0" t="s">
        <v>5583</v>
      </c>
      <c r="C514" s="0" t="s">
        <v>2696</v>
      </c>
      <c r="D514" s="1" t="s">
        <v>2697</v>
      </c>
      <c r="E514" s="0" t="s">
        <v>5584</v>
      </c>
      <c r="F514" s="0" t="s">
        <v>192</v>
      </c>
      <c r="H514" s="0" t="s">
        <v>102</v>
      </c>
      <c r="L514" s="0" t="str">
        <f aca="false">"1650"</f>
        <v>1650</v>
      </c>
      <c r="M514" s="1" t="s">
        <v>898</v>
      </c>
      <c r="O514" s="1" t="s">
        <v>5585</v>
      </c>
      <c r="T514" s="0" t="s">
        <v>1911</v>
      </c>
      <c r="Z514" s="0" t="s">
        <v>5586</v>
      </c>
      <c r="AB514" s="0" t="s">
        <v>5587</v>
      </c>
      <c r="AS514" s="0" t="s">
        <v>2721</v>
      </c>
      <c r="AT514" s="0" t="s">
        <v>2601</v>
      </c>
      <c r="AU514" s="0" t="s">
        <v>112</v>
      </c>
      <c r="AY514" s="0" t="s">
        <v>5588</v>
      </c>
      <c r="BC514" s="0" t="str">
        <f aca="false">"091910536"</f>
        <v>091910536</v>
      </c>
      <c r="BJ514" s="0" t="s">
        <v>118</v>
      </c>
      <c r="BX514" s="0" t="s">
        <v>5589</v>
      </c>
      <c r="CF514" s="1" t="s">
        <v>5590</v>
      </c>
      <c r="CG514" s="0" t="s">
        <v>123</v>
      </c>
      <c r="CH514" s="0" t="s">
        <v>298</v>
      </c>
      <c r="CI514" s="0" t="s">
        <v>5589</v>
      </c>
      <c r="CJ514" s="0" t="s">
        <v>5591</v>
      </c>
      <c r="CL514" s="0" t="s">
        <v>5592</v>
      </c>
      <c r="CM514" s="0" t="s">
        <v>5592</v>
      </c>
      <c r="CO514" s="0" t="s">
        <v>5593</v>
      </c>
      <c r="CR514" s="0" t="s">
        <v>5594</v>
      </c>
    </row>
    <row r="515" customFormat="false" ht="160.6" hidden="false" customHeight="false" outlineLevel="0" collapsed="false">
      <c r="A515" s="0" t="s">
        <v>445</v>
      </c>
      <c r="B515" s="0" t="s">
        <v>5595</v>
      </c>
      <c r="C515" s="0" t="s">
        <v>1685</v>
      </c>
      <c r="D515" s="0" t="s">
        <v>1686</v>
      </c>
      <c r="E515" s="0" t="s">
        <v>5596</v>
      </c>
      <c r="F515" s="0" t="s">
        <v>192</v>
      </c>
      <c r="H515" s="0" t="s">
        <v>102</v>
      </c>
      <c r="L515" s="0" t="str">
        <f aca="false">"1650"</f>
        <v>1650</v>
      </c>
      <c r="M515" s="0" t="s">
        <v>448</v>
      </c>
      <c r="O515" s="0" t="s">
        <v>5597</v>
      </c>
      <c r="R515" s="0" t="s">
        <v>5568</v>
      </c>
      <c r="T515" s="0" t="s">
        <v>1911</v>
      </c>
      <c r="U515" s="0" t="s">
        <v>5598</v>
      </c>
      <c r="Z515" s="0" t="s">
        <v>5599</v>
      </c>
      <c r="AB515" s="0" t="s">
        <v>5600</v>
      </c>
      <c r="AG515" s="0" t="s">
        <v>2696</v>
      </c>
      <c r="AH515" s="1" t="s">
        <v>2697</v>
      </c>
      <c r="AI515" s="0" t="s">
        <v>5601</v>
      </c>
      <c r="AJ515" s="0" t="s">
        <v>5602</v>
      </c>
      <c r="AS515" s="0" t="s">
        <v>5603</v>
      </c>
      <c r="AT515" s="0" t="s">
        <v>2601</v>
      </c>
      <c r="AU515" s="0" t="s">
        <v>112</v>
      </c>
      <c r="AY515" s="0" t="s">
        <v>5604</v>
      </c>
      <c r="AZ515" s="0" t="s">
        <v>5605</v>
      </c>
      <c r="BD515" s="0" t="s">
        <v>873</v>
      </c>
      <c r="BE515" s="0" t="s">
        <v>5606</v>
      </c>
      <c r="BJ515" s="0" t="s">
        <v>118</v>
      </c>
      <c r="BX515" s="0" t="s">
        <v>5607</v>
      </c>
      <c r="CC515" s="1" t="s">
        <v>5608</v>
      </c>
      <c r="CF515" s="0" t="s">
        <v>5609</v>
      </c>
      <c r="CG515" s="0" t="s">
        <v>123</v>
      </c>
      <c r="CH515" s="0" t="s">
        <v>454</v>
      </c>
      <c r="CI515" s="0" t="s">
        <v>5607</v>
      </c>
      <c r="CJ515" s="0" t="s">
        <v>5610</v>
      </c>
      <c r="CL515" s="0" t="s">
        <v>5611</v>
      </c>
      <c r="CM515" s="0" t="s">
        <v>5611</v>
      </c>
      <c r="CO515" s="0" t="s">
        <v>5612</v>
      </c>
      <c r="CR515" s="0" t="s">
        <v>5613</v>
      </c>
    </row>
    <row r="516" customFormat="false" ht="12.8" hidden="false" customHeight="false" outlineLevel="0" collapsed="false">
      <c r="A516" s="0" t="s">
        <v>445</v>
      </c>
      <c r="B516" s="0" t="s">
        <v>5614</v>
      </c>
      <c r="C516" s="0" t="s">
        <v>242</v>
      </c>
      <c r="D516" s="0" t="s">
        <v>243</v>
      </c>
      <c r="E516" s="0" t="s">
        <v>5615</v>
      </c>
      <c r="L516" s="0" t="str">
        <f aca="false">"1650"</f>
        <v>1650</v>
      </c>
      <c r="M516" s="0" t="s">
        <v>448</v>
      </c>
      <c r="O516" s="0" t="s">
        <v>5616</v>
      </c>
      <c r="R516" s="0" t="s">
        <v>5617</v>
      </c>
      <c r="T516" s="0" t="s">
        <v>243</v>
      </c>
      <c r="Z516" s="0" t="s">
        <v>5618</v>
      </c>
      <c r="AB516" s="0" t="s">
        <v>5619</v>
      </c>
      <c r="AC516" s="0" t="s">
        <v>5620</v>
      </c>
      <c r="AS516" s="0" t="s">
        <v>5621</v>
      </c>
      <c r="AT516" s="0" t="s">
        <v>2601</v>
      </c>
      <c r="AU516" s="0" t="s">
        <v>892</v>
      </c>
      <c r="AY516" s="0" t="s">
        <v>5622</v>
      </c>
      <c r="BX516" s="0" t="s">
        <v>5623</v>
      </c>
      <c r="CB516" s="0" t="str">
        <f aca="false">"22.07.1650"</f>
        <v>22.07.1650</v>
      </c>
      <c r="CI516" s="0" t="s">
        <v>5623</v>
      </c>
    </row>
    <row r="517" customFormat="false" ht="22.5" hidden="false" customHeight="false" outlineLevel="0" collapsed="false">
      <c r="A517" s="0" t="s">
        <v>445</v>
      </c>
      <c r="B517" s="0" t="s">
        <v>5624</v>
      </c>
      <c r="C517" s="0" t="s">
        <v>2696</v>
      </c>
      <c r="D517" s="1" t="s">
        <v>2697</v>
      </c>
      <c r="E517" s="0" t="s">
        <v>5625</v>
      </c>
      <c r="L517" s="0" t="str">
        <f aca="false">"1650"</f>
        <v>1650</v>
      </c>
      <c r="O517" s="1" t="s">
        <v>5626</v>
      </c>
      <c r="R517" s="0" t="s">
        <v>5627</v>
      </c>
      <c r="T517" s="0" t="s">
        <v>1346</v>
      </c>
      <c r="Z517" s="0" t="s">
        <v>5628</v>
      </c>
      <c r="AB517" s="0" t="s">
        <v>5629</v>
      </c>
      <c r="AS517" s="0" t="s">
        <v>5630</v>
      </c>
      <c r="AT517" s="0" t="s">
        <v>2601</v>
      </c>
      <c r="AU517" s="0" t="s">
        <v>892</v>
      </c>
      <c r="AY517" s="0" t="s">
        <v>5631</v>
      </c>
      <c r="BX517" s="0" t="s">
        <v>5632</v>
      </c>
      <c r="CI517" s="0" t="s">
        <v>5632</v>
      </c>
    </row>
    <row r="518" customFormat="false" ht="22.5" hidden="false" customHeight="false" outlineLevel="0" collapsed="false">
      <c r="A518" s="0" t="s">
        <v>445</v>
      </c>
      <c r="B518" s="0" t="s">
        <v>5633</v>
      </c>
      <c r="C518" s="0" t="s">
        <v>242</v>
      </c>
      <c r="D518" s="0" t="s">
        <v>243</v>
      </c>
      <c r="E518" s="0" t="s">
        <v>5634</v>
      </c>
      <c r="F518" s="0" t="s">
        <v>192</v>
      </c>
      <c r="H518" s="0" t="s">
        <v>102</v>
      </c>
      <c r="L518" s="0" t="str">
        <f aca="false">"1650"</f>
        <v>1650</v>
      </c>
      <c r="M518" s="1" t="s">
        <v>193</v>
      </c>
      <c r="O518" s="1" t="s">
        <v>5635</v>
      </c>
      <c r="T518" s="0" t="s">
        <v>4972</v>
      </c>
      <c r="Z518" s="0" t="s">
        <v>5636</v>
      </c>
      <c r="AB518" s="0" t="s">
        <v>5637</v>
      </c>
      <c r="AS518" s="0" t="s">
        <v>5638</v>
      </c>
      <c r="AT518" s="0" t="s">
        <v>2601</v>
      </c>
      <c r="AU518" s="0" t="s">
        <v>872</v>
      </c>
      <c r="AY518" s="0" t="s">
        <v>5639</v>
      </c>
      <c r="AZ518" s="0" t="s">
        <v>5640</v>
      </c>
      <c r="BD518" s="0" t="s">
        <v>1117</v>
      </c>
      <c r="BE518" s="0" t="s">
        <v>5641</v>
      </c>
      <c r="BJ518" s="0" t="s">
        <v>118</v>
      </c>
      <c r="BX518" s="0" t="s">
        <v>5642</v>
      </c>
      <c r="CC518" s="0" t="s">
        <v>5643</v>
      </c>
      <c r="CI518" s="0" t="s">
        <v>5642</v>
      </c>
      <c r="CJ518" s="0" t="s">
        <v>5644</v>
      </c>
      <c r="CO518" s="0" t="s">
        <v>5633</v>
      </c>
      <c r="CR518" s="0" t="s">
        <v>5645</v>
      </c>
    </row>
    <row r="519" customFormat="false" ht="12.8" hidden="false" customHeight="false" outlineLevel="0" collapsed="false">
      <c r="A519" s="0" t="s">
        <v>445</v>
      </c>
      <c r="B519" s="0" t="s">
        <v>5646</v>
      </c>
      <c r="C519" s="0" t="s">
        <v>224</v>
      </c>
      <c r="D519" s="0" t="s">
        <v>225</v>
      </c>
      <c r="E519" s="0" t="s">
        <v>5647</v>
      </c>
      <c r="L519" s="0" t="str">
        <f aca="false">"1650"</f>
        <v>1650</v>
      </c>
      <c r="M519" s="0" t="s">
        <v>448</v>
      </c>
      <c r="O519" s="0" t="s">
        <v>5648</v>
      </c>
      <c r="R519" s="0" t="s">
        <v>5649</v>
      </c>
      <c r="T519" s="0" t="s">
        <v>5650</v>
      </c>
      <c r="Z519" s="0" t="s">
        <v>5651</v>
      </c>
      <c r="AS519" s="0" t="s">
        <v>5652</v>
      </c>
      <c r="AT519" s="0" t="s">
        <v>2601</v>
      </c>
      <c r="AU519" s="0" t="s">
        <v>2457</v>
      </c>
      <c r="AY519" s="0" t="s">
        <v>5653</v>
      </c>
      <c r="AZ519" s="0" t="s">
        <v>5654</v>
      </c>
      <c r="BC519" s="0" t="str">
        <f aca="false">"535398530"</f>
        <v>535398530</v>
      </c>
      <c r="BX519" s="0" t="s">
        <v>5655</v>
      </c>
      <c r="CB519" s="0" t="str">
        <f aca="false">"13.08.1650"</f>
        <v>13.08.1650</v>
      </c>
      <c r="CI519" s="0" t="s">
        <v>5655</v>
      </c>
    </row>
    <row r="520" customFormat="false" ht="12.8" hidden="false" customHeight="false" outlineLevel="0" collapsed="false">
      <c r="A520" s="0" t="s">
        <v>445</v>
      </c>
      <c r="B520" s="0" t="s">
        <v>5656</v>
      </c>
      <c r="C520" s="0" t="s">
        <v>242</v>
      </c>
      <c r="D520" s="0" t="s">
        <v>243</v>
      </c>
      <c r="E520" s="0" t="s">
        <v>5657</v>
      </c>
      <c r="L520" s="0" t="str">
        <f aca="false">"1650"</f>
        <v>1650</v>
      </c>
      <c r="M520" s="0" t="s">
        <v>448</v>
      </c>
      <c r="O520" s="0" t="s">
        <v>5658</v>
      </c>
      <c r="T520" s="0" t="s">
        <v>5659</v>
      </c>
      <c r="Z520" s="0" t="s">
        <v>5660</v>
      </c>
      <c r="AB520" s="0" t="s">
        <v>5661</v>
      </c>
      <c r="AC520" s="0" t="s">
        <v>5662</v>
      </c>
      <c r="AS520" s="0" t="s">
        <v>5663</v>
      </c>
      <c r="AT520" s="0" t="s">
        <v>2601</v>
      </c>
      <c r="AU520" s="0" t="s">
        <v>2457</v>
      </c>
      <c r="AY520" s="0" t="s">
        <v>5664</v>
      </c>
      <c r="AZ520" s="0" t="s">
        <v>5665</v>
      </c>
      <c r="BC520" s="0" t="str">
        <f aca="false">"324249977"</f>
        <v>324249977</v>
      </c>
      <c r="BU520" s="0" t="s">
        <v>5666</v>
      </c>
      <c r="BX520" s="0" t="s">
        <v>5667</v>
      </c>
      <c r="CI520" s="0" t="s">
        <v>5667</v>
      </c>
    </row>
    <row r="521" customFormat="false" ht="22.5" hidden="false" customHeight="false" outlineLevel="0" collapsed="false">
      <c r="A521" s="0" t="s">
        <v>445</v>
      </c>
      <c r="B521" s="0" t="s">
        <v>5668</v>
      </c>
      <c r="C521" s="0" t="s">
        <v>2696</v>
      </c>
      <c r="D521" s="1" t="s">
        <v>2697</v>
      </c>
      <c r="L521" s="0" t="str">
        <f aca="false">"1650"</f>
        <v>1650</v>
      </c>
      <c r="M521" s="0" t="s">
        <v>448</v>
      </c>
      <c r="O521" s="0" t="s">
        <v>5669</v>
      </c>
      <c r="R521" s="0" t="s">
        <v>5670</v>
      </c>
      <c r="T521" s="0" t="s">
        <v>4104</v>
      </c>
      <c r="Z521" s="0" t="s">
        <v>5671</v>
      </c>
      <c r="AB521" s="0" t="s">
        <v>5672</v>
      </c>
      <c r="AC521" s="0" t="s">
        <v>5571</v>
      </c>
      <c r="AS521" s="0" t="s">
        <v>5673</v>
      </c>
      <c r="AT521" s="0" t="s">
        <v>2601</v>
      </c>
      <c r="AU521" s="0" t="s">
        <v>2457</v>
      </c>
      <c r="AY521" s="0" t="s">
        <v>5674</v>
      </c>
      <c r="AZ521" s="0" t="s">
        <v>5675</v>
      </c>
      <c r="BX521" s="0" t="s">
        <v>5676</v>
      </c>
      <c r="CB521" s="0" t="str">
        <f aca="false">"31.07.1650"</f>
        <v>31.07.1650</v>
      </c>
      <c r="CI521" s="0" t="s">
        <v>5676</v>
      </c>
    </row>
    <row r="522" customFormat="false" ht="33.1" hidden="false" customHeight="false" outlineLevel="0" collapsed="false">
      <c r="A522" s="0" t="s">
        <v>445</v>
      </c>
      <c r="B522" s="0" t="s">
        <v>5677</v>
      </c>
      <c r="C522" s="0" t="s">
        <v>224</v>
      </c>
      <c r="D522" s="0" t="s">
        <v>225</v>
      </c>
      <c r="E522" s="0" t="s">
        <v>5678</v>
      </c>
      <c r="F522" s="0" t="s">
        <v>192</v>
      </c>
      <c r="H522" s="0" t="s">
        <v>102</v>
      </c>
      <c r="L522" s="0" t="str">
        <f aca="false">"1650"</f>
        <v>1650</v>
      </c>
      <c r="M522" s="1" t="s">
        <v>5679</v>
      </c>
      <c r="O522" s="1" t="s">
        <v>5680</v>
      </c>
      <c r="T522" s="0" t="s">
        <v>1209</v>
      </c>
      <c r="Z522" s="0" t="s">
        <v>5681</v>
      </c>
      <c r="AB522" s="0" t="s">
        <v>5682</v>
      </c>
      <c r="AC522" s="0" t="s">
        <v>5683</v>
      </c>
      <c r="AS522" s="0" t="s">
        <v>5684</v>
      </c>
      <c r="AT522" s="0" t="s">
        <v>2601</v>
      </c>
      <c r="AU522" s="0" t="s">
        <v>872</v>
      </c>
      <c r="AY522" s="0" t="s">
        <v>5685</v>
      </c>
      <c r="AZ522" s="0" t="s">
        <v>5686</v>
      </c>
      <c r="BD522" s="0" t="s">
        <v>873</v>
      </c>
      <c r="BE522" s="0" t="s">
        <v>5687</v>
      </c>
      <c r="BJ522" s="0" t="s">
        <v>118</v>
      </c>
      <c r="BX522" s="0" t="s">
        <v>5688</v>
      </c>
      <c r="CI522" s="0" t="s">
        <v>5688</v>
      </c>
      <c r="CJ522" s="0" t="s">
        <v>5689</v>
      </c>
      <c r="CO522" s="0" t="s">
        <v>5677</v>
      </c>
      <c r="CR522" s="0" t="s">
        <v>5690</v>
      </c>
    </row>
    <row r="523" customFormat="false" ht="12.8" hidden="false" customHeight="false" outlineLevel="0" collapsed="false">
      <c r="A523" s="0" t="s">
        <v>445</v>
      </c>
      <c r="B523" s="0" t="s">
        <v>5691</v>
      </c>
      <c r="C523" s="0" t="s">
        <v>5692</v>
      </c>
      <c r="D523" s="0" t="s">
        <v>4972</v>
      </c>
      <c r="E523" s="0" t="s">
        <v>5693</v>
      </c>
      <c r="L523" s="0" t="str">
        <f aca="false">"1650"</f>
        <v>1650</v>
      </c>
      <c r="M523" s="0" t="s">
        <v>448</v>
      </c>
      <c r="O523" s="0" t="s">
        <v>5694</v>
      </c>
      <c r="R523" s="0" t="s">
        <v>5695</v>
      </c>
      <c r="T523" s="0" t="s">
        <v>4972</v>
      </c>
      <c r="Z523" s="0" t="s">
        <v>5696</v>
      </c>
      <c r="AC523" s="0" t="s">
        <v>5697</v>
      </c>
      <c r="AS523" s="0" t="s">
        <v>5698</v>
      </c>
      <c r="AT523" s="0" t="s">
        <v>2601</v>
      </c>
      <c r="AU523" s="0" t="s">
        <v>892</v>
      </c>
      <c r="AY523" s="0" t="s">
        <v>5699</v>
      </c>
      <c r="AZ523" s="0" t="s">
        <v>5700</v>
      </c>
      <c r="BC523" s="0" t="str">
        <f aca="false">"001227661"</f>
        <v>001227661</v>
      </c>
      <c r="CB523" s="0" t="str">
        <f aca="false">"22.07.1650"</f>
        <v>22.07.1650</v>
      </c>
    </row>
    <row r="524" customFormat="false" ht="22.5" hidden="false" customHeight="false" outlineLevel="0" collapsed="false">
      <c r="A524" s="0" t="s">
        <v>445</v>
      </c>
      <c r="B524" s="0" t="s">
        <v>5701</v>
      </c>
      <c r="C524" s="0" t="s">
        <v>1429</v>
      </c>
      <c r="D524" s="0" t="s">
        <v>99</v>
      </c>
      <c r="E524" s="0" t="s">
        <v>5702</v>
      </c>
      <c r="L524" s="0" t="str">
        <f aca="false">"1650"</f>
        <v>1650</v>
      </c>
      <c r="M524" s="0" t="s">
        <v>448</v>
      </c>
      <c r="O524" s="0" t="s">
        <v>5703</v>
      </c>
      <c r="R524" s="1" t="s">
        <v>5704</v>
      </c>
      <c r="T524" s="1" t="s">
        <v>5705</v>
      </c>
      <c r="Z524" s="0" t="s">
        <v>5706</v>
      </c>
      <c r="AG524" s="0" t="s">
        <v>4766</v>
      </c>
      <c r="AH524" s="0" t="s">
        <v>247</v>
      </c>
      <c r="AI524" s="0" t="s">
        <v>5707</v>
      </c>
      <c r="AM524" s="0" t="s">
        <v>5708</v>
      </c>
      <c r="AS524" s="0" t="s">
        <v>5709</v>
      </c>
      <c r="AT524" s="0" t="s">
        <v>2601</v>
      </c>
      <c r="AU524" s="0" t="s">
        <v>892</v>
      </c>
      <c r="AY524" s="0" t="s">
        <v>5710</v>
      </c>
      <c r="BX524" s="0" t="s">
        <v>5711</v>
      </c>
      <c r="CI524" s="0" t="s">
        <v>5711</v>
      </c>
    </row>
    <row r="525" customFormat="false" ht="22.5" hidden="false" customHeight="false" outlineLevel="0" collapsed="false">
      <c r="A525" s="0" t="s">
        <v>445</v>
      </c>
      <c r="B525" s="0" t="s">
        <v>5712</v>
      </c>
      <c r="C525" s="0" t="s">
        <v>895</v>
      </c>
      <c r="D525" s="0" t="s">
        <v>896</v>
      </c>
      <c r="E525" s="0" t="s">
        <v>5713</v>
      </c>
      <c r="F525" s="0" t="s">
        <v>192</v>
      </c>
      <c r="H525" s="0" t="s">
        <v>102</v>
      </c>
      <c r="L525" s="0" t="str">
        <f aca="false">"1650"</f>
        <v>1650</v>
      </c>
      <c r="M525" s="1" t="s">
        <v>193</v>
      </c>
      <c r="O525" s="1" t="s">
        <v>5714</v>
      </c>
      <c r="T525" s="0" t="s">
        <v>1911</v>
      </c>
      <c r="Z525" s="0" t="s">
        <v>5715</v>
      </c>
      <c r="AP525" s="0" t="s">
        <v>5716</v>
      </c>
      <c r="AQ525" s="0" t="s">
        <v>5717</v>
      </c>
      <c r="AT525" s="0" t="s">
        <v>2601</v>
      </c>
      <c r="AU525" s="0" t="s">
        <v>872</v>
      </c>
      <c r="AY525" s="0" t="s">
        <v>5718</v>
      </c>
      <c r="AZ525" s="0" t="s">
        <v>5719</v>
      </c>
      <c r="BX525" s="0" t="s">
        <v>5720</v>
      </c>
      <c r="CI525" s="0" t="s">
        <v>5720</v>
      </c>
      <c r="CJ525" s="0" t="s">
        <v>5721</v>
      </c>
      <c r="CO525" s="0" t="s">
        <v>5712</v>
      </c>
      <c r="CR525" s="0" t="s">
        <v>5722</v>
      </c>
    </row>
    <row r="526" customFormat="false" ht="12.8" hidden="false" customHeight="false" outlineLevel="0" collapsed="false">
      <c r="A526" s="0" t="s">
        <v>445</v>
      </c>
      <c r="B526" s="0" t="s">
        <v>5716</v>
      </c>
      <c r="C526" s="0" t="s">
        <v>895</v>
      </c>
      <c r="D526" s="0" t="s">
        <v>896</v>
      </c>
      <c r="E526" s="0" t="s">
        <v>5723</v>
      </c>
      <c r="F526" s="0" t="s">
        <v>192</v>
      </c>
      <c r="H526" s="0" t="s">
        <v>102</v>
      </c>
      <c r="L526" s="0" t="str">
        <f aca="false">"1707"</f>
        <v>1707</v>
      </c>
      <c r="M526" s="0" t="s">
        <v>715</v>
      </c>
      <c r="O526" s="0" t="s">
        <v>5724</v>
      </c>
      <c r="T526" s="0" t="s">
        <v>1881</v>
      </c>
      <c r="AA526" s="0" t="str">
        <f aca="false">"90500814"</f>
        <v>90500814</v>
      </c>
      <c r="AB526" s="0" t="s">
        <v>5725</v>
      </c>
      <c r="AT526" s="0" t="s">
        <v>2601</v>
      </c>
      <c r="AU526" s="0" t="s">
        <v>872</v>
      </c>
      <c r="AY526" s="0" t="s">
        <v>5726</v>
      </c>
      <c r="BC526" s="0" t="s">
        <v>5727</v>
      </c>
      <c r="BD526" s="0" t="s">
        <v>873</v>
      </c>
      <c r="BE526" s="0" t="s">
        <v>5728</v>
      </c>
      <c r="BJ526" s="0" t="s">
        <v>118</v>
      </c>
      <c r="CP526" s="0" t="s">
        <v>5729</v>
      </c>
    </row>
    <row r="527" customFormat="false" ht="107.5" hidden="false" customHeight="false" outlineLevel="0" collapsed="false">
      <c r="A527" s="0" t="s">
        <v>445</v>
      </c>
      <c r="B527" s="0" t="s">
        <v>5730</v>
      </c>
      <c r="C527" s="0" t="s">
        <v>224</v>
      </c>
      <c r="D527" s="0" t="s">
        <v>225</v>
      </c>
      <c r="E527" s="0" t="s">
        <v>5731</v>
      </c>
      <c r="L527" s="0" t="str">
        <f aca="false">"1650"</f>
        <v>1650</v>
      </c>
      <c r="O527" s="1" t="s">
        <v>5732</v>
      </c>
      <c r="R527" s="0" t="s">
        <v>5733</v>
      </c>
      <c r="T527" s="0" t="s">
        <v>3165</v>
      </c>
      <c r="Z527" s="0" t="s">
        <v>5734</v>
      </c>
      <c r="AG527" s="0" t="s">
        <v>4766</v>
      </c>
      <c r="AH527" s="0" t="s">
        <v>247</v>
      </c>
      <c r="AI527" s="0" t="s">
        <v>5735</v>
      </c>
      <c r="AM527" s="0" t="s">
        <v>5736</v>
      </c>
      <c r="AS527" s="0" t="s">
        <v>5737</v>
      </c>
      <c r="AT527" s="0" t="s">
        <v>2601</v>
      </c>
      <c r="AU527" s="0" t="s">
        <v>892</v>
      </c>
      <c r="AY527" s="0" t="s">
        <v>5738</v>
      </c>
      <c r="AZ527" s="0" t="s">
        <v>5739</v>
      </c>
      <c r="BX527" s="1" t="s">
        <v>5740</v>
      </c>
      <c r="CI527" s="1" t="s">
        <v>5740</v>
      </c>
    </row>
    <row r="528" customFormat="false" ht="33.1" hidden="false" customHeight="false" outlineLevel="0" collapsed="false">
      <c r="A528" s="0" t="s">
        <v>445</v>
      </c>
      <c r="B528" s="0" t="s">
        <v>5741</v>
      </c>
      <c r="C528" s="0" t="s">
        <v>242</v>
      </c>
      <c r="D528" s="0" t="s">
        <v>243</v>
      </c>
      <c r="E528" s="0" t="s">
        <v>5742</v>
      </c>
      <c r="F528" s="0" t="s">
        <v>192</v>
      </c>
      <c r="H528" s="0" t="s">
        <v>102</v>
      </c>
      <c r="L528" s="0" t="str">
        <f aca="false">"1650"</f>
        <v>1650</v>
      </c>
      <c r="M528" s="1" t="s">
        <v>898</v>
      </c>
      <c r="O528" s="1" t="s">
        <v>5743</v>
      </c>
      <c r="T528" s="0" t="s">
        <v>1686</v>
      </c>
      <c r="Z528" s="0" t="s">
        <v>5744</v>
      </c>
      <c r="AB528" s="0" t="s">
        <v>5745</v>
      </c>
      <c r="AS528" s="0" t="s">
        <v>5561</v>
      </c>
      <c r="AT528" s="0" t="s">
        <v>2601</v>
      </c>
      <c r="AU528" s="0" t="s">
        <v>872</v>
      </c>
      <c r="AY528" s="0" t="s">
        <v>5746</v>
      </c>
      <c r="AZ528" s="0" t="s">
        <v>5747</v>
      </c>
      <c r="BC528" s="0" t="str">
        <f aca="false">"333745914"</f>
        <v>333745914</v>
      </c>
      <c r="BD528" s="0" t="s">
        <v>873</v>
      </c>
      <c r="BE528" s="0" t="s">
        <v>5748</v>
      </c>
      <c r="BJ528" s="0" t="s">
        <v>118</v>
      </c>
      <c r="BV528" s="0" t="s">
        <v>5749</v>
      </c>
      <c r="BX528" s="0" t="s">
        <v>5750</v>
      </c>
      <c r="CI528" s="0" t="s">
        <v>5750</v>
      </c>
      <c r="CJ528" s="0" t="s">
        <v>5751</v>
      </c>
      <c r="CO528" s="0" t="s">
        <v>5752</v>
      </c>
      <c r="CR528" s="0" t="s">
        <v>5753</v>
      </c>
    </row>
    <row r="529" customFormat="false" ht="12.8" hidden="false" customHeight="false" outlineLevel="0" collapsed="false">
      <c r="A529" s="0" t="s">
        <v>445</v>
      </c>
      <c r="B529" s="0" t="s">
        <v>5754</v>
      </c>
      <c r="C529" s="0" t="s">
        <v>397</v>
      </c>
      <c r="D529" s="0" t="s">
        <v>398</v>
      </c>
      <c r="E529" s="0" t="s">
        <v>5755</v>
      </c>
      <c r="L529" s="0" t="str">
        <f aca="false">"1650"</f>
        <v>1650</v>
      </c>
      <c r="M529" s="0" t="s">
        <v>448</v>
      </c>
      <c r="O529" s="0" t="s">
        <v>5756</v>
      </c>
      <c r="R529" s="0" t="s">
        <v>5757</v>
      </c>
      <c r="T529" s="0" t="s">
        <v>398</v>
      </c>
      <c r="Z529" s="0" t="s">
        <v>5758</v>
      </c>
      <c r="AB529" s="0" t="s">
        <v>5759</v>
      </c>
      <c r="AC529" s="0" t="s">
        <v>5760</v>
      </c>
      <c r="AS529" s="0" t="s">
        <v>5761</v>
      </c>
      <c r="AT529" s="0" t="s">
        <v>2601</v>
      </c>
      <c r="AU529" s="0" t="s">
        <v>2457</v>
      </c>
      <c r="AY529" s="0" t="s">
        <v>5762</v>
      </c>
      <c r="AZ529" s="0" t="s">
        <v>5763</v>
      </c>
      <c r="BC529" s="0" t="str">
        <f aca="false">"535941102"</f>
        <v>535941102</v>
      </c>
      <c r="BX529" s="0" t="s">
        <v>5764</v>
      </c>
      <c r="CB529" s="0" t="str">
        <f aca="false">"06.11.1650"</f>
        <v>06.11.1650</v>
      </c>
      <c r="CI529" s="0" t="s">
        <v>5764</v>
      </c>
    </row>
    <row r="530" customFormat="false" ht="33.1" hidden="false" customHeight="false" outlineLevel="0" collapsed="false">
      <c r="A530" s="0" t="s">
        <v>445</v>
      </c>
      <c r="B530" s="0" t="s">
        <v>5765</v>
      </c>
      <c r="C530" s="0" t="s">
        <v>2696</v>
      </c>
      <c r="D530" s="1" t="s">
        <v>2697</v>
      </c>
      <c r="L530" s="0" t="str">
        <f aca="false">"1650"</f>
        <v>1650</v>
      </c>
      <c r="O530" s="1" t="s">
        <v>5766</v>
      </c>
      <c r="R530" s="0" t="s">
        <v>5767</v>
      </c>
      <c r="T530" s="0" t="s">
        <v>4104</v>
      </c>
      <c r="Z530" s="0" t="s">
        <v>5768</v>
      </c>
      <c r="AB530" s="0" t="s">
        <v>5769</v>
      </c>
      <c r="AC530" s="0" t="s">
        <v>5770</v>
      </c>
      <c r="AS530" s="0" t="s">
        <v>5771</v>
      </c>
      <c r="AT530" s="0" t="s">
        <v>2601</v>
      </c>
      <c r="AU530" s="0" t="s">
        <v>892</v>
      </c>
      <c r="AY530" s="0" t="s">
        <v>5772</v>
      </c>
      <c r="AZ530" s="0" t="s">
        <v>5773</v>
      </c>
      <c r="BU530" s="0" t="s">
        <v>5774</v>
      </c>
      <c r="BX530" s="0" t="s">
        <v>5775</v>
      </c>
      <c r="CB530" s="0" t="str">
        <f aca="false">"25.07.1650"</f>
        <v>25.07.1650</v>
      </c>
      <c r="CI530" s="0" t="s">
        <v>5775</v>
      </c>
      <c r="CO530" s="0" t="s">
        <v>5776</v>
      </c>
    </row>
    <row r="531" customFormat="false" ht="22.5" hidden="false" customHeight="false" outlineLevel="0" collapsed="false">
      <c r="A531" s="0" t="s">
        <v>445</v>
      </c>
      <c r="B531" s="0" t="s">
        <v>5777</v>
      </c>
      <c r="C531" s="0" t="s">
        <v>242</v>
      </c>
      <c r="D531" s="0" t="s">
        <v>243</v>
      </c>
      <c r="E531" s="0" t="s">
        <v>5778</v>
      </c>
      <c r="F531" s="0" t="s">
        <v>192</v>
      </c>
      <c r="H531" s="0" t="s">
        <v>102</v>
      </c>
      <c r="L531" s="0" t="str">
        <f aca="false">"1650"</f>
        <v>1650</v>
      </c>
      <c r="M531" s="1" t="s">
        <v>898</v>
      </c>
      <c r="O531" s="1" t="s">
        <v>5779</v>
      </c>
      <c r="T531" s="0" t="s">
        <v>4417</v>
      </c>
      <c r="Z531" s="0" t="s">
        <v>5780</v>
      </c>
      <c r="AB531" s="0" t="s">
        <v>5781</v>
      </c>
      <c r="AS531" s="0" t="s">
        <v>1116</v>
      </c>
      <c r="AT531" s="0" t="s">
        <v>3623</v>
      </c>
      <c r="AU531" s="0" t="s">
        <v>872</v>
      </c>
      <c r="AY531" s="0" t="s">
        <v>5782</v>
      </c>
      <c r="AZ531" s="0" t="s">
        <v>5783</v>
      </c>
      <c r="BD531" s="0" t="s">
        <v>873</v>
      </c>
      <c r="BE531" s="0" t="s">
        <v>5784</v>
      </c>
      <c r="BJ531" s="0" t="s">
        <v>118</v>
      </c>
      <c r="BX531" s="1" t="s">
        <v>5785</v>
      </c>
      <c r="CA531" s="0" t="s">
        <v>2853</v>
      </c>
      <c r="CC531" s="0" t="s">
        <v>5786</v>
      </c>
      <c r="CI531" s="1" t="s">
        <v>5785</v>
      </c>
      <c r="CJ531" s="0" t="s">
        <v>5787</v>
      </c>
      <c r="CO531" s="0" t="s">
        <v>5788</v>
      </c>
      <c r="CR531" s="0" t="s">
        <v>5789</v>
      </c>
    </row>
    <row r="532" customFormat="false" ht="12.8" hidden="false" customHeight="false" outlineLevel="0" collapsed="false">
      <c r="A532" s="0" t="s">
        <v>445</v>
      </c>
      <c r="B532" s="0" t="s">
        <v>5790</v>
      </c>
      <c r="C532" s="0" t="s">
        <v>5791</v>
      </c>
      <c r="D532" s="0" t="s">
        <v>1150</v>
      </c>
      <c r="E532" s="0" t="s">
        <v>5792</v>
      </c>
      <c r="L532" s="0" t="str">
        <f aca="false">"1650"</f>
        <v>1650</v>
      </c>
      <c r="M532" s="0" t="s">
        <v>1993</v>
      </c>
      <c r="O532" s="0" t="s">
        <v>5793</v>
      </c>
      <c r="R532" s="0" t="s">
        <v>5794</v>
      </c>
      <c r="T532" s="0" t="s">
        <v>1150</v>
      </c>
      <c r="AC532" s="0" t="s">
        <v>5795</v>
      </c>
      <c r="AT532" s="0" t="s">
        <v>2601</v>
      </c>
      <c r="AU532" s="0" t="s">
        <v>2457</v>
      </c>
      <c r="AY532" s="0" t="s">
        <v>5796</v>
      </c>
      <c r="AZ532" s="0" t="s">
        <v>5797</v>
      </c>
      <c r="CB532" s="0" t="str">
        <f aca="false">"05.09.1650"</f>
        <v>05.09.1650</v>
      </c>
      <c r="CC532" s="0" t="s">
        <v>5798</v>
      </c>
    </row>
    <row r="533" customFormat="false" ht="12.8" hidden="false" customHeight="false" outlineLevel="0" collapsed="false">
      <c r="A533" s="0" t="s">
        <v>445</v>
      </c>
      <c r="B533" s="0" t="s">
        <v>5799</v>
      </c>
      <c r="C533" s="0" t="s">
        <v>242</v>
      </c>
      <c r="D533" s="0" t="s">
        <v>243</v>
      </c>
      <c r="E533" s="0" t="s">
        <v>5800</v>
      </c>
      <c r="K533" s="0" t="s">
        <v>5801</v>
      </c>
      <c r="L533" s="0" t="str">
        <f aca="false">"1650"</f>
        <v>1650</v>
      </c>
      <c r="M533" s="0" t="s">
        <v>448</v>
      </c>
      <c r="O533" s="0" t="s">
        <v>5802</v>
      </c>
      <c r="R533" s="0" t="s">
        <v>4842</v>
      </c>
      <c r="T533" s="0" t="s">
        <v>243</v>
      </c>
      <c r="Z533" s="0" t="s">
        <v>5803</v>
      </c>
      <c r="AB533" s="0" t="s">
        <v>5804</v>
      </c>
      <c r="AS533" s="0" t="s">
        <v>4227</v>
      </c>
      <c r="AT533" s="0" t="s">
        <v>2601</v>
      </c>
      <c r="AU533" s="0" t="s">
        <v>2457</v>
      </c>
      <c r="AY533" s="0" t="s">
        <v>5805</v>
      </c>
      <c r="AZ533" s="0" t="s">
        <v>5806</v>
      </c>
      <c r="BX533" s="0" t="s">
        <v>5807</v>
      </c>
      <c r="CB533" s="0" t="str">
        <f aca="false">"22.07.1650"</f>
        <v>22.07.1650</v>
      </c>
      <c r="CI533" s="0" t="s">
        <v>5807</v>
      </c>
      <c r="CJ533" s="0" t="s">
        <v>5808</v>
      </c>
      <c r="CO533" s="0" t="s">
        <v>5809</v>
      </c>
    </row>
    <row r="534" customFormat="false" ht="22.5" hidden="false" customHeight="false" outlineLevel="0" collapsed="false">
      <c r="A534" s="0" t="s">
        <v>445</v>
      </c>
      <c r="B534" s="0" t="s">
        <v>5810</v>
      </c>
      <c r="C534" s="0" t="s">
        <v>242</v>
      </c>
      <c r="D534" s="0" t="s">
        <v>243</v>
      </c>
      <c r="E534" s="0" t="s">
        <v>5811</v>
      </c>
      <c r="F534" s="0" t="s">
        <v>192</v>
      </c>
      <c r="H534" s="0" t="s">
        <v>102</v>
      </c>
      <c r="L534" s="0" t="str">
        <f aca="false">"1650"</f>
        <v>1650</v>
      </c>
      <c r="M534" s="1" t="s">
        <v>193</v>
      </c>
      <c r="O534" s="1" t="s">
        <v>5812</v>
      </c>
      <c r="T534" s="0" t="s">
        <v>1150</v>
      </c>
      <c r="Z534" s="0" t="s">
        <v>5813</v>
      </c>
      <c r="AB534" s="0" t="s">
        <v>5814</v>
      </c>
      <c r="AS534" s="0" t="s">
        <v>4882</v>
      </c>
      <c r="AT534" s="0" t="s">
        <v>2601</v>
      </c>
      <c r="AU534" s="0" t="s">
        <v>112</v>
      </c>
      <c r="AY534" s="0" t="s">
        <v>5815</v>
      </c>
      <c r="AZ534" s="0" t="s">
        <v>5816</v>
      </c>
      <c r="BD534" s="0" t="s">
        <v>873</v>
      </c>
      <c r="BE534" s="0" t="s">
        <v>5817</v>
      </c>
      <c r="BJ534" s="0" t="s">
        <v>118</v>
      </c>
      <c r="BX534" s="1" t="s">
        <v>5818</v>
      </c>
      <c r="CF534" s="0" t="s">
        <v>5819</v>
      </c>
      <c r="CG534" s="0" t="s">
        <v>123</v>
      </c>
      <c r="CH534" s="0" t="s">
        <v>625</v>
      </c>
      <c r="CI534" s="1" t="s">
        <v>5818</v>
      </c>
      <c r="CJ534" s="0" t="s">
        <v>5820</v>
      </c>
      <c r="CL534" s="0" t="s">
        <v>5821</v>
      </c>
      <c r="CM534" s="0" t="s">
        <v>5821</v>
      </c>
      <c r="CO534" s="0" t="s">
        <v>5822</v>
      </c>
      <c r="CR534" s="0" t="s">
        <v>5823</v>
      </c>
    </row>
    <row r="535" customFormat="false" ht="12.8" hidden="false" customHeight="false" outlineLevel="0" collapsed="false">
      <c r="A535" s="0" t="s">
        <v>445</v>
      </c>
      <c r="B535" s="0" t="s">
        <v>5824</v>
      </c>
      <c r="C535" s="0" t="s">
        <v>1685</v>
      </c>
      <c r="D535" s="0" t="s">
        <v>1686</v>
      </c>
      <c r="E535" s="0" t="s">
        <v>5825</v>
      </c>
      <c r="L535" s="0" t="str">
        <f aca="false">"1650"</f>
        <v>1650</v>
      </c>
      <c r="M535" s="0" t="s">
        <v>448</v>
      </c>
      <c r="O535" s="0" t="s">
        <v>5826</v>
      </c>
      <c r="R535" s="0" t="s">
        <v>5827</v>
      </c>
      <c r="T535" s="0" t="s">
        <v>1209</v>
      </c>
      <c r="Z535" s="0" t="s">
        <v>5828</v>
      </c>
      <c r="AB535" s="0" t="s">
        <v>5829</v>
      </c>
      <c r="AC535" s="0" t="s">
        <v>5830</v>
      </c>
      <c r="AS535" s="0" t="s">
        <v>5831</v>
      </c>
      <c r="AT535" s="0" t="s">
        <v>2601</v>
      </c>
      <c r="AU535" s="0" t="s">
        <v>2457</v>
      </c>
      <c r="AY535" s="0" t="s">
        <v>5832</v>
      </c>
      <c r="BX535" s="0" t="s">
        <v>5833</v>
      </c>
      <c r="CB535" s="0" t="str">
        <f aca="false">"30.07.1650"</f>
        <v>30.07.1650</v>
      </c>
      <c r="CI535" s="0" t="s">
        <v>5833</v>
      </c>
    </row>
    <row r="536" customFormat="false" ht="22.5" hidden="false" customHeight="false" outlineLevel="0" collapsed="false">
      <c r="A536" s="0" t="s">
        <v>445</v>
      </c>
      <c r="B536" s="0" t="s">
        <v>5834</v>
      </c>
      <c r="C536" s="0" t="s">
        <v>1213</v>
      </c>
      <c r="D536" s="0" t="s">
        <v>1214</v>
      </c>
      <c r="E536" s="0" t="s">
        <v>5835</v>
      </c>
      <c r="L536" s="0" t="str">
        <f aca="false">"1650"</f>
        <v>1650</v>
      </c>
      <c r="M536" s="0" t="s">
        <v>448</v>
      </c>
      <c r="O536" s="0" t="s">
        <v>5008</v>
      </c>
      <c r="R536" s="0" t="s">
        <v>4697</v>
      </c>
      <c r="T536" s="0" t="s">
        <v>99</v>
      </c>
      <c r="Z536" s="0" t="s">
        <v>5836</v>
      </c>
      <c r="AS536" s="0" t="s">
        <v>5837</v>
      </c>
      <c r="AT536" s="0" t="s">
        <v>2601</v>
      </c>
      <c r="AU536" s="0" t="s">
        <v>2457</v>
      </c>
      <c r="AY536" s="0" t="s">
        <v>5838</v>
      </c>
      <c r="BX536" s="1" t="s">
        <v>5839</v>
      </c>
      <c r="CB536" s="0" t="str">
        <f aca="false">"19.06.1650"</f>
        <v>19.06.1650</v>
      </c>
      <c r="CI536" s="1" t="s">
        <v>5839</v>
      </c>
    </row>
    <row r="537" customFormat="false" ht="33.1" hidden="false" customHeight="false" outlineLevel="0" collapsed="false">
      <c r="A537" s="0" t="s">
        <v>445</v>
      </c>
      <c r="B537" s="0" t="s">
        <v>5840</v>
      </c>
      <c r="C537" s="0" t="s">
        <v>224</v>
      </c>
      <c r="D537" s="0" t="s">
        <v>225</v>
      </c>
      <c r="E537" s="0" t="s">
        <v>5841</v>
      </c>
      <c r="F537" s="0" t="s">
        <v>192</v>
      </c>
      <c r="H537" s="0" t="s">
        <v>102</v>
      </c>
      <c r="L537" s="0" t="str">
        <f aca="false">"1650"</f>
        <v>1650</v>
      </c>
      <c r="M537" s="1" t="s">
        <v>5679</v>
      </c>
      <c r="O537" s="1" t="s">
        <v>5842</v>
      </c>
      <c r="T537" s="0" t="s">
        <v>1209</v>
      </c>
      <c r="Z537" s="0" t="s">
        <v>5843</v>
      </c>
      <c r="AB537" s="0" t="s">
        <v>5844</v>
      </c>
      <c r="AS537" s="0" t="s">
        <v>5845</v>
      </c>
      <c r="AT537" s="0" t="s">
        <v>2601</v>
      </c>
      <c r="AU537" s="0" t="s">
        <v>872</v>
      </c>
      <c r="AY537" s="0" t="s">
        <v>5846</v>
      </c>
      <c r="BD537" s="0" t="s">
        <v>873</v>
      </c>
      <c r="BE537" s="0" t="s">
        <v>5847</v>
      </c>
      <c r="BJ537" s="0" t="s">
        <v>118</v>
      </c>
      <c r="BX537" s="0" t="s">
        <v>5848</v>
      </c>
      <c r="CC537" s="0" t="s">
        <v>5849</v>
      </c>
      <c r="CI537" s="0" t="s">
        <v>5848</v>
      </c>
      <c r="CJ537" s="0" t="s">
        <v>5850</v>
      </c>
      <c r="CO537" s="0" t="s">
        <v>5840</v>
      </c>
      <c r="CR537" s="0" t="s">
        <v>5851</v>
      </c>
    </row>
    <row r="538" customFormat="false" ht="33.1" hidden="false" customHeight="false" outlineLevel="0" collapsed="false">
      <c r="A538" s="0" t="s">
        <v>445</v>
      </c>
      <c r="B538" s="0" t="s">
        <v>5852</v>
      </c>
      <c r="C538" s="0" t="s">
        <v>5853</v>
      </c>
      <c r="D538" s="0" t="s">
        <v>3198</v>
      </c>
      <c r="E538" s="0" t="s">
        <v>5854</v>
      </c>
      <c r="F538" s="0" t="s">
        <v>192</v>
      </c>
      <c r="H538" s="0" t="s">
        <v>102</v>
      </c>
      <c r="L538" s="0" t="str">
        <f aca="false">"1650"</f>
        <v>1650</v>
      </c>
      <c r="M538" s="1" t="s">
        <v>1414</v>
      </c>
      <c r="O538" s="1" t="s">
        <v>5855</v>
      </c>
      <c r="T538" s="0" t="s">
        <v>1346</v>
      </c>
      <c r="Z538" s="0" t="s">
        <v>5856</v>
      </c>
      <c r="AB538" s="0" t="s">
        <v>5857</v>
      </c>
      <c r="AS538" s="0" t="s">
        <v>5858</v>
      </c>
      <c r="AT538" s="0" t="s">
        <v>2601</v>
      </c>
      <c r="AU538" s="0" t="s">
        <v>872</v>
      </c>
      <c r="AY538" s="0" t="s">
        <v>5859</v>
      </c>
      <c r="BD538" s="0" t="s">
        <v>873</v>
      </c>
      <c r="BE538" s="0" t="s">
        <v>5860</v>
      </c>
      <c r="BJ538" s="0" t="s">
        <v>118</v>
      </c>
      <c r="BX538" s="0" t="s">
        <v>5861</v>
      </c>
      <c r="CC538" s="1" t="s">
        <v>5862</v>
      </c>
      <c r="CI538" s="0" t="s">
        <v>5861</v>
      </c>
      <c r="CJ538" s="0" t="s">
        <v>5863</v>
      </c>
      <c r="CO538" s="0" t="s">
        <v>5852</v>
      </c>
      <c r="CR538" s="0" t="s">
        <v>5864</v>
      </c>
    </row>
    <row r="539" customFormat="false" ht="43.75" hidden="false" customHeight="false" outlineLevel="0" collapsed="false">
      <c r="A539" s="0" t="s">
        <v>445</v>
      </c>
      <c r="B539" s="0" t="s">
        <v>5865</v>
      </c>
      <c r="C539" s="0" t="s">
        <v>1685</v>
      </c>
      <c r="D539" s="0" t="s">
        <v>1686</v>
      </c>
      <c r="E539" s="0" t="s">
        <v>5866</v>
      </c>
      <c r="F539" s="0" t="s">
        <v>192</v>
      </c>
      <c r="H539" s="0" t="s">
        <v>102</v>
      </c>
      <c r="L539" s="0" t="str">
        <f aca="false">"1650"</f>
        <v>1650</v>
      </c>
      <c r="M539" s="1" t="s">
        <v>898</v>
      </c>
      <c r="O539" s="1" t="s">
        <v>5867</v>
      </c>
      <c r="T539" s="0" t="s">
        <v>4104</v>
      </c>
      <c r="Z539" s="0" t="s">
        <v>5868</v>
      </c>
      <c r="AB539" s="0" t="s">
        <v>5869</v>
      </c>
      <c r="AS539" s="0" t="s">
        <v>5870</v>
      </c>
      <c r="AT539" s="0" t="s">
        <v>2601</v>
      </c>
      <c r="AU539" s="0" t="s">
        <v>112</v>
      </c>
      <c r="AY539" s="0" t="s">
        <v>5871</v>
      </c>
      <c r="AZ539" s="0" t="s">
        <v>5872</v>
      </c>
      <c r="BC539" s="0" t="str">
        <f aca="false">"092326390"</f>
        <v>092326390</v>
      </c>
      <c r="BD539" s="0" t="s">
        <v>873</v>
      </c>
      <c r="BE539" s="0" t="s">
        <v>5873</v>
      </c>
      <c r="BJ539" s="0" t="s">
        <v>118</v>
      </c>
      <c r="BX539" s="0" t="s">
        <v>5874</v>
      </c>
      <c r="CF539" s="1" t="s">
        <v>5875</v>
      </c>
      <c r="CG539" s="0" t="s">
        <v>123</v>
      </c>
      <c r="CH539" s="0" t="s">
        <v>298</v>
      </c>
      <c r="CI539" s="0" t="s">
        <v>5874</v>
      </c>
      <c r="CJ539" s="0" t="s">
        <v>5876</v>
      </c>
      <c r="CL539" s="0" t="s">
        <v>5877</v>
      </c>
      <c r="CM539" s="0" t="s">
        <v>5877</v>
      </c>
      <c r="CO539" s="0" t="s">
        <v>5865</v>
      </c>
      <c r="CR539" s="0" t="s">
        <v>5878</v>
      </c>
    </row>
    <row r="540" customFormat="false" ht="33.1" hidden="false" customHeight="false" outlineLevel="0" collapsed="false">
      <c r="A540" s="0" t="s">
        <v>5879</v>
      </c>
      <c r="B540" s="0" t="s">
        <v>5880</v>
      </c>
      <c r="C540" s="0" t="s">
        <v>242</v>
      </c>
      <c r="D540" s="0" t="s">
        <v>243</v>
      </c>
      <c r="E540" s="0" t="s">
        <v>5881</v>
      </c>
      <c r="F540" s="0" t="s">
        <v>192</v>
      </c>
      <c r="H540" s="0" t="s">
        <v>102</v>
      </c>
      <c r="L540" s="0" t="str">
        <f aca="false">"1650"</f>
        <v>1650</v>
      </c>
      <c r="M540" s="1" t="s">
        <v>5679</v>
      </c>
      <c r="O540" s="1" t="s">
        <v>5882</v>
      </c>
      <c r="T540" s="0" t="s">
        <v>243</v>
      </c>
      <c r="Z540" s="0" t="s">
        <v>5883</v>
      </c>
      <c r="AB540" s="0" t="s">
        <v>5884</v>
      </c>
      <c r="AT540" s="0" t="s">
        <v>3623</v>
      </c>
      <c r="AU540" s="0" t="s">
        <v>872</v>
      </c>
      <c r="AY540" s="0" t="s">
        <v>5885</v>
      </c>
      <c r="AZ540" s="0" t="s">
        <v>5886</v>
      </c>
      <c r="BD540" s="0" t="s">
        <v>873</v>
      </c>
      <c r="BE540" s="0" t="s">
        <v>5887</v>
      </c>
      <c r="BF540" s="0" t="s">
        <v>142</v>
      </c>
      <c r="BJ540" s="0" t="s">
        <v>118</v>
      </c>
      <c r="BU540" s="0" t="s">
        <v>5888</v>
      </c>
      <c r="BV540" s="0" t="s">
        <v>5889</v>
      </c>
      <c r="BX540" s="0" t="s">
        <v>5890</v>
      </c>
      <c r="CI540" s="0" t="s">
        <v>5890</v>
      </c>
      <c r="CJ540" s="0" t="s">
        <v>5891</v>
      </c>
      <c r="CO540" s="0" t="s">
        <v>5880</v>
      </c>
      <c r="CR540" s="0" t="s">
        <v>5892</v>
      </c>
    </row>
    <row r="541" customFormat="false" ht="12.8" hidden="false" customHeight="false" outlineLevel="0" collapsed="false">
      <c r="A541" s="0" t="s">
        <v>445</v>
      </c>
      <c r="B541" s="0" t="s">
        <v>5893</v>
      </c>
      <c r="C541" s="0" t="s">
        <v>1685</v>
      </c>
      <c r="D541" s="0" t="s">
        <v>1686</v>
      </c>
      <c r="E541" s="0" t="s">
        <v>5894</v>
      </c>
      <c r="L541" s="0" t="str">
        <f aca="false">"1651"</f>
        <v>1651</v>
      </c>
      <c r="M541" s="0" t="s">
        <v>448</v>
      </c>
      <c r="O541" s="0" t="s">
        <v>5895</v>
      </c>
      <c r="R541" s="0" t="s">
        <v>5670</v>
      </c>
      <c r="T541" s="0" t="s">
        <v>4104</v>
      </c>
      <c r="Z541" s="0" t="s">
        <v>5896</v>
      </c>
      <c r="AB541" s="0" t="s">
        <v>5897</v>
      </c>
      <c r="AC541" s="0" t="s">
        <v>5662</v>
      </c>
      <c r="AS541" s="0" t="s">
        <v>5898</v>
      </c>
      <c r="AT541" s="0" t="s">
        <v>2601</v>
      </c>
      <c r="AU541" s="0" t="s">
        <v>2457</v>
      </c>
      <c r="AY541" s="0" t="s">
        <v>5899</v>
      </c>
      <c r="AZ541" s="0" t="s">
        <v>5900</v>
      </c>
      <c r="BX541" s="0" t="s">
        <v>5901</v>
      </c>
      <c r="CB541" s="0" t="str">
        <f aca="false">"22.07.1650"</f>
        <v>22.07.1650</v>
      </c>
      <c r="CI541" s="0" t="s">
        <v>5901</v>
      </c>
    </row>
    <row r="542" customFormat="false" ht="43.75" hidden="false" customHeight="false" outlineLevel="0" collapsed="false">
      <c r="A542" s="0" t="s">
        <v>445</v>
      </c>
      <c r="B542" s="0" t="s">
        <v>5902</v>
      </c>
      <c r="C542" s="0" t="s">
        <v>242</v>
      </c>
      <c r="D542" s="0" t="s">
        <v>243</v>
      </c>
      <c r="E542" s="0" t="s">
        <v>5903</v>
      </c>
      <c r="L542" s="0" t="str">
        <f aca="false">"1651"</f>
        <v>1651</v>
      </c>
      <c r="M542" s="0" t="s">
        <v>448</v>
      </c>
      <c r="O542" s="1" t="s">
        <v>5904</v>
      </c>
      <c r="R542" s="0" t="s">
        <v>5905</v>
      </c>
      <c r="T542" s="0" t="s">
        <v>2650</v>
      </c>
      <c r="Z542" s="0" t="s">
        <v>5906</v>
      </c>
      <c r="AB542" s="0" t="s">
        <v>5907</v>
      </c>
      <c r="AC542" s="0" t="s">
        <v>5908</v>
      </c>
      <c r="AS542" s="0" t="s">
        <v>5909</v>
      </c>
      <c r="AT542" s="0" t="s">
        <v>2601</v>
      </c>
      <c r="AU542" s="0" t="s">
        <v>2457</v>
      </c>
      <c r="AY542" s="0" t="s">
        <v>5910</v>
      </c>
      <c r="AZ542" s="0" t="s">
        <v>5911</v>
      </c>
      <c r="BC542" s="0" t="str">
        <f aca="false">"383388171"</f>
        <v>383388171</v>
      </c>
      <c r="BX542" s="0" t="s">
        <v>5912</v>
      </c>
      <c r="CB542" s="0" t="str">
        <f aca="false">"19.08.1651"</f>
        <v>19.08.1651</v>
      </c>
      <c r="CI542" s="0" t="s">
        <v>5912</v>
      </c>
    </row>
    <row r="543" customFormat="false" ht="12.8" hidden="false" customHeight="false" outlineLevel="0" collapsed="false">
      <c r="A543" s="0" t="s">
        <v>445</v>
      </c>
      <c r="B543" s="0" t="s">
        <v>5913</v>
      </c>
      <c r="C543" s="0" t="s">
        <v>1429</v>
      </c>
      <c r="D543" s="0" t="s">
        <v>99</v>
      </c>
      <c r="E543" s="0" t="s">
        <v>5914</v>
      </c>
      <c r="L543" s="0" t="str">
        <f aca="false">"1651"</f>
        <v>1651</v>
      </c>
      <c r="O543" s="0" t="s">
        <v>5915</v>
      </c>
      <c r="R543" s="0" t="s">
        <v>5916</v>
      </c>
      <c r="T543" s="0" t="s">
        <v>3165</v>
      </c>
      <c r="Z543" s="0" t="s">
        <v>5917</v>
      </c>
      <c r="AC543" s="0" t="s">
        <v>5918</v>
      </c>
      <c r="AS543" s="0" t="s">
        <v>5919</v>
      </c>
      <c r="AT543" s="0" t="s">
        <v>2601</v>
      </c>
      <c r="AU543" s="0" t="s">
        <v>2457</v>
      </c>
      <c r="AY543" s="0" t="s">
        <v>5920</v>
      </c>
      <c r="AZ543" s="0" t="s">
        <v>5921</v>
      </c>
      <c r="BX543" s="0" t="s">
        <v>5922</v>
      </c>
      <c r="CB543" s="0" t="str">
        <f aca="false">"11.08.1650"</f>
        <v>11.08.1650</v>
      </c>
      <c r="CI543" s="0" t="s">
        <v>5922</v>
      </c>
    </row>
    <row r="544" customFormat="false" ht="12.8" hidden="false" customHeight="false" outlineLevel="0" collapsed="false">
      <c r="A544" s="0" t="s">
        <v>445</v>
      </c>
      <c r="B544" s="0" t="s">
        <v>5923</v>
      </c>
      <c r="C544" s="0" t="s">
        <v>242</v>
      </c>
      <c r="D544" s="0" t="s">
        <v>243</v>
      </c>
      <c r="E544" s="0" t="s">
        <v>5924</v>
      </c>
      <c r="L544" s="0" t="str">
        <f aca="false">"1651"</f>
        <v>1651</v>
      </c>
      <c r="O544" s="0" t="s">
        <v>5925</v>
      </c>
      <c r="R544" s="0" t="s">
        <v>4697</v>
      </c>
      <c r="T544" s="0" t="s">
        <v>99</v>
      </c>
      <c r="Z544" s="0" t="s">
        <v>5926</v>
      </c>
      <c r="AB544" s="0" t="s">
        <v>5927</v>
      </c>
      <c r="AC544" s="0" t="s">
        <v>5928</v>
      </c>
      <c r="AS544" s="0" t="s">
        <v>4543</v>
      </c>
      <c r="AT544" s="0" t="s">
        <v>2601</v>
      </c>
      <c r="AU544" s="0" t="s">
        <v>2457</v>
      </c>
      <c r="AY544" s="0" t="s">
        <v>5929</v>
      </c>
      <c r="AZ544" s="0" t="s">
        <v>5930</v>
      </c>
      <c r="BX544" s="0" t="s">
        <v>5931</v>
      </c>
      <c r="CB544" s="0" t="str">
        <f aca="false">"03.08.1650"</f>
        <v>03.08.1650</v>
      </c>
      <c r="CI544" s="0" t="s">
        <v>5931</v>
      </c>
    </row>
    <row r="545" customFormat="false" ht="12.8" hidden="false" customHeight="false" outlineLevel="0" collapsed="false">
      <c r="A545" s="0" t="s">
        <v>445</v>
      </c>
      <c r="C545" s="0" t="s">
        <v>1429</v>
      </c>
      <c r="D545" s="0" t="s">
        <v>99</v>
      </c>
      <c r="E545" s="0" t="s">
        <v>5932</v>
      </c>
      <c r="L545" s="0" t="str">
        <f aca="false">"1651"</f>
        <v>1651</v>
      </c>
      <c r="M545" s="0" t="s">
        <v>448</v>
      </c>
      <c r="O545" s="0" t="s">
        <v>5933</v>
      </c>
      <c r="R545" s="0" t="s">
        <v>5733</v>
      </c>
      <c r="T545" s="0" t="s">
        <v>3165</v>
      </c>
      <c r="Z545" s="0" t="s">
        <v>5934</v>
      </c>
      <c r="AG545" s="0" t="s">
        <v>2663</v>
      </c>
      <c r="AH545" s="0" t="s">
        <v>1985</v>
      </c>
      <c r="AI545" s="0" t="s">
        <v>5935</v>
      </c>
      <c r="AM545" s="0" t="s">
        <v>5936</v>
      </c>
      <c r="AS545" s="0" t="s">
        <v>5937</v>
      </c>
      <c r="AT545" s="0" t="s">
        <v>2601</v>
      </c>
      <c r="AU545" s="0" t="s">
        <v>2457</v>
      </c>
      <c r="AY545" s="0" t="s">
        <v>5938</v>
      </c>
      <c r="AZ545" s="0" t="s">
        <v>5939</v>
      </c>
      <c r="BX545" s="0" t="s">
        <v>5940</v>
      </c>
      <c r="CB545" s="0" t="str">
        <f aca="false">"11.08.1650"</f>
        <v>11.08.1650</v>
      </c>
      <c r="CI545" s="0" t="s">
        <v>5940</v>
      </c>
    </row>
    <row r="546" customFormat="false" ht="22.5" hidden="false" customHeight="false" outlineLevel="0" collapsed="false">
      <c r="A546" s="0" t="s">
        <v>5941</v>
      </c>
      <c r="B546" s="0" t="s">
        <v>5942</v>
      </c>
      <c r="C546" s="0" t="s">
        <v>1213</v>
      </c>
      <c r="D546" s="0" t="s">
        <v>1214</v>
      </c>
      <c r="E546" s="0" t="s">
        <v>5943</v>
      </c>
      <c r="L546" s="0" t="str">
        <f aca="false">"1651"</f>
        <v>1651</v>
      </c>
      <c r="M546" s="1" t="s">
        <v>898</v>
      </c>
      <c r="O546" s="1" t="s">
        <v>5944</v>
      </c>
      <c r="T546" s="0" t="s">
        <v>1288</v>
      </c>
      <c r="U546" s="0" t="s">
        <v>5945</v>
      </c>
      <c r="V546" s="0" t="s">
        <v>5946</v>
      </c>
      <c r="AB546" s="0" t="s">
        <v>5947</v>
      </c>
      <c r="AS546" s="0" t="s">
        <v>4150</v>
      </c>
      <c r="AT546" s="0" t="s">
        <v>2601</v>
      </c>
      <c r="AU546" s="0" t="s">
        <v>872</v>
      </c>
      <c r="AY546" s="0" t="s">
        <v>5948</v>
      </c>
      <c r="AZ546" s="0" t="s">
        <v>5949</v>
      </c>
      <c r="BD546" s="0" t="s">
        <v>873</v>
      </c>
      <c r="BE546" s="0" t="s">
        <v>5950</v>
      </c>
      <c r="BJ546" s="0" t="s">
        <v>118</v>
      </c>
      <c r="BX546" s="0" t="s">
        <v>5951</v>
      </c>
      <c r="CI546" s="0" t="s">
        <v>5951</v>
      </c>
      <c r="CJ546" s="0" t="s">
        <v>5952</v>
      </c>
      <c r="CO546" s="0" t="s">
        <v>5942</v>
      </c>
    </row>
    <row r="547" customFormat="false" ht="12.8" hidden="false" customHeight="false" outlineLevel="0" collapsed="false">
      <c r="A547" s="0" t="s">
        <v>445</v>
      </c>
      <c r="B547" s="0" t="s">
        <v>5953</v>
      </c>
      <c r="C547" s="0" t="s">
        <v>1213</v>
      </c>
      <c r="D547" s="0" t="s">
        <v>1214</v>
      </c>
      <c r="E547" s="0" t="s">
        <v>5954</v>
      </c>
      <c r="F547" s="0" t="s">
        <v>192</v>
      </c>
      <c r="H547" s="0" t="s">
        <v>102</v>
      </c>
      <c r="L547" s="0" t="str">
        <f aca="false">"1651"</f>
        <v>1651</v>
      </c>
      <c r="M547" s="0" t="s">
        <v>448</v>
      </c>
      <c r="O547" s="0" t="s">
        <v>5955</v>
      </c>
      <c r="R547" s="0" t="s">
        <v>5956</v>
      </c>
      <c r="T547" s="0" t="s">
        <v>5957</v>
      </c>
      <c r="Z547" s="0" t="s">
        <v>5958</v>
      </c>
      <c r="AB547" s="0" t="s">
        <v>5959</v>
      </c>
      <c r="AS547" s="0" t="s">
        <v>5960</v>
      </c>
      <c r="AT547" s="0" t="s">
        <v>2601</v>
      </c>
      <c r="AU547" s="0" t="s">
        <v>112</v>
      </c>
      <c r="AY547" s="0" t="s">
        <v>5961</v>
      </c>
      <c r="AZ547" s="0" t="s">
        <v>5962</v>
      </c>
      <c r="BD547" s="0" t="s">
        <v>873</v>
      </c>
      <c r="BE547" s="0" t="s">
        <v>5963</v>
      </c>
      <c r="BJ547" s="0" t="s">
        <v>118</v>
      </c>
      <c r="BX547" s="0" t="s">
        <v>5964</v>
      </c>
      <c r="CF547" s="0" t="s">
        <v>5965</v>
      </c>
      <c r="CG547" s="0" t="s">
        <v>123</v>
      </c>
      <c r="CH547" s="0" t="s">
        <v>342</v>
      </c>
      <c r="CI547" s="0" t="s">
        <v>5964</v>
      </c>
      <c r="CJ547" s="0" t="s">
        <v>5966</v>
      </c>
      <c r="CL547" s="0" t="s">
        <v>5967</v>
      </c>
      <c r="CM547" s="0" t="s">
        <v>5967</v>
      </c>
      <c r="CO547" s="0" t="s">
        <v>5953</v>
      </c>
      <c r="CR547" s="0" t="s">
        <v>5968</v>
      </c>
    </row>
    <row r="548" customFormat="false" ht="33.1" hidden="false" customHeight="false" outlineLevel="0" collapsed="false">
      <c r="A548" s="0" t="s">
        <v>445</v>
      </c>
      <c r="B548" s="0" t="s">
        <v>5969</v>
      </c>
      <c r="C548" s="0" t="s">
        <v>397</v>
      </c>
      <c r="D548" s="0" t="s">
        <v>398</v>
      </c>
      <c r="E548" s="0" t="s">
        <v>5970</v>
      </c>
      <c r="L548" s="0" t="str">
        <f aca="false">"1651"</f>
        <v>1651</v>
      </c>
      <c r="M548" s="0" t="s">
        <v>448</v>
      </c>
      <c r="O548" s="1" t="s">
        <v>5971</v>
      </c>
      <c r="R548" s="0" t="s">
        <v>5023</v>
      </c>
      <c r="T548" s="0" t="s">
        <v>5024</v>
      </c>
      <c r="Z548" s="0" t="s">
        <v>5972</v>
      </c>
      <c r="AG548" s="0" t="s">
        <v>5973</v>
      </c>
      <c r="AH548" s="0" t="s">
        <v>1164</v>
      </c>
      <c r="AI548" s="0" t="s">
        <v>5974</v>
      </c>
      <c r="AJ548" s="0" t="s">
        <v>5975</v>
      </c>
      <c r="AK548" s="0" t="s">
        <v>5976</v>
      </c>
      <c r="AS548" s="0" t="s">
        <v>5977</v>
      </c>
      <c r="AT548" s="0" t="s">
        <v>2601</v>
      </c>
      <c r="AU548" s="0" t="s">
        <v>2457</v>
      </c>
      <c r="AY548" s="0" t="s">
        <v>5978</v>
      </c>
      <c r="AZ548" s="0" t="s">
        <v>5979</v>
      </c>
      <c r="BC548" s="0" t="str">
        <f aca="false">"844118648"</f>
        <v>844118648</v>
      </c>
      <c r="BX548" s="0" t="s">
        <v>5980</v>
      </c>
      <c r="CB548" s="0" t="str">
        <f aca="false">"18.12.1650"</f>
        <v>18.12.1650</v>
      </c>
      <c r="CE548" s="0" t="s">
        <v>5334</v>
      </c>
      <c r="CI548" s="0" t="s">
        <v>5980</v>
      </c>
    </row>
    <row r="549" customFormat="false" ht="12.8" hidden="false" customHeight="false" outlineLevel="0" collapsed="false">
      <c r="A549" s="0" t="s">
        <v>445</v>
      </c>
      <c r="B549" s="0" t="s">
        <v>5981</v>
      </c>
      <c r="C549" s="0" t="s">
        <v>224</v>
      </c>
      <c r="D549" s="0" t="s">
        <v>225</v>
      </c>
      <c r="E549" s="0" t="s">
        <v>5982</v>
      </c>
      <c r="L549" s="0" t="str">
        <f aca="false">"1651"</f>
        <v>1651</v>
      </c>
      <c r="M549" s="0" t="s">
        <v>448</v>
      </c>
      <c r="O549" s="0" t="s">
        <v>5983</v>
      </c>
      <c r="R549" s="0" t="s">
        <v>5070</v>
      </c>
      <c r="T549" s="0" t="s">
        <v>1113</v>
      </c>
      <c r="Z549" s="0" t="s">
        <v>5984</v>
      </c>
      <c r="AG549" s="0" t="s">
        <v>1685</v>
      </c>
      <c r="AH549" s="0" t="s">
        <v>1686</v>
      </c>
      <c r="AI549" s="0" t="s">
        <v>5982</v>
      </c>
      <c r="AM549" s="0" t="s">
        <v>5985</v>
      </c>
      <c r="AS549" s="0" t="s">
        <v>5986</v>
      </c>
      <c r="AT549" s="0" t="s">
        <v>2601</v>
      </c>
      <c r="AU549" s="0" t="s">
        <v>2457</v>
      </c>
      <c r="AY549" s="0" t="s">
        <v>5987</v>
      </c>
      <c r="AZ549" s="0" t="s">
        <v>5988</v>
      </c>
      <c r="BX549" s="0" t="s">
        <v>5989</v>
      </c>
      <c r="CI549" s="0" t="s">
        <v>5989</v>
      </c>
    </row>
    <row r="550" customFormat="false" ht="128.75" hidden="false" customHeight="false" outlineLevel="0" collapsed="false">
      <c r="A550" s="0" t="s">
        <v>445</v>
      </c>
      <c r="B550" s="0" t="s">
        <v>5990</v>
      </c>
      <c r="C550" s="0" t="s">
        <v>224</v>
      </c>
      <c r="D550" s="0" t="s">
        <v>225</v>
      </c>
      <c r="E550" s="0" t="s">
        <v>5991</v>
      </c>
      <c r="L550" s="0" t="str">
        <f aca="false">"1651"</f>
        <v>1651</v>
      </c>
      <c r="O550" s="1" t="s">
        <v>5992</v>
      </c>
      <c r="R550" s="0" t="s">
        <v>5993</v>
      </c>
      <c r="T550" s="0" t="s">
        <v>5060</v>
      </c>
      <c r="Z550" s="0" t="s">
        <v>5994</v>
      </c>
      <c r="AS550" s="0" t="s">
        <v>5995</v>
      </c>
      <c r="AT550" s="0" t="s">
        <v>2601</v>
      </c>
      <c r="AU550" s="0" t="s">
        <v>892</v>
      </c>
      <c r="AY550" s="0" t="s">
        <v>5996</v>
      </c>
      <c r="AZ550" s="0" t="s">
        <v>5997</v>
      </c>
      <c r="BX550" s="0" t="s">
        <v>5998</v>
      </c>
      <c r="CB550" s="0" t="str">
        <f aca="false">"06.11.1650"</f>
        <v>06.11.1650</v>
      </c>
      <c r="CI550" s="0" t="s">
        <v>5998</v>
      </c>
    </row>
    <row r="551" customFormat="false" ht="22.5" hidden="false" customHeight="false" outlineLevel="0" collapsed="false">
      <c r="A551" s="0" t="s">
        <v>445</v>
      </c>
      <c r="B551" s="0" t="s">
        <v>5999</v>
      </c>
      <c r="C551" s="0" t="s">
        <v>1213</v>
      </c>
      <c r="D551" s="0" t="s">
        <v>1214</v>
      </c>
      <c r="E551" s="0" t="s">
        <v>6000</v>
      </c>
      <c r="F551" s="0" t="s">
        <v>192</v>
      </c>
      <c r="H551" s="0" t="s">
        <v>102</v>
      </c>
      <c r="L551" s="0" t="str">
        <f aca="false">"1652"</f>
        <v>1652</v>
      </c>
      <c r="M551" s="1" t="s">
        <v>898</v>
      </c>
      <c r="O551" s="1" t="s">
        <v>6001</v>
      </c>
      <c r="T551" s="0" t="s">
        <v>308</v>
      </c>
      <c r="AB551" s="0" t="s">
        <v>6002</v>
      </c>
      <c r="AG551" s="0" t="s">
        <v>2696</v>
      </c>
      <c r="AH551" s="1" t="s">
        <v>2697</v>
      </c>
      <c r="AI551" s="0" t="s">
        <v>6003</v>
      </c>
      <c r="AT551" s="0" t="s">
        <v>2601</v>
      </c>
      <c r="AU551" s="0" t="s">
        <v>872</v>
      </c>
      <c r="BD551" s="0" t="s">
        <v>873</v>
      </c>
      <c r="BJ551" s="0" t="s">
        <v>118</v>
      </c>
      <c r="BX551" s="0" t="s">
        <v>6004</v>
      </c>
      <c r="CI551" s="0" t="s">
        <v>6004</v>
      </c>
      <c r="CP551" s="0" t="s">
        <v>6005</v>
      </c>
    </row>
    <row r="552" customFormat="false" ht="12.8" hidden="false" customHeight="false" outlineLevel="0" collapsed="false">
      <c r="A552" s="0" t="s">
        <v>445</v>
      </c>
      <c r="B552" s="0" t="s">
        <v>6006</v>
      </c>
      <c r="C552" s="0" t="s">
        <v>1685</v>
      </c>
      <c r="D552" s="0" t="s">
        <v>1686</v>
      </c>
      <c r="E552" s="0" t="s">
        <v>6007</v>
      </c>
      <c r="L552" s="0" t="str">
        <f aca="false">"1652"</f>
        <v>1652</v>
      </c>
      <c r="M552" s="0" t="s">
        <v>448</v>
      </c>
      <c r="O552" s="0" t="s">
        <v>6008</v>
      </c>
      <c r="R552" s="0" t="s">
        <v>5559</v>
      </c>
      <c r="T552" s="0" t="s">
        <v>4417</v>
      </c>
      <c r="Z552" s="0" t="s">
        <v>6009</v>
      </c>
      <c r="AB552" s="0" t="s">
        <v>6010</v>
      </c>
      <c r="AS552" s="0" t="s">
        <v>6011</v>
      </c>
      <c r="AT552" s="0" t="s">
        <v>2601</v>
      </c>
      <c r="AU552" s="0" t="s">
        <v>2457</v>
      </c>
      <c r="AY552" s="0" t="s">
        <v>6012</v>
      </c>
      <c r="AZ552" s="0" t="s">
        <v>6013</v>
      </c>
      <c r="BX552" s="0" t="s">
        <v>6014</v>
      </c>
      <c r="CI552" s="0" t="s">
        <v>6014</v>
      </c>
    </row>
    <row r="553" customFormat="false" ht="12.8" hidden="false" customHeight="false" outlineLevel="0" collapsed="false">
      <c r="A553" s="0" t="s">
        <v>445</v>
      </c>
      <c r="B553" s="0" t="s">
        <v>6015</v>
      </c>
      <c r="C553" s="0" t="s">
        <v>224</v>
      </c>
      <c r="D553" s="0" t="s">
        <v>225</v>
      </c>
      <c r="E553" s="0" t="s">
        <v>6016</v>
      </c>
      <c r="L553" s="0" t="str">
        <f aca="false">"1653"</f>
        <v>1653</v>
      </c>
      <c r="M553" s="0" t="s">
        <v>448</v>
      </c>
      <c r="O553" s="0" t="s">
        <v>6017</v>
      </c>
      <c r="R553" s="0" t="s">
        <v>6018</v>
      </c>
      <c r="T553" s="0" t="s">
        <v>3198</v>
      </c>
      <c r="Z553" s="0" t="s">
        <v>6019</v>
      </c>
      <c r="AS553" s="0" t="s">
        <v>6020</v>
      </c>
      <c r="AT553" s="0" t="s">
        <v>2601</v>
      </c>
      <c r="AU553" s="0" t="s">
        <v>2457</v>
      </c>
      <c r="AY553" s="0" t="s">
        <v>6021</v>
      </c>
      <c r="AZ553" s="0" t="s">
        <v>6022</v>
      </c>
      <c r="BX553" s="0" t="s">
        <v>6023</v>
      </c>
      <c r="CI553" s="0" t="s">
        <v>6023</v>
      </c>
    </row>
    <row r="554" customFormat="false" ht="12.8" hidden="false" customHeight="false" outlineLevel="0" collapsed="false">
      <c r="A554" s="0" t="s">
        <v>445</v>
      </c>
      <c r="B554" s="0" t="s">
        <v>6024</v>
      </c>
      <c r="C554" s="0" t="s">
        <v>1213</v>
      </c>
      <c r="D554" s="0" t="s">
        <v>1214</v>
      </c>
      <c r="E554" s="0" t="s">
        <v>6025</v>
      </c>
      <c r="L554" s="0" t="str">
        <f aca="false">"1654"</f>
        <v>1654</v>
      </c>
      <c r="M554" s="0" t="s">
        <v>448</v>
      </c>
      <c r="O554" s="0" t="s">
        <v>6026</v>
      </c>
      <c r="R554" s="0" t="s">
        <v>6027</v>
      </c>
      <c r="T554" s="0" t="s">
        <v>1273</v>
      </c>
      <c r="Z554" s="0" t="s">
        <v>6028</v>
      </c>
      <c r="AB554" s="0" t="s">
        <v>6029</v>
      </c>
      <c r="AS554" s="0" t="s">
        <v>5977</v>
      </c>
      <c r="AT554" s="0" t="s">
        <v>2601</v>
      </c>
      <c r="AU554" s="0" t="s">
        <v>2457</v>
      </c>
      <c r="AY554" s="0" t="s">
        <v>6030</v>
      </c>
      <c r="BX554" s="0" t="s">
        <v>6031</v>
      </c>
      <c r="CI554" s="0" t="s">
        <v>6031</v>
      </c>
      <c r="CJ554" s="0" t="s">
        <v>6032</v>
      </c>
      <c r="CO554" s="0" t="s">
        <v>6033</v>
      </c>
    </row>
    <row r="555" customFormat="false" ht="22.5" hidden="false" customHeight="false" outlineLevel="0" collapsed="false">
      <c r="A555" s="0" t="s">
        <v>445</v>
      </c>
      <c r="B555" s="0" t="s">
        <v>6034</v>
      </c>
      <c r="C555" s="0" t="s">
        <v>6035</v>
      </c>
      <c r="D555" s="0" t="s">
        <v>6036</v>
      </c>
      <c r="E555" s="0" t="s">
        <v>6037</v>
      </c>
      <c r="F555" s="0" t="s">
        <v>192</v>
      </c>
      <c r="H555" s="0" t="s">
        <v>102</v>
      </c>
      <c r="L555" s="0" t="str">
        <f aca="false">"1654"</f>
        <v>1654</v>
      </c>
      <c r="M555" s="1" t="s">
        <v>193</v>
      </c>
      <c r="O555" s="1" t="s">
        <v>6038</v>
      </c>
      <c r="T555" s="0" t="s">
        <v>6039</v>
      </c>
      <c r="AB555" s="0" t="s">
        <v>6040</v>
      </c>
      <c r="AS555" s="0" t="s">
        <v>6041</v>
      </c>
      <c r="AT555" s="0" t="s">
        <v>2601</v>
      </c>
      <c r="AU555" s="0" t="s">
        <v>872</v>
      </c>
      <c r="AY555" s="0" t="s">
        <v>6042</v>
      </c>
      <c r="BD555" s="0" t="s">
        <v>873</v>
      </c>
      <c r="BJ555" s="0" t="s">
        <v>118</v>
      </c>
      <c r="BX555" s="0" t="s">
        <v>6043</v>
      </c>
      <c r="CI555" s="0" t="s">
        <v>6043</v>
      </c>
      <c r="CJ555" s="0" t="s">
        <v>6044</v>
      </c>
      <c r="CO555" s="0" t="s">
        <v>6045</v>
      </c>
    </row>
    <row r="556" customFormat="false" ht="65" hidden="false" customHeight="false" outlineLevel="0" collapsed="false">
      <c r="A556" s="0" t="s">
        <v>445</v>
      </c>
      <c r="B556" s="0" t="s">
        <v>6046</v>
      </c>
      <c r="C556" s="0" t="s">
        <v>1685</v>
      </c>
      <c r="D556" s="0" t="s">
        <v>1686</v>
      </c>
      <c r="E556" s="0" t="s">
        <v>6047</v>
      </c>
      <c r="F556" s="0" t="s">
        <v>192</v>
      </c>
      <c r="H556" s="0" t="s">
        <v>102</v>
      </c>
      <c r="L556" s="0" t="str">
        <f aca="false">"1655"</f>
        <v>1655</v>
      </c>
      <c r="M556" s="1" t="s">
        <v>5679</v>
      </c>
      <c r="O556" s="1" t="s">
        <v>6048</v>
      </c>
      <c r="T556" s="0" t="s">
        <v>243</v>
      </c>
      <c r="Z556" s="0" t="s">
        <v>6049</v>
      </c>
      <c r="AB556" s="0" t="s">
        <v>6050</v>
      </c>
      <c r="AS556" s="0" t="s">
        <v>6051</v>
      </c>
      <c r="AT556" s="0" t="s">
        <v>2601</v>
      </c>
      <c r="AU556" s="0" t="s">
        <v>112</v>
      </c>
      <c r="AY556" s="0" t="s">
        <v>6052</v>
      </c>
      <c r="AZ556" s="0" t="s">
        <v>6053</v>
      </c>
      <c r="BC556" s="0" t="str">
        <f aca="false">"536376247"</f>
        <v>536376247</v>
      </c>
      <c r="BD556" s="0" t="s">
        <v>873</v>
      </c>
      <c r="BE556" s="0" t="s">
        <v>6054</v>
      </c>
      <c r="BJ556" s="0" t="s">
        <v>118</v>
      </c>
      <c r="BV556" s="1" t="s">
        <v>6055</v>
      </c>
      <c r="BX556" s="0" t="s">
        <v>6056</v>
      </c>
      <c r="CF556" s="0" t="s">
        <v>6057</v>
      </c>
      <c r="CG556" s="0" t="s">
        <v>123</v>
      </c>
      <c r="CH556" s="0" t="s">
        <v>145</v>
      </c>
      <c r="CI556" s="0" t="s">
        <v>6056</v>
      </c>
      <c r="CJ556" s="0" t="s">
        <v>6058</v>
      </c>
      <c r="CL556" s="0" t="s">
        <v>6059</v>
      </c>
      <c r="CM556" s="0" t="s">
        <v>6059</v>
      </c>
      <c r="CO556" s="0" t="s">
        <v>6060</v>
      </c>
      <c r="CR556" s="0" t="s">
        <v>6061</v>
      </c>
    </row>
    <row r="557" customFormat="false" ht="12.8" hidden="false" customHeight="false" outlineLevel="0" collapsed="false">
      <c r="A557" s="0" t="s">
        <v>445</v>
      </c>
      <c r="B557" s="0" t="s">
        <v>6062</v>
      </c>
      <c r="C557" s="0" t="s">
        <v>1685</v>
      </c>
      <c r="D557" s="0" t="s">
        <v>1686</v>
      </c>
      <c r="E557" s="0" t="s">
        <v>6063</v>
      </c>
      <c r="L557" s="0" t="str">
        <f aca="false">"1655"</f>
        <v>1655</v>
      </c>
      <c r="M557" s="0" t="s">
        <v>448</v>
      </c>
      <c r="O557" s="0" t="s">
        <v>6064</v>
      </c>
      <c r="R557" s="0" t="s">
        <v>5559</v>
      </c>
      <c r="T557" s="0" t="s">
        <v>4417</v>
      </c>
      <c r="Z557" s="0" t="s">
        <v>6065</v>
      </c>
      <c r="AB557" s="0" t="s">
        <v>6066</v>
      </c>
      <c r="AS557" s="0" t="s">
        <v>4680</v>
      </c>
      <c r="AT557" s="0" t="s">
        <v>2601</v>
      </c>
      <c r="AU557" s="0" t="s">
        <v>2457</v>
      </c>
      <c r="AY557" s="0" t="s">
        <v>6067</v>
      </c>
      <c r="BX557" s="0" t="s">
        <v>6068</v>
      </c>
      <c r="CI557" s="0" t="s">
        <v>6068</v>
      </c>
    </row>
    <row r="558" customFormat="false" ht="22.5" hidden="false" customHeight="false" outlineLevel="0" collapsed="false">
      <c r="A558" s="0" t="s">
        <v>445</v>
      </c>
      <c r="B558" s="0" t="s">
        <v>6069</v>
      </c>
      <c r="C558" s="0" t="s">
        <v>1685</v>
      </c>
      <c r="D558" s="0" t="s">
        <v>1686</v>
      </c>
      <c r="E558" s="0" t="s">
        <v>6070</v>
      </c>
      <c r="L558" s="0" t="str">
        <f aca="false">"1655"</f>
        <v>1655</v>
      </c>
      <c r="M558" s="0" t="s">
        <v>448</v>
      </c>
      <c r="O558" s="0" t="s">
        <v>6071</v>
      </c>
      <c r="R558" s="1" t="s">
        <v>6072</v>
      </c>
      <c r="T558" s="0" t="s">
        <v>243</v>
      </c>
      <c r="Z558" s="0" t="s">
        <v>6073</v>
      </c>
      <c r="AB558" s="0" t="s">
        <v>6074</v>
      </c>
      <c r="AS558" s="0" t="s">
        <v>5986</v>
      </c>
      <c r="AT558" s="0" t="s">
        <v>2601</v>
      </c>
      <c r="AU558" s="0" t="s">
        <v>2457</v>
      </c>
      <c r="AY558" s="0" t="s">
        <v>6075</v>
      </c>
      <c r="BX558" s="0" t="s">
        <v>6076</v>
      </c>
      <c r="CI558" s="0" t="s">
        <v>6076</v>
      </c>
    </row>
    <row r="559" customFormat="false" ht="43.75" hidden="false" customHeight="false" outlineLevel="0" collapsed="false">
      <c r="A559" s="0" t="s">
        <v>445</v>
      </c>
      <c r="B559" s="0" t="s">
        <v>6077</v>
      </c>
      <c r="C559" s="0" t="s">
        <v>224</v>
      </c>
      <c r="D559" s="0" t="s">
        <v>225</v>
      </c>
      <c r="E559" s="0" t="s">
        <v>6078</v>
      </c>
      <c r="F559" s="0" t="s">
        <v>192</v>
      </c>
      <c r="H559" s="0" t="s">
        <v>102</v>
      </c>
      <c r="L559" s="0" t="str">
        <f aca="false">"1655"</f>
        <v>1655</v>
      </c>
      <c r="M559" s="1" t="s">
        <v>898</v>
      </c>
      <c r="O559" s="1" t="s">
        <v>6079</v>
      </c>
      <c r="T559" s="0" t="s">
        <v>243</v>
      </c>
      <c r="Z559" s="0" t="s">
        <v>6080</v>
      </c>
      <c r="AB559" s="0" t="s">
        <v>6081</v>
      </c>
      <c r="AS559" s="0" t="s">
        <v>6082</v>
      </c>
      <c r="AT559" s="0" t="s">
        <v>3623</v>
      </c>
      <c r="AU559" s="0" t="s">
        <v>112</v>
      </c>
      <c r="AY559" s="0" t="s">
        <v>6083</v>
      </c>
      <c r="BC559" s="0" t="str">
        <f aca="false">"833481592"</f>
        <v>833481592</v>
      </c>
      <c r="BD559" s="0" t="s">
        <v>873</v>
      </c>
      <c r="BE559" s="0" t="s">
        <v>6084</v>
      </c>
      <c r="BJ559" s="0" t="s">
        <v>118</v>
      </c>
      <c r="BX559" s="0" t="s">
        <v>6085</v>
      </c>
      <c r="CF559" s="1" t="s">
        <v>6086</v>
      </c>
      <c r="CG559" s="0" t="s">
        <v>123</v>
      </c>
      <c r="CH559" s="0" t="s">
        <v>145</v>
      </c>
      <c r="CI559" s="0" t="s">
        <v>6085</v>
      </c>
      <c r="CJ559" s="0" t="s">
        <v>6087</v>
      </c>
      <c r="CL559" s="0" t="s">
        <v>6088</v>
      </c>
      <c r="CM559" s="0" t="s">
        <v>6088</v>
      </c>
      <c r="CO559" s="0" t="s">
        <v>6089</v>
      </c>
      <c r="CR559" s="0" t="s">
        <v>6090</v>
      </c>
    </row>
    <row r="560" customFormat="false" ht="75.6" hidden="false" customHeight="false" outlineLevel="0" collapsed="false">
      <c r="A560" s="0" t="s">
        <v>445</v>
      </c>
      <c r="B560" s="0" t="s">
        <v>6091</v>
      </c>
      <c r="C560" s="0" t="s">
        <v>1685</v>
      </c>
      <c r="D560" s="0" t="s">
        <v>1686</v>
      </c>
      <c r="E560" s="0" t="s">
        <v>6092</v>
      </c>
      <c r="L560" s="0" t="str">
        <f aca="false">"1655"</f>
        <v>1655</v>
      </c>
      <c r="O560" s="1" t="s">
        <v>6093</v>
      </c>
      <c r="R560" s="0" t="s">
        <v>4842</v>
      </c>
      <c r="T560" s="0" t="s">
        <v>243</v>
      </c>
      <c r="Z560" s="0" t="s">
        <v>6094</v>
      </c>
      <c r="AB560" s="0" t="s">
        <v>6095</v>
      </c>
      <c r="AS560" s="0" t="s">
        <v>4680</v>
      </c>
      <c r="AT560" s="0" t="s">
        <v>2601</v>
      </c>
      <c r="AU560" s="0" t="s">
        <v>2457</v>
      </c>
      <c r="AY560" s="0" t="s">
        <v>6096</v>
      </c>
      <c r="AZ560" s="0" t="s">
        <v>6097</v>
      </c>
      <c r="BX560" s="0" t="s">
        <v>6098</v>
      </c>
      <c r="CI560" s="0" t="s">
        <v>6098</v>
      </c>
    </row>
    <row r="561" customFormat="false" ht="12.8" hidden="false" customHeight="false" outlineLevel="0" collapsed="false">
      <c r="A561" s="0" t="s">
        <v>445</v>
      </c>
      <c r="B561" s="0" t="s">
        <v>6099</v>
      </c>
      <c r="C561" s="0" t="s">
        <v>1685</v>
      </c>
      <c r="D561" s="0" t="s">
        <v>1686</v>
      </c>
      <c r="E561" s="0" t="s">
        <v>6100</v>
      </c>
      <c r="L561" s="0" t="str">
        <f aca="false">"1655"</f>
        <v>1655</v>
      </c>
      <c r="M561" s="0" t="s">
        <v>448</v>
      </c>
      <c r="O561" s="0" t="s">
        <v>6101</v>
      </c>
      <c r="R561" s="0" t="s">
        <v>6102</v>
      </c>
      <c r="T561" s="0" t="s">
        <v>1686</v>
      </c>
      <c r="Z561" s="0" t="s">
        <v>6103</v>
      </c>
      <c r="AB561" s="0" t="s">
        <v>6104</v>
      </c>
      <c r="AS561" s="0" t="s">
        <v>6105</v>
      </c>
      <c r="AT561" s="0" t="s">
        <v>2601</v>
      </c>
      <c r="AU561" s="0" t="s">
        <v>892</v>
      </c>
      <c r="AY561" s="0" t="s">
        <v>6106</v>
      </c>
      <c r="AZ561" s="0" t="s">
        <v>6107</v>
      </c>
      <c r="BX561" s="0" t="s">
        <v>6108</v>
      </c>
      <c r="CI561" s="0" t="s">
        <v>6108</v>
      </c>
    </row>
    <row r="562" customFormat="false" ht="12.8" hidden="false" customHeight="false" outlineLevel="0" collapsed="false">
      <c r="A562" s="0" t="s">
        <v>445</v>
      </c>
      <c r="B562" s="0" t="s">
        <v>6109</v>
      </c>
      <c r="C562" s="0" t="s">
        <v>224</v>
      </c>
      <c r="D562" s="0" t="s">
        <v>225</v>
      </c>
      <c r="E562" s="0" t="s">
        <v>6110</v>
      </c>
      <c r="L562" s="0" t="str">
        <f aca="false">"1655"</f>
        <v>1655</v>
      </c>
      <c r="M562" s="0" t="s">
        <v>448</v>
      </c>
      <c r="O562" s="0" t="s">
        <v>6111</v>
      </c>
      <c r="R562" s="0" t="s">
        <v>6112</v>
      </c>
      <c r="T562" s="0" t="s">
        <v>4185</v>
      </c>
      <c r="Z562" s="0" t="s">
        <v>6113</v>
      </c>
      <c r="AT562" s="0" t="s">
        <v>2601</v>
      </c>
      <c r="AU562" s="0" t="s">
        <v>2457</v>
      </c>
      <c r="AY562" s="0" t="s">
        <v>6114</v>
      </c>
      <c r="BC562" s="0" t="str">
        <f aca="false">"004897234"</f>
        <v>004897234</v>
      </c>
      <c r="BU562" s="0" t="s">
        <v>6115</v>
      </c>
      <c r="BV562" s="0" t="s">
        <v>6116</v>
      </c>
    </row>
    <row r="563" customFormat="false" ht="12.8" hidden="false" customHeight="false" outlineLevel="0" collapsed="false">
      <c r="A563" s="0" t="s">
        <v>445</v>
      </c>
      <c r="B563" s="0" t="s">
        <v>6117</v>
      </c>
      <c r="C563" s="0" t="s">
        <v>1685</v>
      </c>
      <c r="D563" s="0" t="s">
        <v>1686</v>
      </c>
      <c r="E563" s="0" t="s">
        <v>6118</v>
      </c>
      <c r="L563" s="0" t="str">
        <f aca="false">"1655"</f>
        <v>1655</v>
      </c>
      <c r="M563" s="0" t="s">
        <v>448</v>
      </c>
      <c r="O563" s="0" t="s">
        <v>6119</v>
      </c>
      <c r="R563" s="0" t="s">
        <v>4842</v>
      </c>
      <c r="T563" s="0" t="s">
        <v>243</v>
      </c>
      <c r="Z563" s="0" t="s">
        <v>6120</v>
      </c>
      <c r="AB563" s="0" t="s">
        <v>6121</v>
      </c>
      <c r="AS563" s="0" t="s">
        <v>6122</v>
      </c>
      <c r="AT563" s="0" t="s">
        <v>2601</v>
      </c>
      <c r="AU563" s="0" t="s">
        <v>2457</v>
      </c>
      <c r="AY563" s="0" t="s">
        <v>6123</v>
      </c>
      <c r="AZ563" s="0" t="s">
        <v>6124</v>
      </c>
      <c r="BX563" s="0" t="s">
        <v>6125</v>
      </c>
      <c r="CB563" s="0" t="str">
        <f aca="false">"25.09.1655"</f>
        <v>25.09.1655</v>
      </c>
      <c r="CI563" s="0" t="s">
        <v>6125</v>
      </c>
    </row>
    <row r="564" customFormat="false" ht="12.8" hidden="false" customHeight="false" outlineLevel="0" collapsed="false">
      <c r="A564" s="0" t="s">
        <v>445</v>
      </c>
      <c r="C564" s="0" t="s">
        <v>242</v>
      </c>
      <c r="D564" s="0" t="s">
        <v>243</v>
      </c>
      <c r="E564" s="0" t="s">
        <v>6126</v>
      </c>
      <c r="L564" s="0" t="str">
        <f aca="false">"1655"</f>
        <v>1655</v>
      </c>
      <c r="M564" s="0" t="s">
        <v>448</v>
      </c>
      <c r="O564" s="0" t="s">
        <v>6008</v>
      </c>
      <c r="R564" s="0" t="s">
        <v>4842</v>
      </c>
      <c r="T564" s="0" t="s">
        <v>243</v>
      </c>
      <c r="Z564" s="0" t="s">
        <v>6127</v>
      </c>
      <c r="AT564" s="0" t="s">
        <v>2601</v>
      </c>
      <c r="AU564" s="0" t="s">
        <v>892</v>
      </c>
      <c r="AY564" s="0" t="s">
        <v>6128</v>
      </c>
      <c r="AZ564" s="0" t="s">
        <v>6129</v>
      </c>
      <c r="BX564" s="0" t="s">
        <v>6130</v>
      </c>
      <c r="CI564" s="0" t="s">
        <v>6130</v>
      </c>
    </row>
    <row r="565" customFormat="false" ht="22.5" hidden="false" customHeight="false" outlineLevel="0" collapsed="false">
      <c r="A565" s="0" t="s">
        <v>445</v>
      </c>
      <c r="B565" s="0" t="s">
        <v>6131</v>
      </c>
      <c r="C565" s="0" t="s">
        <v>2696</v>
      </c>
      <c r="D565" s="1" t="s">
        <v>2697</v>
      </c>
      <c r="L565" s="0" t="str">
        <f aca="false">"1655"</f>
        <v>1655</v>
      </c>
      <c r="M565" s="0" t="s">
        <v>448</v>
      </c>
      <c r="O565" s="0" t="s">
        <v>6132</v>
      </c>
      <c r="R565" s="0" t="s">
        <v>6133</v>
      </c>
      <c r="T565" s="0" t="s">
        <v>1050</v>
      </c>
      <c r="Z565" s="0" t="s">
        <v>6134</v>
      </c>
      <c r="AB565" s="0" t="s">
        <v>6135</v>
      </c>
      <c r="AS565" s="0" t="s">
        <v>6136</v>
      </c>
      <c r="AT565" s="0" t="s">
        <v>2601</v>
      </c>
      <c r="AU565" s="0" t="s">
        <v>2457</v>
      </c>
      <c r="AY565" s="0" t="s">
        <v>6137</v>
      </c>
      <c r="BX565" s="0" t="s">
        <v>6138</v>
      </c>
      <c r="CI565" s="0" t="s">
        <v>6138</v>
      </c>
    </row>
    <row r="566" customFormat="false" ht="22.5" hidden="false" customHeight="false" outlineLevel="0" collapsed="false">
      <c r="A566" s="0" t="s">
        <v>445</v>
      </c>
      <c r="B566" s="0" t="s">
        <v>6139</v>
      </c>
      <c r="C566" s="0" t="s">
        <v>242</v>
      </c>
      <c r="D566" s="0" t="s">
        <v>243</v>
      </c>
      <c r="E566" s="0" t="s">
        <v>6140</v>
      </c>
      <c r="L566" s="0" t="str">
        <f aca="false">"1655"</f>
        <v>1655</v>
      </c>
      <c r="O566" s="1" t="s">
        <v>6141</v>
      </c>
      <c r="R566" s="0" t="s">
        <v>5617</v>
      </c>
      <c r="T566" s="0" t="s">
        <v>243</v>
      </c>
      <c r="Z566" s="0" t="s">
        <v>6142</v>
      </c>
      <c r="AB566" s="0" t="s">
        <v>6143</v>
      </c>
      <c r="AS566" s="0" t="s">
        <v>4882</v>
      </c>
      <c r="AT566" s="0" t="s">
        <v>2601</v>
      </c>
      <c r="AU566" s="0" t="s">
        <v>2457</v>
      </c>
      <c r="AY566" s="0" t="s">
        <v>6144</v>
      </c>
      <c r="BC566" s="0" t="str">
        <f aca="false">"333190645"</f>
        <v>333190645</v>
      </c>
      <c r="BX566" s="0" t="s">
        <v>6145</v>
      </c>
      <c r="CI566" s="0" t="s">
        <v>6145</v>
      </c>
    </row>
    <row r="567" customFormat="false" ht="22.5" hidden="false" customHeight="false" outlineLevel="0" collapsed="false">
      <c r="A567" s="0" t="s">
        <v>445</v>
      </c>
      <c r="B567" s="0" t="s">
        <v>6146</v>
      </c>
      <c r="C567" s="0" t="s">
        <v>2696</v>
      </c>
      <c r="D567" s="1" t="s">
        <v>2697</v>
      </c>
      <c r="F567" s="0" t="s">
        <v>192</v>
      </c>
      <c r="H567" s="0" t="s">
        <v>102</v>
      </c>
      <c r="L567" s="0" t="str">
        <f aca="false">"1656"</f>
        <v>1656</v>
      </c>
      <c r="M567" s="1" t="s">
        <v>898</v>
      </c>
      <c r="O567" s="1" t="s">
        <v>6147</v>
      </c>
      <c r="T567" s="0" t="s">
        <v>1050</v>
      </c>
      <c r="Z567" s="0" t="s">
        <v>6148</v>
      </c>
      <c r="AB567" s="0" t="s">
        <v>6149</v>
      </c>
      <c r="AS567" s="0" t="s">
        <v>4557</v>
      </c>
      <c r="AT567" s="0" t="s">
        <v>2601</v>
      </c>
      <c r="AU567" s="0" t="s">
        <v>112</v>
      </c>
      <c r="AY567" s="0" t="s">
        <v>6150</v>
      </c>
      <c r="AZ567" s="0" t="s">
        <v>6151</v>
      </c>
      <c r="BC567" s="0" t="str">
        <f aca="false">"092285600"</f>
        <v>092285600</v>
      </c>
      <c r="BD567" s="0" t="s">
        <v>873</v>
      </c>
      <c r="BE567" s="0" t="s">
        <v>6152</v>
      </c>
      <c r="BJ567" s="0" t="s">
        <v>118</v>
      </c>
      <c r="BX567" s="0" t="s">
        <v>6153</v>
      </c>
      <c r="CF567" s="0" t="s">
        <v>6154</v>
      </c>
      <c r="CG567" s="0" t="s">
        <v>123</v>
      </c>
      <c r="CH567" s="0" t="s">
        <v>145</v>
      </c>
      <c r="CI567" s="0" t="s">
        <v>6153</v>
      </c>
      <c r="CL567" s="0" t="s">
        <v>6155</v>
      </c>
      <c r="CM567" s="0" t="s">
        <v>6155</v>
      </c>
      <c r="CO567" s="0" t="s">
        <v>6146</v>
      </c>
      <c r="CR567" s="0" t="s">
        <v>6156</v>
      </c>
    </row>
    <row r="568" customFormat="false" ht="33.1" hidden="false" customHeight="false" outlineLevel="0" collapsed="false">
      <c r="A568" s="0" t="s">
        <v>445</v>
      </c>
      <c r="B568" s="0" t="s">
        <v>6157</v>
      </c>
      <c r="C568" s="0" t="s">
        <v>5692</v>
      </c>
      <c r="D568" s="0" t="s">
        <v>4972</v>
      </c>
      <c r="E568" s="0" t="s">
        <v>6158</v>
      </c>
      <c r="L568" s="0" t="str">
        <f aca="false">"1655"</f>
        <v>1655</v>
      </c>
      <c r="O568" s="1" t="s">
        <v>6159</v>
      </c>
      <c r="R568" s="0" t="s">
        <v>6160</v>
      </c>
      <c r="T568" s="0" t="s">
        <v>4972</v>
      </c>
      <c r="Z568" s="0" t="s">
        <v>6161</v>
      </c>
      <c r="AS568" s="0" t="s">
        <v>5621</v>
      </c>
      <c r="AT568" s="0" t="s">
        <v>2601</v>
      </c>
      <c r="AU568" s="0" t="s">
        <v>2457</v>
      </c>
      <c r="AY568" s="0" t="s">
        <v>6162</v>
      </c>
      <c r="AZ568" s="0" t="s">
        <v>6163</v>
      </c>
      <c r="CB568" s="0" t="str">
        <f aca="false">"25.09.1655"</f>
        <v>25.09.1655</v>
      </c>
    </row>
    <row r="569" customFormat="false" ht="12.8" hidden="false" customHeight="false" outlineLevel="0" collapsed="false">
      <c r="A569" s="0" t="s">
        <v>445</v>
      </c>
      <c r="B569" s="0" t="s">
        <v>6164</v>
      </c>
      <c r="C569" s="0" t="s">
        <v>5035</v>
      </c>
      <c r="D569" s="0" t="s">
        <v>1416</v>
      </c>
      <c r="E569" s="0" t="s">
        <v>6165</v>
      </c>
      <c r="L569" s="0" t="str">
        <f aca="false">"1656"</f>
        <v>1656</v>
      </c>
      <c r="M569" s="0" t="s">
        <v>448</v>
      </c>
      <c r="O569" s="0" t="s">
        <v>6166</v>
      </c>
      <c r="R569" s="0" t="s">
        <v>6167</v>
      </c>
      <c r="T569" s="0" t="s">
        <v>1881</v>
      </c>
      <c r="Z569" s="0" t="s">
        <v>6168</v>
      </c>
      <c r="AS569" s="0" t="s">
        <v>6169</v>
      </c>
      <c r="AT569" s="0" t="s">
        <v>2601</v>
      </c>
      <c r="AU569" s="0" t="s">
        <v>2457</v>
      </c>
      <c r="AY569" s="0" t="s">
        <v>6170</v>
      </c>
      <c r="AZ569" s="0" t="s">
        <v>6171</v>
      </c>
      <c r="BX569" s="0" t="s">
        <v>6172</v>
      </c>
      <c r="CI569" s="0" t="s">
        <v>6172</v>
      </c>
    </row>
    <row r="570" customFormat="false" ht="22.5" hidden="false" customHeight="false" outlineLevel="0" collapsed="false">
      <c r="A570" s="0" t="s">
        <v>445</v>
      </c>
      <c r="B570" s="0" t="s">
        <v>6173</v>
      </c>
      <c r="C570" s="0" t="s">
        <v>224</v>
      </c>
      <c r="D570" s="0" t="s">
        <v>225</v>
      </c>
      <c r="E570" s="0" t="s">
        <v>6174</v>
      </c>
      <c r="F570" s="0" t="s">
        <v>192</v>
      </c>
      <c r="H570" s="0" t="s">
        <v>102</v>
      </c>
      <c r="L570" s="0" t="str">
        <f aca="false">"1658"</f>
        <v>1658</v>
      </c>
      <c r="M570" s="1" t="s">
        <v>193</v>
      </c>
      <c r="O570" s="1" t="s">
        <v>6175</v>
      </c>
      <c r="T570" s="0" t="s">
        <v>360</v>
      </c>
      <c r="Z570" s="0" t="s">
        <v>6176</v>
      </c>
      <c r="AS570" s="0" t="s">
        <v>6177</v>
      </c>
      <c r="AT570" s="0" t="s">
        <v>2601</v>
      </c>
      <c r="AU570" s="0" t="s">
        <v>872</v>
      </c>
      <c r="AY570" s="0" t="s">
        <v>6178</v>
      </c>
      <c r="AZ570" s="0" t="s">
        <v>6179</v>
      </c>
      <c r="BD570" s="0" t="s">
        <v>873</v>
      </c>
      <c r="BE570" s="0" t="s">
        <v>6180</v>
      </c>
      <c r="BJ570" s="0" t="s">
        <v>118</v>
      </c>
      <c r="BU570" s="0" t="s">
        <v>6181</v>
      </c>
      <c r="BX570" s="0" t="s">
        <v>6182</v>
      </c>
      <c r="CC570" s="0" t="s">
        <v>6183</v>
      </c>
      <c r="CI570" s="0" t="s">
        <v>6182</v>
      </c>
      <c r="CP570" s="1" t="s">
        <v>6184</v>
      </c>
      <c r="CR570" s="0" t="s">
        <v>6185</v>
      </c>
    </row>
    <row r="571" customFormat="false" ht="12.8" hidden="false" customHeight="false" outlineLevel="0" collapsed="false">
      <c r="A571" s="0" t="s">
        <v>445</v>
      </c>
      <c r="B571" s="0" t="s">
        <v>5834</v>
      </c>
      <c r="C571" s="0" t="s">
        <v>1685</v>
      </c>
      <c r="D571" s="0" t="s">
        <v>1686</v>
      </c>
      <c r="E571" s="0" t="s">
        <v>6186</v>
      </c>
      <c r="L571" s="0" t="str">
        <f aca="false">"1658"</f>
        <v>1658</v>
      </c>
      <c r="M571" s="0" t="s">
        <v>448</v>
      </c>
      <c r="O571" s="0" t="s">
        <v>5008</v>
      </c>
      <c r="Q571" s="0" t="s">
        <v>6187</v>
      </c>
      <c r="R571" s="0" t="s">
        <v>4697</v>
      </c>
      <c r="T571" s="0" t="s">
        <v>99</v>
      </c>
      <c r="Z571" s="0" t="s">
        <v>6188</v>
      </c>
      <c r="AB571" s="0" t="s">
        <v>6189</v>
      </c>
      <c r="AS571" s="0" t="s">
        <v>6190</v>
      </c>
      <c r="AT571" s="0" t="s">
        <v>2601</v>
      </c>
      <c r="AU571" s="0" t="s">
        <v>892</v>
      </c>
      <c r="AY571" s="0" t="s">
        <v>6191</v>
      </c>
      <c r="BX571" s="0" t="s">
        <v>6192</v>
      </c>
      <c r="CI571" s="0" t="s">
        <v>6192</v>
      </c>
    </row>
    <row r="572" customFormat="false" ht="12.8" hidden="false" customHeight="false" outlineLevel="0" collapsed="false">
      <c r="B572" s="0" t="s">
        <v>6193</v>
      </c>
      <c r="C572" s="0" t="s">
        <v>1056</v>
      </c>
      <c r="D572" s="0" t="s">
        <v>1057</v>
      </c>
      <c r="E572" s="0" t="s">
        <v>6194</v>
      </c>
      <c r="L572" s="0" t="str">
        <f aca="false">"1660"</f>
        <v>1660</v>
      </c>
      <c r="O572" s="0" t="s">
        <v>6195</v>
      </c>
      <c r="R572" s="0" t="s">
        <v>6196</v>
      </c>
      <c r="T572" s="0" t="s">
        <v>1057</v>
      </c>
      <c r="AB572" s="0" t="s">
        <v>6197</v>
      </c>
      <c r="AT572" s="0" t="s">
        <v>2601</v>
      </c>
      <c r="AU572" s="0" t="s">
        <v>2613</v>
      </c>
      <c r="AY572" s="0" t="s">
        <v>6198</v>
      </c>
      <c r="BX572" s="0" t="s">
        <v>6199</v>
      </c>
      <c r="CI572" s="0" t="s">
        <v>6199</v>
      </c>
    </row>
    <row r="573" customFormat="false" ht="22.5" hidden="false" customHeight="false" outlineLevel="0" collapsed="false">
      <c r="A573" s="0" t="s">
        <v>445</v>
      </c>
      <c r="B573" s="0" t="s">
        <v>6200</v>
      </c>
      <c r="C573" s="0" t="s">
        <v>3941</v>
      </c>
      <c r="D573" s="0" t="s">
        <v>3070</v>
      </c>
      <c r="E573" s="0" t="s">
        <v>6201</v>
      </c>
      <c r="L573" s="0" t="str">
        <f aca="false">"1660"</f>
        <v>1660</v>
      </c>
      <c r="M573" s="0" t="s">
        <v>448</v>
      </c>
      <c r="O573" s="0" t="s">
        <v>6202</v>
      </c>
      <c r="R573" s="0" t="s">
        <v>4822</v>
      </c>
      <c r="T573" s="0" t="s">
        <v>3070</v>
      </c>
      <c r="Z573" s="0" t="s">
        <v>6203</v>
      </c>
      <c r="AB573" s="0" t="s">
        <v>6204</v>
      </c>
      <c r="AS573" s="0" t="s">
        <v>6205</v>
      </c>
      <c r="AT573" s="0" t="s">
        <v>2601</v>
      </c>
      <c r="AU573" s="0" t="s">
        <v>2457</v>
      </c>
      <c r="AY573" s="0" t="s">
        <v>6206</v>
      </c>
      <c r="BC573" s="0" t="str">
        <f aca="false">"730418731"</f>
        <v>730418731</v>
      </c>
      <c r="BX573" s="1" t="s">
        <v>6207</v>
      </c>
      <c r="CI573" s="1" t="s">
        <v>6207</v>
      </c>
    </row>
    <row r="574" customFormat="false" ht="33.1" hidden="false" customHeight="false" outlineLevel="0" collapsed="false">
      <c r="A574" s="0" t="s">
        <v>445</v>
      </c>
      <c r="B574" s="0" t="s">
        <v>6208</v>
      </c>
      <c r="C574" s="0" t="s">
        <v>2347</v>
      </c>
      <c r="D574" s="0" t="s">
        <v>329</v>
      </c>
      <c r="E574" s="0" t="s">
        <v>6209</v>
      </c>
      <c r="F574" s="1" t="s">
        <v>1488</v>
      </c>
      <c r="H574" s="0" t="s">
        <v>102</v>
      </c>
      <c r="L574" s="0" t="str">
        <f aca="false">"1660"</f>
        <v>1660</v>
      </c>
      <c r="M574" s="1" t="s">
        <v>193</v>
      </c>
      <c r="O574" s="1" t="s">
        <v>6210</v>
      </c>
      <c r="T574" s="0" t="s">
        <v>6211</v>
      </c>
      <c r="AB574" s="0" t="s">
        <v>6212</v>
      </c>
      <c r="AS574" s="0" t="s">
        <v>6213</v>
      </c>
      <c r="AT574" s="0" t="s">
        <v>2601</v>
      </c>
      <c r="AU574" s="0" t="s">
        <v>872</v>
      </c>
      <c r="AY574" s="0" t="s">
        <v>6214</v>
      </c>
      <c r="BD574" s="0" t="s">
        <v>873</v>
      </c>
      <c r="BE574" s="0" t="s">
        <v>6215</v>
      </c>
      <c r="BJ574" s="0" t="s">
        <v>118</v>
      </c>
      <c r="CP574" s="1" t="s">
        <v>6216</v>
      </c>
    </row>
    <row r="575" customFormat="false" ht="12.8" hidden="false" customHeight="false" outlineLevel="0" collapsed="false">
      <c r="A575" s="0" t="s">
        <v>445</v>
      </c>
      <c r="B575" s="0" t="s">
        <v>6217</v>
      </c>
      <c r="C575" s="0" t="s">
        <v>895</v>
      </c>
      <c r="D575" s="0" t="s">
        <v>896</v>
      </c>
      <c r="E575" s="0" t="s">
        <v>6218</v>
      </c>
      <c r="L575" s="0" t="str">
        <f aca="false">"1660"</f>
        <v>1660</v>
      </c>
      <c r="M575" s="0" t="s">
        <v>448</v>
      </c>
      <c r="O575" s="0" t="s">
        <v>6219</v>
      </c>
      <c r="R575" s="0" t="s">
        <v>6220</v>
      </c>
      <c r="T575" s="0" t="s">
        <v>6221</v>
      </c>
      <c r="AH575" s="0" t="s">
        <v>6222</v>
      </c>
      <c r="AM575" s="0" t="s">
        <v>6223</v>
      </c>
      <c r="AS575" s="0" t="s">
        <v>5870</v>
      </c>
      <c r="AT575" s="0" t="s">
        <v>2601</v>
      </c>
      <c r="AU575" s="0" t="s">
        <v>2457</v>
      </c>
      <c r="AY575" s="0" t="s">
        <v>6224</v>
      </c>
      <c r="BX575" s="0" t="s">
        <v>6225</v>
      </c>
      <c r="CI575" s="0" t="s">
        <v>6225</v>
      </c>
    </row>
    <row r="576" customFormat="false" ht="12.8" hidden="false" customHeight="false" outlineLevel="0" collapsed="false">
      <c r="A576" s="0" t="s">
        <v>445</v>
      </c>
      <c r="B576" s="0" t="s">
        <v>6226</v>
      </c>
      <c r="C576" s="0" t="s">
        <v>242</v>
      </c>
      <c r="D576" s="0" t="s">
        <v>243</v>
      </c>
      <c r="E576" s="0" t="s">
        <v>6227</v>
      </c>
      <c r="L576" s="0" t="str">
        <f aca="false">"1662"</f>
        <v>1662</v>
      </c>
      <c r="M576" s="0" t="s">
        <v>448</v>
      </c>
      <c r="O576" s="0" t="s">
        <v>6228</v>
      </c>
      <c r="R576" s="0" t="s">
        <v>6229</v>
      </c>
      <c r="T576" s="0" t="s">
        <v>4880</v>
      </c>
      <c r="Z576" s="0" t="s">
        <v>6230</v>
      </c>
      <c r="AS576" s="0" t="s">
        <v>6231</v>
      </c>
      <c r="AT576" s="0" t="s">
        <v>2601</v>
      </c>
      <c r="AU576" s="0" t="s">
        <v>892</v>
      </c>
      <c r="AY576" s="0" t="s">
        <v>6232</v>
      </c>
      <c r="AZ576" s="0" t="s">
        <v>6233</v>
      </c>
      <c r="BC576" s="0" t="str">
        <f aca="false">"535900031"</f>
        <v>535900031</v>
      </c>
      <c r="BX576" s="0" t="s">
        <v>6234</v>
      </c>
      <c r="CI576" s="0" t="s">
        <v>6234</v>
      </c>
    </row>
    <row r="577" customFormat="false" ht="22.5" hidden="false" customHeight="false" outlineLevel="0" collapsed="false">
      <c r="A577" s="0" t="s">
        <v>445</v>
      </c>
      <c r="B577" s="0" t="s">
        <v>6235</v>
      </c>
      <c r="C577" s="0" t="s">
        <v>224</v>
      </c>
      <c r="D577" s="0" t="s">
        <v>225</v>
      </c>
      <c r="E577" s="0" t="s">
        <v>6236</v>
      </c>
      <c r="F577" s="0" t="s">
        <v>192</v>
      </c>
      <c r="H577" s="0" t="s">
        <v>102</v>
      </c>
      <c r="L577" s="0" t="str">
        <f aca="false">"1666"</f>
        <v>1666</v>
      </c>
      <c r="M577" s="1" t="s">
        <v>370</v>
      </c>
      <c r="O577" s="1" t="s">
        <v>6237</v>
      </c>
      <c r="T577" s="0" t="s">
        <v>1346</v>
      </c>
      <c r="Z577" s="0" t="s">
        <v>6238</v>
      </c>
      <c r="AG577" s="0" t="s">
        <v>4766</v>
      </c>
      <c r="AH577" s="0" t="s">
        <v>247</v>
      </c>
      <c r="AI577" s="0" t="s">
        <v>6239</v>
      </c>
      <c r="AM577" s="0" t="s">
        <v>6240</v>
      </c>
      <c r="AS577" s="0" t="s">
        <v>6241</v>
      </c>
      <c r="AT577" s="0" t="s">
        <v>2601</v>
      </c>
      <c r="AU577" s="0" t="s">
        <v>872</v>
      </c>
      <c r="AY577" s="0" t="s">
        <v>6242</v>
      </c>
      <c r="AZ577" s="0" t="s">
        <v>6243</v>
      </c>
      <c r="BD577" s="0" t="s">
        <v>873</v>
      </c>
      <c r="BE577" s="0" t="s">
        <v>6244</v>
      </c>
      <c r="BJ577" s="0" t="s">
        <v>118</v>
      </c>
      <c r="BX577" s="0" t="s">
        <v>6245</v>
      </c>
      <c r="CA577" s="0" t="s">
        <v>6246</v>
      </c>
      <c r="CC577" s="1" t="s">
        <v>6247</v>
      </c>
      <c r="CI577" s="0" t="s">
        <v>6245</v>
      </c>
      <c r="CJ577" s="0" t="s">
        <v>6248</v>
      </c>
      <c r="CO577" s="0" t="s">
        <v>6235</v>
      </c>
      <c r="CR577" s="0" t="s">
        <v>6249</v>
      </c>
    </row>
    <row r="578" customFormat="false" ht="22.5" hidden="false" customHeight="false" outlineLevel="0" collapsed="false">
      <c r="A578" s="0" t="s">
        <v>445</v>
      </c>
      <c r="B578" s="0" t="s">
        <v>6250</v>
      </c>
      <c r="C578" s="0" t="s">
        <v>2696</v>
      </c>
      <c r="D578" s="1" t="s">
        <v>2697</v>
      </c>
      <c r="E578" s="0" t="s">
        <v>6251</v>
      </c>
      <c r="L578" s="0" t="str">
        <f aca="false">"1664"</f>
        <v>1664</v>
      </c>
      <c r="M578" s="0" t="s">
        <v>448</v>
      </c>
      <c r="O578" s="0" t="s">
        <v>6252</v>
      </c>
      <c r="R578" s="0" t="s">
        <v>6253</v>
      </c>
      <c r="T578" s="0" t="s">
        <v>3198</v>
      </c>
      <c r="Z578" s="0" t="s">
        <v>6254</v>
      </c>
      <c r="AS578" s="0" t="s">
        <v>6255</v>
      </c>
      <c r="AT578" s="0" t="s">
        <v>2601</v>
      </c>
      <c r="AU578" s="0" t="s">
        <v>892</v>
      </c>
      <c r="AY578" s="0" t="s">
        <v>6256</v>
      </c>
      <c r="AZ578" s="0" t="s">
        <v>6257</v>
      </c>
      <c r="BC578" s="0" t="str">
        <f aca="false">"092209726"</f>
        <v>092209726</v>
      </c>
      <c r="BX578" s="0" t="s">
        <v>6258</v>
      </c>
      <c r="CI578" s="0" t="s">
        <v>6258</v>
      </c>
    </row>
    <row r="579" customFormat="false" ht="12.8" hidden="false" customHeight="false" outlineLevel="0" collapsed="false">
      <c r="A579" s="0" t="s">
        <v>445</v>
      </c>
      <c r="B579" s="0" t="s">
        <v>6259</v>
      </c>
      <c r="C579" s="0" t="s">
        <v>1685</v>
      </c>
      <c r="D579" s="0" t="s">
        <v>1686</v>
      </c>
      <c r="E579" s="0" t="s">
        <v>6260</v>
      </c>
      <c r="L579" s="0" t="str">
        <f aca="false">"1666"</f>
        <v>1666</v>
      </c>
      <c r="M579" s="0" t="s">
        <v>448</v>
      </c>
      <c r="O579" s="0" t="s">
        <v>6261</v>
      </c>
      <c r="R579" s="0" t="s">
        <v>6262</v>
      </c>
      <c r="T579" s="0" t="s">
        <v>1050</v>
      </c>
      <c r="Z579" s="0" t="s">
        <v>6263</v>
      </c>
      <c r="AS579" s="0" t="s">
        <v>6264</v>
      </c>
      <c r="AT579" s="0" t="s">
        <v>2601</v>
      </c>
      <c r="AU579" s="0" t="s">
        <v>892</v>
      </c>
      <c r="AY579" s="0" t="s">
        <v>6265</v>
      </c>
      <c r="AZ579" s="0" t="s">
        <v>6266</v>
      </c>
      <c r="BC579" s="0" t="str">
        <f aca="false">"535633262"</f>
        <v>535633262</v>
      </c>
      <c r="BU579" s="0" t="s">
        <v>6267</v>
      </c>
      <c r="BX579" s="0" t="s">
        <v>6268</v>
      </c>
      <c r="CI579" s="0" t="s">
        <v>6268</v>
      </c>
    </row>
    <row r="580" customFormat="false" ht="22.5" hidden="false" customHeight="false" outlineLevel="0" collapsed="false">
      <c r="A580" s="0" t="s">
        <v>445</v>
      </c>
      <c r="B580" s="0" t="s">
        <v>6269</v>
      </c>
      <c r="C580" s="0" t="s">
        <v>2696</v>
      </c>
      <c r="D580" s="1" t="s">
        <v>2697</v>
      </c>
      <c r="E580" s="0" t="s">
        <v>6270</v>
      </c>
      <c r="L580" s="0" t="str">
        <f aca="false">"1667"</f>
        <v>1667</v>
      </c>
      <c r="M580" s="0" t="s">
        <v>448</v>
      </c>
      <c r="O580" s="0" t="s">
        <v>6271</v>
      </c>
      <c r="R580" s="0" t="s">
        <v>6272</v>
      </c>
      <c r="T580" s="0" t="s">
        <v>6273</v>
      </c>
      <c r="Z580" s="0" t="s">
        <v>6274</v>
      </c>
      <c r="AB580" s="0" t="s">
        <v>6275</v>
      </c>
      <c r="AS580" s="0" t="s">
        <v>1945</v>
      </c>
      <c r="AT580" s="0" t="s">
        <v>2601</v>
      </c>
      <c r="AU580" s="0" t="s">
        <v>2457</v>
      </c>
      <c r="AY580" s="0" t="s">
        <v>6276</v>
      </c>
      <c r="AZ580" s="0" t="s">
        <v>6277</v>
      </c>
      <c r="BC580" s="0" t="str">
        <f aca="false">"091924596"</f>
        <v>091924596</v>
      </c>
      <c r="BX580" s="0" t="s">
        <v>6278</v>
      </c>
      <c r="CI580" s="0" t="s">
        <v>6278</v>
      </c>
    </row>
    <row r="581" customFormat="false" ht="12.8" hidden="false" customHeight="false" outlineLevel="0" collapsed="false">
      <c r="A581" s="0" t="s">
        <v>445</v>
      </c>
      <c r="B581" s="0" t="s">
        <v>6279</v>
      </c>
      <c r="C581" s="0" t="s">
        <v>6280</v>
      </c>
      <c r="D581" s="0" t="s">
        <v>2718</v>
      </c>
      <c r="E581" s="0" t="s">
        <v>6281</v>
      </c>
      <c r="L581" s="0" t="str">
        <f aca="false">"1667"</f>
        <v>1667</v>
      </c>
      <c r="M581" s="0" t="s">
        <v>448</v>
      </c>
      <c r="O581" s="0" t="s">
        <v>6111</v>
      </c>
      <c r="R581" s="0" t="s">
        <v>6282</v>
      </c>
      <c r="T581" s="0" t="s">
        <v>4185</v>
      </c>
      <c r="Z581" s="0" t="s">
        <v>6283</v>
      </c>
      <c r="AS581" s="0" t="s">
        <v>5026</v>
      </c>
      <c r="AT581" s="0" t="s">
        <v>2601</v>
      </c>
      <c r="AU581" s="0" t="s">
        <v>892</v>
      </c>
      <c r="AY581" s="0" t="s">
        <v>6284</v>
      </c>
      <c r="AZ581" s="0" t="s">
        <v>6285</v>
      </c>
      <c r="BC581" s="0" t="s">
        <v>6286</v>
      </c>
      <c r="BX581" s="0" t="s">
        <v>6287</v>
      </c>
      <c r="CI581" s="0" t="s">
        <v>6287</v>
      </c>
    </row>
    <row r="582" customFormat="false" ht="22.5" hidden="false" customHeight="false" outlineLevel="0" collapsed="false">
      <c r="A582" s="0" t="s">
        <v>445</v>
      </c>
      <c r="B582" s="0" t="s">
        <v>6288</v>
      </c>
      <c r="C582" s="0" t="s">
        <v>2696</v>
      </c>
      <c r="D582" s="1" t="s">
        <v>2697</v>
      </c>
      <c r="E582" s="0" t="s">
        <v>6289</v>
      </c>
      <c r="L582" s="0" t="str">
        <f aca="false">"1669"</f>
        <v>1669</v>
      </c>
      <c r="M582" s="0" t="s">
        <v>448</v>
      </c>
      <c r="O582" s="0" t="s">
        <v>6271</v>
      </c>
      <c r="R582" s="0" t="s">
        <v>6272</v>
      </c>
      <c r="T582" s="0" t="s">
        <v>6273</v>
      </c>
      <c r="Z582" s="0" t="s">
        <v>6290</v>
      </c>
      <c r="AB582" s="0" t="s">
        <v>6291</v>
      </c>
      <c r="AS582" s="0" t="s">
        <v>1945</v>
      </c>
      <c r="AT582" s="0" t="s">
        <v>2601</v>
      </c>
      <c r="AU582" s="0" t="s">
        <v>2457</v>
      </c>
      <c r="AY582" s="0" t="s">
        <v>6292</v>
      </c>
      <c r="AZ582" s="0" t="s">
        <v>6293</v>
      </c>
      <c r="BC582" s="0" t="s">
        <v>6294</v>
      </c>
      <c r="BX582" s="0" t="s">
        <v>6295</v>
      </c>
      <c r="CI582" s="0" t="s">
        <v>6295</v>
      </c>
    </row>
    <row r="583" customFormat="false" ht="12.8" hidden="false" customHeight="false" outlineLevel="0" collapsed="false">
      <c r="A583" s="0" t="s">
        <v>445</v>
      </c>
      <c r="B583" s="0" t="s">
        <v>6296</v>
      </c>
      <c r="C583" s="0" t="s">
        <v>224</v>
      </c>
      <c r="D583" s="0" t="s">
        <v>225</v>
      </c>
      <c r="E583" s="0" t="s">
        <v>6297</v>
      </c>
      <c r="L583" s="0" t="str">
        <f aca="false">"1672"</f>
        <v>1672</v>
      </c>
      <c r="O583" s="0" t="s">
        <v>4810</v>
      </c>
      <c r="R583" s="0" t="s">
        <v>6298</v>
      </c>
      <c r="T583" s="0" t="s">
        <v>225</v>
      </c>
      <c r="Z583" s="0" t="s">
        <v>6299</v>
      </c>
      <c r="AB583" s="0" t="s">
        <v>6300</v>
      </c>
      <c r="AS583" s="0" t="s">
        <v>4557</v>
      </c>
      <c r="AT583" s="0" t="s">
        <v>2601</v>
      </c>
      <c r="AU583" s="0" t="s">
        <v>2457</v>
      </c>
      <c r="AY583" s="0" t="s">
        <v>6301</v>
      </c>
      <c r="AZ583" s="0" t="s">
        <v>6302</v>
      </c>
      <c r="BX583" s="0" t="s">
        <v>6303</v>
      </c>
      <c r="CI583" s="0" t="s">
        <v>6303</v>
      </c>
    </row>
    <row r="584" customFormat="false" ht="12.8" hidden="false" customHeight="false" outlineLevel="0" collapsed="false">
      <c r="A584" s="0" t="s">
        <v>445</v>
      </c>
      <c r="B584" s="0" t="s">
        <v>6304</v>
      </c>
      <c r="C584" s="0" t="s">
        <v>224</v>
      </c>
      <c r="D584" s="0" t="s">
        <v>225</v>
      </c>
      <c r="E584" s="0" t="s">
        <v>6305</v>
      </c>
      <c r="L584" s="0" t="str">
        <f aca="false">"1672"</f>
        <v>1672</v>
      </c>
      <c r="O584" s="0" t="s">
        <v>6306</v>
      </c>
      <c r="R584" s="0" t="s">
        <v>6307</v>
      </c>
      <c r="T584" s="0" t="s">
        <v>6308</v>
      </c>
      <c r="Z584" s="0" t="s">
        <v>6309</v>
      </c>
      <c r="AS584" s="0" t="s">
        <v>3944</v>
      </c>
      <c r="AT584" s="0" t="s">
        <v>2601</v>
      </c>
      <c r="AU584" s="0" t="s">
        <v>892</v>
      </c>
      <c r="AY584" s="0" t="s">
        <v>6310</v>
      </c>
      <c r="AZ584" s="0" t="s">
        <v>6311</v>
      </c>
      <c r="BC584" s="0" t="s">
        <v>5026</v>
      </c>
      <c r="BX584" s="0" t="s">
        <v>6312</v>
      </c>
      <c r="CI584" s="0" t="s">
        <v>6312</v>
      </c>
    </row>
    <row r="585" customFormat="false" ht="12.8" hidden="false" customHeight="false" outlineLevel="0" collapsed="false">
      <c r="B585" s="0" t="s">
        <v>6313</v>
      </c>
      <c r="C585" s="0" t="s">
        <v>6314</v>
      </c>
      <c r="D585" s="0" t="s">
        <v>6315</v>
      </c>
      <c r="E585" s="0" t="str">
        <f aca="false">"285255"</f>
        <v>285255</v>
      </c>
      <c r="L585" s="0" t="str">
        <f aca="false">"1674"</f>
        <v>1674</v>
      </c>
      <c r="O585" s="0" t="s">
        <v>6316</v>
      </c>
      <c r="R585" s="0" t="s">
        <v>6317</v>
      </c>
      <c r="T585" s="0" t="s">
        <v>1057</v>
      </c>
      <c r="AB585" s="0" t="s">
        <v>6318</v>
      </c>
      <c r="AT585" s="0" t="s">
        <v>2601</v>
      </c>
      <c r="AU585" s="0" t="s">
        <v>2613</v>
      </c>
      <c r="AY585" s="0" t="s">
        <v>6319</v>
      </c>
      <c r="CA585" s="0" t="s">
        <v>2853</v>
      </c>
    </row>
    <row r="586" customFormat="false" ht="22.5" hidden="false" customHeight="false" outlineLevel="0" collapsed="false">
      <c r="A586" s="0" t="s">
        <v>445</v>
      </c>
      <c r="B586" s="0" t="s">
        <v>6320</v>
      </c>
      <c r="C586" s="0" t="s">
        <v>4747</v>
      </c>
      <c r="D586" s="0" t="s">
        <v>4139</v>
      </c>
      <c r="E586" s="0" t="s">
        <v>6321</v>
      </c>
      <c r="L586" s="0" t="str">
        <f aca="false">"1679"</f>
        <v>1679</v>
      </c>
      <c r="M586" s="0" t="s">
        <v>448</v>
      </c>
      <c r="O586" s="1" t="s">
        <v>6322</v>
      </c>
      <c r="R586" s="0" t="s">
        <v>6323</v>
      </c>
      <c r="T586" s="0" t="s">
        <v>6324</v>
      </c>
      <c r="Z586" s="0" t="s">
        <v>6325</v>
      </c>
      <c r="AB586" s="0" t="s">
        <v>6326</v>
      </c>
      <c r="AS586" s="0" t="s">
        <v>6327</v>
      </c>
      <c r="AT586" s="0" t="s">
        <v>2601</v>
      </c>
      <c r="AU586" s="0" t="s">
        <v>2457</v>
      </c>
      <c r="AY586" s="0" t="s">
        <v>6328</v>
      </c>
      <c r="BX586" s="0" t="s">
        <v>6329</v>
      </c>
      <c r="CB586" s="0" t="str">
        <f aca="false">"27.10.1679"</f>
        <v>27.10.1679</v>
      </c>
      <c r="CI586" s="0" t="s">
        <v>6329</v>
      </c>
    </row>
    <row r="587" customFormat="false" ht="22.5" hidden="false" customHeight="false" outlineLevel="0" collapsed="false">
      <c r="A587" s="0" t="s">
        <v>445</v>
      </c>
      <c r="B587" s="0" t="s">
        <v>6330</v>
      </c>
      <c r="C587" s="0" t="s">
        <v>6280</v>
      </c>
      <c r="D587" s="0" t="s">
        <v>2718</v>
      </c>
      <c r="E587" s="0" t="s">
        <v>6331</v>
      </c>
      <c r="L587" s="0" t="str">
        <f aca="false">"1679"</f>
        <v>1679</v>
      </c>
      <c r="M587" s="0" t="s">
        <v>448</v>
      </c>
      <c r="O587" s="0" t="s">
        <v>6332</v>
      </c>
      <c r="R587" s="1" t="s">
        <v>6333</v>
      </c>
      <c r="T587" s="0" t="s">
        <v>1150</v>
      </c>
      <c r="Z587" s="0" t="s">
        <v>6334</v>
      </c>
      <c r="AS587" s="0" t="s">
        <v>6335</v>
      </c>
      <c r="AT587" s="0" t="s">
        <v>2601</v>
      </c>
      <c r="AU587" s="0" t="s">
        <v>892</v>
      </c>
      <c r="AY587" s="0" t="s">
        <v>6336</v>
      </c>
      <c r="AZ587" s="0" t="s">
        <v>6337</v>
      </c>
      <c r="BX587" s="0" t="s">
        <v>6338</v>
      </c>
      <c r="CI587" s="0" t="s">
        <v>6338</v>
      </c>
    </row>
    <row r="588" customFormat="false" ht="22.5" hidden="false" customHeight="false" outlineLevel="0" collapsed="false">
      <c r="B588" s="0" t="s">
        <v>6339</v>
      </c>
      <c r="C588" s="0" t="s">
        <v>1685</v>
      </c>
      <c r="D588" s="0" t="s">
        <v>1686</v>
      </c>
      <c r="E588" s="0" t="s">
        <v>6340</v>
      </c>
      <c r="L588" s="0" t="str">
        <f aca="false">"1679"</f>
        <v>1679</v>
      </c>
      <c r="M588" s="0" t="s">
        <v>6341</v>
      </c>
      <c r="O588" s="1" t="s">
        <v>6342</v>
      </c>
      <c r="R588" s="1" t="s">
        <v>6343</v>
      </c>
      <c r="T588" s="0" t="s">
        <v>243</v>
      </c>
      <c r="Z588" s="0" t="s">
        <v>6344</v>
      </c>
      <c r="AB588" s="0" t="s">
        <v>6345</v>
      </c>
      <c r="AS588" s="0" t="s">
        <v>6346</v>
      </c>
      <c r="AT588" s="0" t="s">
        <v>2601</v>
      </c>
      <c r="AU588" s="0" t="s">
        <v>2457</v>
      </c>
      <c r="AY588" s="0" t="s">
        <v>6347</v>
      </c>
      <c r="AZ588" s="0" t="s">
        <v>6348</v>
      </c>
      <c r="BX588" s="0" t="s">
        <v>6349</v>
      </c>
      <c r="CC588" s="0" t="s">
        <v>6350</v>
      </c>
      <c r="CI588" s="0" t="s">
        <v>6349</v>
      </c>
    </row>
    <row r="589" customFormat="false" ht="22.5" hidden="false" customHeight="false" outlineLevel="0" collapsed="false">
      <c r="A589" s="0" t="s">
        <v>445</v>
      </c>
      <c r="B589" s="0" t="s">
        <v>6351</v>
      </c>
      <c r="C589" s="0" t="s">
        <v>1685</v>
      </c>
      <c r="D589" s="0" t="s">
        <v>1686</v>
      </c>
      <c r="E589" s="0" t="s">
        <v>6352</v>
      </c>
      <c r="L589" s="0" t="str">
        <f aca="false">"1679"</f>
        <v>1679</v>
      </c>
      <c r="M589" s="0" t="s">
        <v>448</v>
      </c>
      <c r="O589" s="1" t="s">
        <v>6353</v>
      </c>
      <c r="R589" s="0" t="s">
        <v>6354</v>
      </c>
      <c r="T589" s="0" t="s">
        <v>6355</v>
      </c>
      <c r="Z589" s="0" t="s">
        <v>6356</v>
      </c>
      <c r="AB589" s="0" t="s">
        <v>6357</v>
      </c>
      <c r="AS589" s="0" t="s">
        <v>6358</v>
      </c>
      <c r="AT589" s="0" t="s">
        <v>2601</v>
      </c>
      <c r="AU589" s="0" t="s">
        <v>2457</v>
      </c>
      <c r="AY589" s="0" t="s">
        <v>6359</v>
      </c>
      <c r="AZ589" s="0" t="s">
        <v>6360</v>
      </c>
      <c r="BX589" s="0" t="s">
        <v>6361</v>
      </c>
      <c r="CB589" s="0" t="str">
        <f aca="false">"27.10.1679"</f>
        <v>27.10.1679</v>
      </c>
      <c r="CI589" s="0" t="s">
        <v>6361</v>
      </c>
    </row>
    <row r="590" customFormat="false" ht="12.8" hidden="false" customHeight="false" outlineLevel="0" collapsed="false">
      <c r="A590" s="0" t="s">
        <v>445</v>
      </c>
      <c r="B590" s="0" t="s">
        <v>6362</v>
      </c>
      <c r="C590" s="0" t="s">
        <v>224</v>
      </c>
      <c r="D590" s="0" t="s">
        <v>225</v>
      </c>
      <c r="E590" s="0" t="s">
        <v>6363</v>
      </c>
      <c r="L590" s="0" t="str">
        <f aca="false">"1679"</f>
        <v>1679</v>
      </c>
      <c r="M590" s="0" t="s">
        <v>448</v>
      </c>
      <c r="O590" s="0" t="s">
        <v>6364</v>
      </c>
      <c r="R590" s="0" t="s">
        <v>6365</v>
      </c>
      <c r="T590" s="0" t="s">
        <v>6366</v>
      </c>
      <c r="Z590" s="0" t="s">
        <v>6367</v>
      </c>
      <c r="AS590" s="0" t="s">
        <v>6368</v>
      </c>
      <c r="AT590" s="0" t="s">
        <v>2601</v>
      </c>
      <c r="AU590" s="0" t="s">
        <v>2457</v>
      </c>
      <c r="AY590" s="0" t="s">
        <v>6369</v>
      </c>
      <c r="AZ590" s="0" t="s">
        <v>6370</v>
      </c>
      <c r="BX590" s="0" t="s">
        <v>6371</v>
      </c>
      <c r="CI590" s="0" t="s">
        <v>6371</v>
      </c>
    </row>
    <row r="591" customFormat="false" ht="86.25" hidden="false" customHeight="false" outlineLevel="0" collapsed="false">
      <c r="A591" s="0" t="s">
        <v>445</v>
      </c>
      <c r="B591" s="0" t="s">
        <v>6372</v>
      </c>
      <c r="C591" s="0" t="s">
        <v>242</v>
      </c>
      <c r="D591" s="0" t="s">
        <v>243</v>
      </c>
      <c r="E591" s="0" t="s">
        <v>6373</v>
      </c>
      <c r="F591" s="0" t="s">
        <v>192</v>
      </c>
      <c r="H591" s="0" t="s">
        <v>102</v>
      </c>
      <c r="L591" s="0" t="str">
        <f aca="false">"1680"</f>
        <v>1680</v>
      </c>
      <c r="M591" s="1" t="s">
        <v>6374</v>
      </c>
      <c r="O591" s="1" t="s">
        <v>6375</v>
      </c>
      <c r="T591" s="0" t="s">
        <v>243</v>
      </c>
      <c r="Z591" s="0" t="s">
        <v>6376</v>
      </c>
      <c r="AB591" s="0" t="s">
        <v>6377</v>
      </c>
      <c r="AS591" s="0" t="s">
        <v>6378</v>
      </c>
      <c r="AT591" s="0" t="s">
        <v>2601</v>
      </c>
      <c r="AU591" s="0" t="s">
        <v>112</v>
      </c>
      <c r="AY591" s="0" t="s">
        <v>6379</v>
      </c>
      <c r="AZ591" s="0" t="s">
        <v>6380</v>
      </c>
      <c r="BC591" s="0" t="str">
        <f aca="false">"323327850"</f>
        <v>323327850</v>
      </c>
      <c r="BD591" s="0" t="s">
        <v>873</v>
      </c>
      <c r="BE591" s="0" t="s">
        <v>6381</v>
      </c>
      <c r="BJ591" s="0" t="s">
        <v>118</v>
      </c>
      <c r="BX591" s="0" t="s">
        <v>6382</v>
      </c>
      <c r="CF591" s="1" t="s">
        <v>6383</v>
      </c>
      <c r="CG591" s="0" t="s">
        <v>123</v>
      </c>
      <c r="CH591" s="0" t="s">
        <v>1265</v>
      </c>
      <c r="CI591" s="0" t="s">
        <v>6382</v>
      </c>
      <c r="CJ591" s="0" t="s">
        <v>6384</v>
      </c>
      <c r="CL591" s="0" t="s">
        <v>6385</v>
      </c>
      <c r="CM591" s="0" t="s">
        <v>6385</v>
      </c>
      <c r="CO591" s="0" t="s">
        <v>6386</v>
      </c>
      <c r="CR591" s="0" t="s">
        <v>6387</v>
      </c>
    </row>
    <row r="592" customFormat="false" ht="33.1" hidden="false" customHeight="false" outlineLevel="0" collapsed="false">
      <c r="A592" s="0" t="s">
        <v>445</v>
      </c>
      <c r="B592" s="0" t="s">
        <v>6388</v>
      </c>
      <c r="C592" s="0" t="s">
        <v>2696</v>
      </c>
      <c r="D592" s="1" t="s">
        <v>2697</v>
      </c>
      <c r="E592" s="0" t="s">
        <v>6389</v>
      </c>
      <c r="L592" s="0" t="str">
        <f aca="false">"1680"</f>
        <v>1680</v>
      </c>
      <c r="M592" s="0" t="s">
        <v>448</v>
      </c>
      <c r="O592" s="1" t="s">
        <v>6390</v>
      </c>
      <c r="R592" s="0" t="s">
        <v>5070</v>
      </c>
      <c r="T592" s="0" t="s">
        <v>3198</v>
      </c>
      <c r="Z592" s="0" t="s">
        <v>6391</v>
      </c>
      <c r="AB592" s="0" t="s">
        <v>6392</v>
      </c>
      <c r="AS592" s="0" t="s">
        <v>5977</v>
      </c>
      <c r="AT592" s="0" t="s">
        <v>2601</v>
      </c>
      <c r="AU592" s="0" t="s">
        <v>892</v>
      </c>
      <c r="AZ592" s="0" t="s">
        <v>6393</v>
      </c>
      <c r="BX592" s="0" t="s">
        <v>6394</v>
      </c>
      <c r="CB592" s="0" t="str">
        <f aca="false">"18.01.1680"</f>
        <v>18.01.1680</v>
      </c>
      <c r="CI592" s="0" t="s">
        <v>6394</v>
      </c>
    </row>
    <row r="593" customFormat="false" ht="12.8" hidden="false" customHeight="false" outlineLevel="0" collapsed="false">
      <c r="A593" s="0" t="s">
        <v>445</v>
      </c>
      <c r="B593" s="0" t="s">
        <v>6395</v>
      </c>
      <c r="C593" s="0" t="s">
        <v>1429</v>
      </c>
      <c r="D593" s="0" t="s">
        <v>99</v>
      </c>
      <c r="E593" s="0" t="s">
        <v>6396</v>
      </c>
      <c r="L593" s="0" t="str">
        <f aca="false">"1680"</f>
        <v>1680</v>
      </c>
      <c r="M593" s="0" t="s">
        <v>448</v>
      </c>
      <c r="O593" s="0" t="s">
        <v>6397</v>
      </c>
      <c r="R593" s="0" t="s">
        <v>4697</v>
      </c>
      <c r="T593" s="0" t="s">
        <v>99</v>
      </c>
      <c r="Z593" s="0" t="s">
        <v>6398</v>
      </c>
      <c r="AB593" s="0" t="s">
        <v>6399</v>
      </c>
      <c r="AS593" s="0" t="s">
        <v>6400</v>
      </c>
      <c r="AT593" s="0" t="s">
        <v>2601</v>
      </c>
      <c r="AU593" s="0" t="s">
        <v>892</v>
      </c>
      <c r="AY593" s="0" t="s">
        <v>6401</v>
      </c>
      <c r="AZ593" s="0" t="s">
        <v>6402</v>
      </c>
      <c r="BX593" s="0" t="s">
        <v>6403</v>
      </c>
      <c r="CI593" s="0" t="s">
        <v>6403</v>
      </c>
      <c r="CP593" s="0" t="s">
        <v>6404</v>
      </c>
    </row>
    <row r="594" customFormat="false" ht="12.8" hidden="false" customHeight="false" outlineLevel="0" collapsed="false">
      <c r="B594" s="0" t="s">
        <v>6405</v>
      </c>
      <c r="C594" s="0" t="s">
        <v>224</v>
      </c>
      <c r="D594" s="0" t="s">
        <v>225</v>
      </c>
      <c r="E594" s="0" t="s">
        <v>6406</v>
      </c>
      <c r="L594" s="0" t="str">
        <f aca="false">"1680"</f>
        <v>1680</v>
      </c>
      <c r="M594" s="0" t="s">
        <v>448</v>
      </c>
      <c r="O594" s="0" t="s">
        <v>6407</v>
      </c>
      <c r="R594" s="0" t="s">
        <v>6408</v>
      </c>
      <c r="T594" s="0" t="s">
        <v>6409</v>
      </c>
      <c r="Z594" s="0" t="s">
        <v>6410</v>
      </c>
      <c r="AB594" s="0" t="s">
        <v>6411</v>
      </c>
      <c r="AS594" s="0" t="s">
        <v>6412</v>
      </c>
      <c r="AT594" s="0" t="s">
        <v>2601</v>
      </c>
      <c r="AU594" s="0" t="s">
        <v>2457</v>
      </c>
      <c r="BU594" s="0" t="s">
        <v>6413</v>
      </c>
      <c r="BX594" s="0" t="s">
        <v>6414</v>
      </c>
      <c r="CI594" s="0" t="s">
        <v>6414</v>
      </c>
    </row>
    <row r="595" customFormat="false" ht="12.8" hidden="false" customHeight="false" outlineLevel="0" collapsed="false">
      <c r="A595" s="0" t="s">
        <v>445</v>
      </c>
      <c r="B595" s="0" t="s">
        <v>6415</v>
      </c>
      <c r="C595" s="0" t="s">
        <v>6416</v>
      </c>
      <c r="D595" s="0" t="s">
        <v>6417</v>
      </c>
      <c r="E595" s="0" t="s">
        <v>6418</v>
      </c>
      <c r="L595" s="0" t="str">
        <f aca="false">"1684"</f>
        <v>1684</v>
      </c>
      <c r="O595" s="0" t="s">
        <v>6419</v>
      </c>
      <c r="R595" s="0" t="s">
        <v>6420</v>
      </c>
      <c r="T595" s="0" t="s">
        <v>1057</v>
      </c>
      <c r="V595" s="0" t="s">
        <v>6421</v>
      </c>
      <c r="AB595" s="0" t="s">
        <v>6422</v>
      </c>
      <c r="AT595" s="0" t="s">
        <v>2601</v>
      </c>
      <c r="AU595" s="0" t="s">
        <v>2457</v>
      </c>
      <c r="AY595" s="0" t="s">
        <v>6423</v>
      </c>
      <c r="BX595" s="0" t="s">
        <v>6424</v>
      </c>
      <c r="CI595" s="0" t="s">
        <v>6424</v>
      </c>
    </row>
    <row r="596" customFormat="false" ht="22.5" hidden="false" customHeight="false" outlineLevel="0" collapsed="false">
      <c r="A596" s="0" t="s">
        <v>445</v>
      </c>
      <c r="B596" s="0" t="s">
        <v>6425</v>
      </c>
      <c r="C596" s="0" t="s">
        <v>242</v>
      </c>
      <c r="D596" s="0" t="s">
        <v>243</v>
      </c>
      <c r="E596" s="0" t="s">
        <v>6426</v>
      </c>
      <c r="L596" s="0" t="str">
        <f aca="false">"1685"</f>
        <v>1685</v>
      </c>
      <c r="M596" s="0" t="s">
        <v>448</v>
      </c>
      <c r="O596" s="0" t="s">
        <v>6427</v>
      </c>
      <c r="R596" s="1" t="s">
        <v>6428</v>
      </c>
      <c r="T596" s="0" t="s">
        <v>1050</v>
      </c>
      <c r="Z596" s="0" t="s">
        <v>6429</v>
      </c>
      <c r="AB596" s="0" t="s">
        <v>6430</v>
      </c>
      <c r="AS596" s="0" t="s">
        <v>6431</v>
      </c>
      <c r="AT596" s="0" t="s">
        <v>2601</v>
      </c>
      <c r="AU596" s="0" t="s">
        <v>2457</v>
      </c>
      <c r="AY596" s="0" t="s">
        <v>6432</v>
      </c>
      <c r="AZ596" s="0" t="s">
        <v>6433</v>
      </c>
      <c r="BC596" s="0" t="str">
        <f aca="false">"334523621"</f>
        <v>334523621</v>
      </c>
      <c r="BX596" s="0" t="s">
        <v>6434</v>
      </c>
      <c r="CI596" s="0" t="s">
        <v>6434</v>
      </c>
    </row>
    <row r="597" customFormat="false" ht="33.1" hidden="false" customHeight="false" outlineLevel="0" collapsed="false">
      <c r="A597" s="0" t="s">
        <v>445</v>
      </c>
      <c r="B597" s="0" t="s">
        <v>6435</v>
      </c>
      <c r="C597" s="0" t="s">
        <v>242</v>
      </c>
      <c r="D597" s="0" t="s">
        <v>243</v>
      </c>
      <c r="E597" s="0" t="s">
        <v>6436</v>
      </c>
      <c r="F597" s="0" t="s">
        <v>192</v>
      </c>
      <c r="H597" s="0" t="s">
        <v>102</v>
      </c>
      <c r="L597" s="0" t="str">
        <f aca="false">"1686"</f>
        <v>1686</v>
      </c>
      <c r="M597" s="1" t="s">
        <v>1414</v>
      </c>
      <c r="O597" s="1" t="s">
        <v>6437</v>
      </c>
      <c r="T597" s="0" t="s">
        <v>1346</v>
      </c>
      <c r="Z597" s="0" t="s">
        <v>6438</v>
      </c>
      <c r="AB597" s="0" t="s">
        <v>6439</v>
      </c>
      <c r="AR597" s="0" t="str">
        <f aca="false">"3"</f>
        <v>3</v>
      </c>
      <c r="AS597" s="0" t="s">
        <v>6440</v>
      </c>
      <c r="AT597" s="0" t="s">
        <v>2601</v>
      </c>
      <c r="AU597" s="0" t="s">
        <v>872</v>
      </c>
      <c r="AY597" s="0" t="s">
        <v>6441</v>
      </c>
      <c r="BD597" s="0" t="s">
        <v>1117</v>
      </c>
      <c r="BE597" s="0" t="s">
        <v>6442</v>
      </c>
      <c r="BJ597" s="0" t="s">
        <v>118</v>
      </c>
      <c r="BX597" s="0" t="s">
        <v>6443</v>
      </c>
      <c r="CI597" s="0" t="s">
        <v>6443</v>
      </c>
      <c r="CP597" s="0" t="s">
        <v>6444</v>
      </c>
    </row>
    <row r="598" customFormat="false" ht="54.35" hidden="false" customHeight="false" outlineLevel="0" collapsed="false">
      <c r="A598" s="0" t="s">
        <v>445</v>
      </c>
      <c r="B598" s="0" t="s">
        <v>6445</v>
      </c>
      <c r="C598" s="0" t="s">
        <v>1685</v>
      </c>
      <c r="D598" s="0" t="s">
        <v>1686</v>
      </c>
      <c r="E598" s="0" t="s">
        <v>6446</v>
      </c>
      <c r="L598" s="0" t="str">
        <f aca="false">"1687"</f>
        <v>1687</v>
      </c>
      <c r="O598" s="1" t="s">
        <v>6447</v>
      </c>
      <c r="R598" s="0" t="s">
        <v>6448</v>
      </c>
      <c r="T598" s="0" t="s">
        <v>99</v>
      </c>
      <c r="Z598" s="0" t="s">
        <v>6449</v>
      </c>
      <c r="AB598" s="0" t="s">
        <v>6450</v>
      </c>
      <c r="AS598" s="0" t="s">
        <v>6451</v>
      </c>
      <c r="AT598" s="0" t="s">
        <v>2601</v>
      </c>
      <c r="AU598" s="0" t="s">
        <v>2457</v>
      </c>
      <c r="AY598" s="0" t="s">
        <v>6452</v>
      </c>
      <c r="AZ598" s="0" t="s">
        <v>6453</v>
      </c>
      <c r="BX598" s="0" t="s">
        <v>6454</v>
      </c>
      <c r="CA598" s="0" t="s">
        <v>4623</v>
      </c>
      <c r="CB598" s="0" t="str">
        <f aca="false">"29.09.1687"</f>
        <v>29.09.1687</v>
      </c>
      <c r="CI598" s="0" t="s">
        <v>6454</v>
      </c>
    </row>
    <row r="599" customFormat="false" ht="22.5" hidden="false" customHeight="false" outlineLevel="0" collapsed="false">
      <c r="A599" s="0" t="s">
        <v>197</v>
      </c>
      <c r="B599" s="0" t="s">
        <v>6455</v>
      </c>
      <c r="C599" s="0" t="s">
        <v>224</v>
      </c>
      <c r="D599" s="0" t="s">
        <v>225</v>
      </c>
      <c r="E599" s="0" t="s">
        <v>6456</v>
      </c>
      <c r="L599" s="0" t="str">
        <f aca="false">"1687"</f>
        <v>1687</v>
      </c>
      <c r="M599" s="0" t="s">
        <v>448</v>
      </c>
      <c r="O599" s="0" t="s">
        <v>6457</v>
      </c>
      <c r="R599" s="1" t="s">
        <v>6458</v>
      </c>
      <c r="T599" s="0" t="s">
        <v>1050</v>
      </c>
      <c r="Z599" s="0" t="s">
        <v>6459</v>
      </c>
      <c r="AB599" s="0" t="s">
        <v>6460</v>
      </c>
      <c r="AS599" s="0" t="s">
        <v>6461</v>
      </c>
      <c r="AT599" s="0" t="s">
        <v>2601</v>
      </c>
      <c r="AU599" s="0" t="s">
        <v>2457</v>
      </c>
      <c r="AY599" s="0" t="s">
        <v>6462</v>
      </c>
      <c r="BX599" s="0" t="s">
        <v>6463</v>
      </c>
      <c r="CA599" s="0" t="s">
        <v>6246</v>
      </c>
      <c r="CI599" s="0" t="s">
        <v>6463</v>
      </c>
      <c r="CP599" s="0" t="s">
        <v>6464</v>
      </c>
    </row>
    <row r="600" customFormat="false" ht="22.5" hidden="false" customHeight="false" outlineLevel="0" collapsed="false">
      <c r="A600" s="0" t="s">
        <v>445</v>
      </c>
      <c r="B600" s="0" t="s">
        <v>6465</v>
      </c>
      <c r="C600" s="0" t="s">
        <v>2696</v>
      </c>
      <c r="D600" s="1" t="s">
        <v>2697</v>
      </c>
      <c r="E600" s="0" t="s">
        <v>6466</v>
      </c>
      <c r="L600" s="0" t="str">
        <f aca="false">"1687"</f>
        <v>1687</v>
      </c>
      <c r="M600" s="1" t="s">
        <v>2810</v>
      </c>
      <c r="O600" s="1" t="s">
        <v>6467</v>
      </c>
      <c r="R600" s="1" t="s">
        <v>6468</v>
      </c>
      <c r="T600" s="1" t="s">
        <v>6469</v>
      </c>
      <c r="Z600" s="0" t="s">
        <v>6470</v>
      </c>
      <c r="AS600" s="0" t="s">
        <v>6471</v>
      </c>
      <c r="AT600" s="0" t="s">
        <v>2601</v>
      </c>
      <c r="AU600" s="0" t="s">
        <v>2457</v>
      </c>
      <c r="AY600" s="0" t="s">
        <v>6472</v>
      </c>
      <c r="AZ600" s="0" t="s">
        <v>6473</v>
      </c>
      <c r="BX600" s="0" t="s">
        <v>6474</v>
      </c>
      <c r="CI600" s="0" t="s">
        <v>6474</v>
      </c>
    </row>
    <row r="601" customFormat="false" ht="22.5" hidden="false" customHeight="false" outlineLevel="0" collapsed="false">
      <c r="A601" s="0" t="s">
        <v>445</v>
      </c>
      <c r="B601" s="0" t="s">
        <v>6475</v>
      </c>
      <c r="C601" s="0" t="s">
        <v>2696</v>
      </c>
      <c r="D601" s="1" t="s">
        <v>2697</v>
      </c>
      <c r="E601" s="0" t="s">
        <v>6476</v>
      </c>
      <c r="L601" s="0" t="str">
        <f aca="false">"1690"</f>
        <v>1690</v>
      </c>
      <c r="M601" s="0" t="s">
        <v>448</v>
      </c>
      <c r="O601" s="0" t="s">
        <v>6477</v>
      </c>
      <c r="R601" s="0" t="s">
        <v>6478</v>
      </c>
      <c r="T601" s="0" t="s">
        <v>6479</v>
      </c>
      <c r="Z601" s="0" t="s">
        <v>6480</v>
      </c>
      <c r="AB601" s="0" t="s">
        <v>6481</v>
      </c>
      <c r="AS601" s="0" t="s">
        <v>6482</v>
      </c>
      <c r="AT601" s="0" t="s">
        <v>2601</v>
      </c>
      <c r="AU601" s="0" t="s">
        <v>872</v>
      </c>
      <c r="AY601" s="0" t="s">
        <v>6483</v>
      </c>
      <c r="BX601" s="0" t="s">
        <v>6484</v>
      </c>
      <c r="CI601" s="0" t="s">
        <v>6484</v>
      </c>
      <c r="CJ601" s="0" t="s">
        <v>6485</v>
      </c>
      <c r="CO601" s="0" t="s">
        <v>6486</v>
      </c>
    </row>
    <row r="602" customFormat="false" ht="22.5" hidden="false" customHeight="false" outlineLevel="0" collapsed="false">
      <c r="B602" s="0" t="s">
        <v>6487</v>
      </c>
      <c r="C602" s="0" t="s">
        <v>6416</v>
      </c>
      <c r="D602" s="0" t="s">
        <v>6417</v>
      </c>
      <c r="E602" s="0" t="s">
        <v>6488</v>
      </c>
      <c r="L602" s="0" t="str">
        <f aca="false">"1697"</f>
        <v>1697</v>
      </c>
      <c r="O602" s="0" t="s">
        <v>6489</v>
      </c>
      <c r="R602" s="0" t="s">
        <v>6490</v>
      </c>
      <c r="T602" s="0" t="s">
        <v>1057</v>
      </c>
      <c r="AB602" s="0" t="s">
        <v>6491</v>
      </c>
      <c r="AT602" s="0" t="s">
        <v>2601</v>
      </c>
      <c r="AU602" s="0" t="s">
        <v>2613</v>
      </c>
      <c r="AY602" s="0" t="s">
        <v>6492</v>
      </c>
      <c r="CA602" s="1" t="s">
        <v>6493</v>
      </c>
    </row>
    <row r="603" customFormat="false" ht="22.5" hidden="false" customHeight="false" outlineLevel="0" collapsed="false">
      <c r="B603" s="0" t="s">
        <v>6494</v>
      </c>
      <c r="C603" s="0" t="s">
        <v>6314</v>
      </c>
      <c r="D603" s="0" t="s">
        <v>6315</v>
      </c>
      <c r="E603" s="0" t="str">
        <f aca="false">"222688"</f>
        <v>222688</v>
      </c>
      <c r="L603" s="0" t="str">
        <f aca="false">"1697"</f>
        <v>1697</v>
      </c>
      <c r="O603" s="0" t="s">
        <v>6495</v>
      </c>
      <c r="R603" s="0" t="s">
        <v>6496</v>
      </c>
      <c r="T603" s="0" t="s">
        <v>1057</v>
      </c>
      <c r="AB603" s="0" t="s">
        <v>6497</v>
      </c>
      <c r="AT603" s="0" t="s">
        <v>2601</v>
      </c>
      <c r="AU603" s="0" t="s">
        <v>2613</v>
      </c>
      <c r="AY603" s="0" t="s">
        <v>6498</v>
      </c>
      <c r="CA603" s="1" t="s">
        <v>6493</v>
      </c>
    </row>
    <row r="604" customFormat="false" ht="22.5" hidden="false" customHeight="false" outlineLevel="0" collapsed="false">
      <c r="B604" s="0" t="s">
        <v>6499</v>
      </c>
      <c r="C604" s="0" t="s">
        <v>1213</v>
      </c>
      <c r="D604" s="0" t="s">
        <v>1214</v>
      </c>
      <c r="E604" s="0" t="s">
        <v>6500</v>
      </c>
      <c r="L604" s="0" t="str">
        <f aca="false">"1697"</f>
        <v>1697</v>
      </c>
      <c r="O604" s="1" t="s">
        <v>6501</v>
      </c>
      <c r="R604" s="0" t="s">
        <v>6502</v>
      </c>
      <c r="T604" s="0" t="s">
        <v>6503</v>
      </c>
      <c r="Z604" s="0" t="s">
        <v>6504</v>
      </c>
      <c r="AB604" s="0" t="s">
        <v>6505</v>
      </c>
      <c r="AS604" s="0" t="s">
        <v>5761</v>
      </c>
      <c r="AT604" s="0" t="s">
        <v>2601</v>
      </c>
      <c r="AU604" s="0" t="s">
        <v>2457</v>
      </c>
      <c r="AY604" s="0" t="s">
        <v>6506</v>
      </c>
      <c r="AZ604" s="0" t="s">
        <v>6507</v>
      </c>
      <c r="BX604" s="0" t="s">
        <v>6508</v>
      </c>
      <c r="CA604" s="0" t="s">
        <v>4623</v>
      </c>
      <c r="CI604" s="0" t="s">
        <v>6508</v>
      </c>
    </row>
    <row r="605" customFormat="false" ht="22.5" hidden="false" customHeight="false" outlineLevel="0" collapsed="false">
      <c r="B605" s="0" t="s">
        <v>6509</v>
      </c>
      <c r="C605" s="0" t="s">
        <v>6510</v>
      </c>
      <c r="D605" s="0" t="s">
        <v>6511</v>
      </c>
      <c r="E605" s="0" t="s">
        <v>6512</v>
      </c>
      <c r="L605" s="0" t="str">
        <f aca="false">"1697"</f>
        <v>1697</v>
      </c>
      <c r="R605" s="0" t="s">
        <v>6513</v>
      </c>
      <c r="T605" s="0" t="s">
        <v>1057</v>
      </c>
      <c r="AB605" s="0" t="s">
        <v>6514</v>
      </c>
      <c r="AT605" s="0" t="s">
        <v>2601</v>
      </c>
      <c r="AU605" s="0" t="s">
        <v>2613</v>
      </c>
      <c r="AY605" s="0" t="s">
        <v>6515</v>
      </c>
      <c r="CA605" s="1" t="s">
        <v>6493</v>
      </c>
    </row>
    <row r="606" customFormat="false" ht="22.5" hidden="false" customHeight="false" outlineLevel="0" collapsed="false">
      <c r="B606" s="0" t="s">
        <v>6516</v>
      </c>
      <c r="C606" s="0" t="s">
        <v>2846</v>
      </c>
      <c r="D606" s="0" t="s">
        <v>2847</v>
      </c>
      <c r="E606" s="0" t="s">
        <v>6517</v>
      </c>
      <c r="L606" s="0" t="str">
        <f aca="false">"1697"</f>
        <v>1697</v>
      </c>
      <c r="O606" s="0" t="s">
        <v>6518</v>
      </c>
      <c r="R606" s="0" t="s">
        <v>6519</v>
      </c>
      <c r="T606" s="0" t="s">
        <v>1057</v>
      </c>
      <c r="AB606" s="0" t="s">
        <v>6520</v>
      </c>
      <c r="AT606" s="0" t="s">
        <v>2601</v>
      </c>
      <c r="AU606" s="0" t="s">
        <v>2613</v>
      </c>
      <c r="AY606" s="0" t="s">
        <v>6521</v>
      </c>
      <c r="CA606" s="1" t="s">
        <v>6493</v>
      </c>
    </row>
    <row r="607" customFormat="false" ht="22.5" hidden="false" customHeight="false" outlineLevel="0" collapsed="false">
      <c r="B607" s="0" t="s">
        <v>6522</v>
      </c>
      <c r="C607" s="0" t="s">
        <v>1056</v>
      </c>
      <c r="D607" s="0" t="s">
        <v>1057</v>
      </c>
      <c r="E607" s="0" t="s">
        <v>6523</v>
      </c>
      <c r="L607" s="0" t="str">
        <f aca="false">"1697"</f>
        <v>1697</v>
      </c>
      <c r="O607" s="0" t="s">
        <v>6524</v>
      </c>
      <c r="R607" s="0" t="s">
        <v>6525</v>
      </c>
      <c r="T607" s="0" t="s">
        <v>1057</v>
      </c>
      <c r="AB607" s="0" t="s">
        <v>6526</v>
      </c>
      <c r="AT607" s="0" t="s">
        <v>2601</v>
      </c>
      <c r="AU607" s="0" t="s">
        <v>2613</v>
      </c>
      <c r="AY607" s="0" t="s">
        <v>6527</v>
      </c>
      <c r="CA607" s="1" t="s">
        <v>6493</v>
      </c>
    </row>
    <row r="608" customFormat="false" ht="22.5" hidden="false" customHeight="false" outlineLevel="0" collapsed="false">
      <c r="B608" s="0" t="s">
        <v>6528</v>
      </c>
      <c r="C608" s="0" t="s">
        <v>1056</v>
      </c>
      <c r="D608" s="0" t="s">
        <v>1057</v>
      </c>
      <c r="E608" s="0" t="s">
        <v>6529</v>
      </c>
      <c r="L608" s="0" t="str">
        <f aca="false">"1697"</f>
        <v>1697</v>
      </c>
      <c r="O608" s="0" t="s">
        <v>6530</v>
      </c>
      <c r="R608" s="0" t="s">
        <v>6531</v>
      </c>
      <c r="T608" s="0" t="s">
        <v>1057</v>
      </c>
      <c r="AB608" s="0" t="s">
        <v>6532</v>
      </c>
      <c r="AT608" s="0" t="s">
        <v>2601</v>
      </c>
      <c r="AU608" s="0" t="s">
        <v>2613</v>
      </c>
      <c r="AY608" s="0" t="s">
        <v>6533</v>
      </c>
      <c r="CA608" s="1" t="s">
        <v>6493</v>
      </c>
    </row>
    <row r="609" customFormat="false" ht="22.5" hidden="false" customHeight="false" outlineLevel="0" collapsed="false">
      <c r="B609" s="0" t="s">
        <v>6534</v>
      </c>
      <c r="C609" s="0" t="s">
        <v>1056</v>
      </c>
      <c r="D609" s="0" t="s">
        <v>1057</v>
      </c>
      <c r="E609" s="0" t="s">
        <v>6535</v>
      </c>
      <c r="L609" s="0" t="str">
        <f aca="false">"1697"</f>
        <v>1697</v>
      </c>
      <c r="O609" s="0" t="s">
        <v>6536</v>
      </c>
      <c r="R609" s="0" t="s">
        <v>6537</v>
      </c>
      <c r="T609" s="0" t="s">
        <v>1057</v>
      </c>
      <c r="AB609" s="0" t="s">
        <v>6538</v>
      </c>
      <c r="AT609" s="0" t="s">
        <v>2601</v>
      </c>
      <c r="AU609" s="0" t="s">
        <v>2613</v>
      </c>
      <c r="AY609" s="0" t="s">
        <v>6539</v>
      </c>
      <c r="CA609" s="1" t="s">
        <v>6493</v>
      </c>
    </row>
    <row r="610" customFormat="false" ht="22.5" hidden="false" customHeight="false" outlineLevel="0" collapsed="false">
      <c r="B610" s="0" t="s">
        <v>6540</v>
      </c>
      <c r="C610" s="0" t="s">
        <v>4706</v>
      </c>
      <c r="D610" s="0" t="s">
        <v>4707</v>
      </c>
      <c r="E610" s="0" t="s">
        <v>6541</v>
      </c>
      <c r="L610" s="0" t="str">
        <f aca="false">"1697"</f>
        <v>1697</v>
      </c>
      <c r="O610" s="0" t="s">
        <v>6542</v>
      </c>
      <c r="R610" s="0" t="s">
        <v>6543</v>
      </c>
      <c r="T610" s="0" t="s">
        <v>1057</v>
      </c>
      <c r="AB610" s="0" t="s">
        <v>6544</v>
      </c>
      <c r="AT610" s="0" t="s">
        <v>2601</v>
      </c>
      <c r="AU610" s="0" t="s">
        <v>2613</v>
      </c>
      <c r="AY610" s="0" t="s">
        <v>6492</v>
      </c>
      <c r="CA610" s="1" t="s">
        <v>6493</v>
      </c>
    </row>
    <row r="611" customFormat="false" ht="12.8" hidden="false" customHeight="false" outlineLevel="0" collapsed="false">
      <c r="A611" s="0" t="s">
        <v>445</v>
      </c>
      <c r="B611" s="0" t="s">
        <v>6545</v>
      </c>
      <c r="C611" s="0" t="s">
        <v>6314</v>
      </c>
      <c r="D611" s="0" t="s">
        <v>6315</v>
      </c>
      <c r="E611" s="0" t="str">
        <f aca="false">"277511"</f>
        <v>277511</v>
      </c>
      <c r="L611" s="0" t="str">
        <f aca="false">"1697"</f>
        <v>1697</v>
      </c>
      <c r="R611" s="0" t="s">
        <v>6546</v>
      </c>
      <c r="T611" s="0" t="s">
        <v>1057</v>
      </c>
      <c r="AB611" s="0" t="s">
        <v>6547</v>
      </c>
      <c r="AS611" s="0" t="s">
        <v>1945</v>
      </c>
      <c r="AT611" s="0" t="s">
        <v>2601</v>
      </c>
      <c r="AU611" s="0" t="s">
        <v>6548</v>
      </c>
      <c r="AY611" s="0" t="s">
        <v>6549</v>
      </c>
      <c r="BU611" s="0" t="s">
        <v>6550</v>
      </c>
      <c r="CB611" s="0" t="str">
        <f aca="false">"02.12.1697"</f>
        <v>02.12.1697</v>
      </c>
    </row>
    <row r="612" customFormat="false" ht="12.8" hidden="false" customHeight="false" outlineLevel="0" collapsed="false">
      <c r="A612" s="0" t="s">
        <v>445</v>
      </c>
      <c r="B612" s="0" t="s">
        <v>6551</v>
      </c>
      <c r="C612" s="0" t="s">
        <v>6314</v>
      </c>
      <c r="D612" s="0" t="s">
        <v>6315</v>
      </c>
      <c r="E612" s="0" t="s">
        <v>6552</v>
      </c>
      <c r="L612" s="0" t="str">
        <f aca="false">"1698"</f>
        <v>1698</v>
      </c>
      <c r="M612" s="0" t="s">
        <v>448</v>
      </c>
      <c r="O612" s="0" t="s">
        <v>6553</v>
      </c>
      <c r="R612" s="0" t="s">
        <v>6554</v>
      </c>
      <c r="T612" s="0" t="s">
        <v>1057</v>
      </c>
      <c r="AB612" s="0" t="s">
        <v>6555</v>
      </c>
      <c r="AS612" s="0" t="s">
        <v>6556</v>
      </c>
      <c r="AT612" s="0" t="s">
        <v>2601</v>
      </c>
      <c r="AU612" s="0" t="s">
        <v>892</v>
      </c>
      <c r="AY612" s="0" t="s">
        <v>6492</v>
      </c>
      <c r="CJ612" s="0" t="s">
        <v>6557</v>
      </c>
      <c r="CO612" s="0" t="s">
        <v>6551</v>
      </c>
    </row>
    <row r="613" customFormat="false" ht="22.5" hidden="false" customHeight="false" outlineLevel="0" collapsed="false">
      <c r="B613" s="0" t="s">
        <v>6534</v>
      </c>
      <c r="C613" s="0" t="s">
        <v>6314</v>
      </c>
      <c r="D613" s="0" t="s">
        <v>6315</v>
      </c>
      <c r="E613" s="0" t="str">
        <f aca="false">"305708"</f>
        <v>305708</v>
      </c>
      <c r="L613" s="0" t="str">
        <f aca="false">"1697"</f>
        <v>1697</v>
      </c>
      <c r="O613" s="0" t="s">
        <v>6558</v>
      </c>
      <c r="R613" s="0" t="s">
        <v>6559</v>
      </c>
      <c r="T613" s="0" t="s">
        <v>1057</v>
      </c>
      <c r="AB613" s="0" t="s">
        <v>6560</v>
      </c>
      <c r="AT613" s="0" t="s">
        <v>2601</v>
      </c>
      <c r="AU613" s="0" t="s">
        <v>2613</v>
      </c>
      <c r="AY613" s="0" t="s">
        <v>6561</v>
      </c>
      <c r="CA613" s="1" t="s">
        <v>6493</v>
      </c>
    </row>
    <row r="614" customFormat="false" ht="22.5" hidden="false" customHeight="false" outlineLevel="0" collapsed="false">
      <c r="C614" s="0" t="s">
        <v>6562</v>
      </c>
      <c r="D614" s="0" t="s">
        <v>6563</v>
      </c>
      <c r="E614" s="0" t="s">
        <v>6564</v>
      </c>
      <c r="L614" s="0" t="str">
        <f aca="false">"1698"</f>
        <v>1698</v>
      </c>
      <c r="O614" s="0" t="s">
        <v>6565</v>
      </c>
      <c r="R614" s="0" t="s">
        <v>6566</v>
      </c>
      <c r="T614" s="0" t="s">
        <v>1057</v>
      </c>
      <c r="AB614" s="0" t="s">
        <v>6567</v>
      </c>
      <c r="AT614" s="0" t="s">
        <v>2601</v>
      </c>
      <c r="AU614" s="0" t="s">
        <v>2613</v>
      </c>
      <c r="CA614" s="1" t="s">
        <v>6493</v>
      </c>
    </row>
    <row r="615" customFormat="false" ht="22.5" hidden="false" customHeight="false" outlineLevel="0" collapsed="false">
      <c r="B615" s="0" t="s">
        <v>6568</v>
      </c>
      <c r="C615" s="0" t="s">
        <v>1213</v>
      </c>
      <c r="D615" s="0" t="s">
        <v>1214</v>
      </c>
      <c r="E615" s="0" t="s">
        <v>6569</v>
      </c>
      <c r="L615" s="0" t="str">
        <f aca="false">"1698"</f>
        <v>1698</v>
      </c>
      <c r="O615" s="1" t="s">
        <v>6570</v>
      </c>
      <c r="R615" s="0" t="s">
        <v>6571</v>
      </c>
      <c r="T615" s="1" t="s">
        <v>6572</v>
      </c>
      <c r="Z615" s="0" t="s">
        <v>6573</v>
      </c>
      <c r="AB615" s="0" t="s">
        <v>6574</v>
      </c>
      <c r="AS615" s="0" t="s">
        <v>4218</v>
      </c>
      <c r="AT615" s="0" t="s">
        <v>2601</v>
      </c>
      <c r="AU615" s="0" t="s">
        <v>2457</v>
      </c>
      <c r="AY615" s="0" t="s">
        <v>6575</v>
      </c>
      <c r="BX615" s="0" t="s">
        <v>6576</v>
      </c>
      <c r="CA615" s="0" t="s">
        <v>4623</v>
      </c>
      <c r="CI615" s="0" t="s">
        <v>6576</v>
      </c>
    </row>
    <row r="616" customFormat="false" ht="33.1" hidden="false" customHeight="false" outlineLevel="0" collapsed="false">
      <c r="A616" s="0" t="s">
        <v>445</v>
      </c>
      <c r="B616" s="0" t="s">
        <v>6577</v>
      </c>
      <c r="C616" s="0" t="s">
        <v>1213</v>
      </c>
      <c r="D616" s="0" t="s">
        <v>1214</v>
      </c>
      <c r="E616" s="0" t="s">
        <v>6578</v>
      </c>
      <c r="L616" s="0" t="str">
        <f aca="false">"1698"</f>
        <v>1698</v>
      </c>
      <c r="M616" s="0" t="s">
        <v>448</v>
      </c>
      <c r="O616" s="1" t="s">
        <v>6579</v>
      </c>
      <c r="R616" s="0" t="s">
        <v>6571</v>
      </c>
      <c r="T616" s="1" t="s">
        <v>6572</v>
      </c>
      <c r="Z616" s="0" t="s">
        <v>6580</v>
      </c>
      <c r="AB616" s="0" t="s">
        <v>6581</v>
      </c>
      <c r="AS616" s="0" t="s">
        <v>6582</v>
      </c>
      <c r="AT616" s="0" t="s">
        <v>2601</v>
      </c>
      <c r="AU616" s="0" t="s">
        <v>2457</v>
      </c>
      <c r="AY616" s="0" t="s">
        <v>6583</v>
      </c>
      <c r="BX616" s="0" t="s">
        <v>6584</v>
      </c>
      <c r="CI616" s="0" t="s">
        <v>6584</v>
      </c>
    </row>
    <row r="617" customFormat="false" ht="33.1" hidden="false" customHeight="false" outlineLevel="0" collapsed="false">
      <c r="A617" s="0" t="s">
        <v>445</v>
      </c>
      <c r="B617" s="0" t="s">
        <v>6585</v>
      </c>
      <c r="C617" s="0" t="s">
        <v>1213</v>
      </c>
      <c r="D617" s="0" t="s">
        <v>1214</v>
      </c>
      <c r="E617" s="0" t="s">
        <v>6586</v>
      </c>
      <c r="L617" s="0" t="str">
        <f aca="false">"1698"</f>
        <v>1698</v>
      </c>
      <c r="O617" s="1" t="s">
        <v>6579</v>
      </c>
      <c r="R617" s="0" t="s">
        <v>6571</v>
      </c>
      <c r="T617" s="1" t="s">
        <v>6572</v>
      </c>
      <c r="Z617" s="0" t="s">
        <v>6587</v>
      </c>
      <c r="AB617" s="0" t="s">
        <v>6588</v>
      </c>
      <c r="AS617" s="0" t="s">
        <v>6589</v>
      </c>
      <c r="AT617" s="0" t="s">
        <v>2601</v>
      </c>
      <c r="AU617" s="0" t="s">
        <v>2457</v>
      </c>
      <c r="AY617" s="0" t="s">
        <v>6590</v>
      </c>
      <c r="BX617" s="0" t="s">
        <v>6591</v>
      </c>
      <c r="CI617" s="0" t="s">
        <v>6591</v>
      </c>
    </row>
    <row r="618" customFormat="false" ht="22.5" hidden="false" customHeight="false" outlineLevel="0" collapsed="false">
      <c r="B618" s="0" t="s">
        <v>6592</v>
      </c>
      <c r="C618" s="0" t="s">
        <v>6416</v>
      </c>
      <c r="D618" s="0" t="s">
        <v>6417</v>
      </c>
      <c r="E618" s="0" t="s">
        <v>6593</v>
      </c>
      <c r="L618" s="0" t="str">
        <f aca="false">"1698"</f>
        <v>1698</v>
      </c>
      <c r="O618" s="0" t="s">
        <v>6594</v>
      </c>
      <c r="R618" s="0" t="s">
        <v>6595</v>
      </c>
      <c r="T618" s="0" t="s">
        <v>1057</v>
      </c>
      <c r="AB618" s="0" t="s">
        <v>6596</v>
      </c>
      <c r="AT618" s="0" t="s">
        <v>2601</v>
      </c>
      <c r="AU618" s="0" t="s">
        <v>2613</v>
      </c>
      <c r="CA618" s="1" t="s">
        <v>6493</v>
      </c>
    </row>
    <row r="619" customFormat="false" ht="12.8" hidden="false" customHeight="false" outlineLevel="0" collapsed="false">
      <c r="A619" s="0" t="s">
        <v>445</v>
      </c>
      <c r="B619" s="0" t="s">
        <v>6597</v>
      </c>
      <c r="C619" s="0" t="s">
        <v>1056</v>
      </c>
      <c r="D619" s="0" t="s">
        <v>1057</v>
      </c>
      <c r="E619" s="0" t="s">
        <v>6598</v>
      </c>
      <c r="L619" s="0" t="str">
        <f aca="false">"1698"</f>
        <v>1698</v>
      </c>
      <c r="M619" s="0" t="s">
        <v>448</v>
      </c>
      <c r="O619" s="0" t="s">
        <v>6599</v>
      </c>
      <c r="R619" s="0" t="s">
        <v>6600</v>
      </c>
      <c r="T619" s="0" t="s">
        <v>1057</v>
      </c>
      <c r="AB619" s="0" t="s">
        <v>6601</v>
      </c>
      <c r="AS619" s="0" t="s">
        <v>4557</v>
      </c>
      <c r="AT619" s="0" t="s">
        <v>2601</v>
      </c>
      <c r="AU619" s="0" t="s">
        <v>2457</v>
      </c>
      <c r="AY619" s="0" t="s">
        <v>6602</v>
      </c>
      <c r="AZ619" s="0" t="s">
        <v>6603</v>
      </c>
      <c r="CJ619" s="0" t="s">
        <v>6604</v>
      </c>
      <c r="CO619" s="0" t="s">
        <v>6605</v>
      </c>
    </row>
    <row r="620" customFormat="false" ht="22.5" hidden="false" customHeight="false" outlineLevel="0" collapsed="false">
      <c r="B620" s="0" t="s">
        <v>6606</v>
      </c>
      <c r="C620" s="0" t="s">
        <v>2846</v>
      </c>
      <c r="D620" s="0" t="s">
        <v>2847</v>
      </c>
      <c r="E620" s="0" t="s">
        <v>6607</v>
      </c>
      <c r="L620" s="0" t="str">
        <f aca="false">"1698"</f>
        <v>1698</v>
      </c>
      <c r="O620" s="0" t="s">
        <v>6608</v>
      </c>
      <c r="R620" s="0" t="s">
        <v>6609</v>
      </c>
      <c r="T620" s="0" t="s">
        <v>1057</v>
      </c>
      <c r="AB620" s="0" t="s">
        <v>6610</v>
      </c>
      <c r="AT620" s="0" t="s">
        <v>2601</v>
      </c>
      <c r="AU620" s="0" t="s">
        <v>2613</v>
      </c>
      <c r="AY620" s="0" t="s">
        <v>6611</v>
      </c>
      <c r="CA620" s="1" t="s">
        <v>6493</v>
      </c>
    </row>
    <row r="621" customFormat="false" ht="22.5" hidden="false" customHeight="false" outlineLevel="0" collapsed="false">
      <c r="C621" s="0" t="s">
        <v>1056</v>
      </c>
      <c r="D621" s="0" t="s">
        <v>1057</v>
      </c>
      <c r="E621" s="0" t="s">
        <v>6612</v>
      </c>
      <c r="L621" s="0" t="str">
        <f aca="false">"1698"</f>
        <v>1698</v>
      </c>
      <c r="O621" s="0" t="s">
        <v>6613</v>
      </c>
      <c r="R621" s="0" t="s">
        <v>6614</v>
      </c>
      <c r="T621" s="0" t="s">
        <v>1057</v>
      </c>
      <c r="AB621" s="0" t="s">
        <v>6615</v>
      </c>
      <c r="AT621" s="0" t="s">
        <v>2601</v>
      </c>
      <c r="AU621" s="0" t="s">
        <v>2613</v>
      </c>
      <c r="AY621" s="0" t="s">
        <v>6616</v>
      </c>
      <c r="CA621" s="1" t="s">
        <v>6493</v>
      </c>
    </row>
    <row r="622" customFormat="false" ht="22.5" hidden="false" customHeight="false" outlineLevel="0" collapsed="false">
      <c r="B622" s="0" t="s">
        <v>6617</v>
      </c>
      <c r="C622" s="0" t="s">
        <v>1056</v>
      </c>
      <c r="D622" s="0" t="s">
        <v>1057</v>
      </c>
      <c r="E622" s="0" t="s">
        <v>6618</v>
      </c>
      <c r="L622" s="0" t="str">
        <f aca="false">"1698"</f>
        <v>1698</v>
      </c>
      <c r="O622" s="0" t="s">
        <v>6619</v>
      </c>
      <c r="R622" s="0" t="s">
        <v>6620</v>
      </c>
      <c r="T622" s="0" t="s">
        <v>6621</v>
      </c>
      <c r="AB622" s="0" t="s">
        <v>6622</v>
      </c>
      <c r="AT622" s="0" t="s">
        <v>2601</v>
      </c>
      <c r="AU622" s="0" t="s">
        <v>2613</v>
      </c>
      <c r="AY622" s="0" t="s">
        <v>6623</v>
      </c>
      <c r="CA622" s="1" t="s">
        <v>6493</v>
      </c>
    </row>
    <row r="623" customFormat="false" ht="22.5" hidden="false" customHeight="false" outlineLevel="0" collapsed="false">
      <c r="A623" s="0" t="s">
        <v>445</v>
      </c>
      <c r="B623" s="0" t="s">
        <v>6624</v>
      </c>
      <c r="C623" s="0" t="s">
        <v>1685</v>
      </c>
      <c r="D623" s="0" t="s">
        <v>1686</v>
      </c>
      <c r="E623" s="0" t="s">
        <v>6625</v>
      </c>
      <c r="L623" s="0" t="str">
        <f aca="false">"1655"</f>
        <v>1655</v>
      </c>
      <c r="M623" s="0" t="s">
        <v>448</v>
      </c>
      <c r="O623" s="0" t="s">
        <v>6626</v>
      </c>
      <c r="R623" s="1" t="s">
        <v>6627</v>
      </c>
      <c r="T623" s="0" t="s">
        <v>1050</v>
      </c>
      <c r="Z623" s="0" t="s">
        <v>6628</v>
      </c>
      <c r="AB623" s="0" t="s">
        <v>6629</v>
      </c>
      <c r="AS623" s="0" t="s">
        <v>6630</v>
      </c>
      <c r="AT623" s="0" t="s">
        <v>2601</v>
      </c>
      <c r="AU623" s="0" t="s">
        <v>2457</v>
      </c>
      <c r="AY623" s="0" t="s">
        <v>6631</v>
      </c>
      <c r="AZ623" s="0" t="s">
        <v>6632</v>
      </c>
      <c r="BX623" s="0" t="s">
        <v>6633</v>
      </c>
      <c r="CA623" s="0" t="s">
        <v>6634</v>
      </c>
      <c r="CI623" s="0" t="s">
        <v>6633</v>
      </c>
    </row>
    <row r="624" customFormat="false" ht="12.8" hidden="false" customHeight="false" outlineLevel="0" collapsed="false">
      <c r="A624" s="0" t="s">
        <v>445</v>
      </c>
      <c r="B624" s="0" t="s">
        <v>6635</v>
      </c>
      <c r="C624" s="0" t="s">
        <v>1685</v>
      </c>
      <c r="D624" s="0" t="s">
        <v>1686</v>
      </c>
      <c r="E624" s="0" t="s">
        <v>6636</v>
      </c>
      <c r="L624" s="0" t="str">
        <f aca="false">"1680"</f>
        <v>1680</v>
      </c>
      <c r="M624" s="0" t="s">
        <v>448</v>
      </c>
      <c r="O624" s="0" t="s">
        <v>6637</v>
      </c>
      <c r="R624" s="0" t="s">
        <v>6638</v>
      </c>
      <c r="T624" s="0" t="s">
        <v>6639</v>
      </c>
      <c r="Z624" s="0" t="s">
        <v>6640</v>
      </c>
      <c r="AS624" s="0" t="s">
        <v>5003</v>
      </c>
      <c r="AT624" s="0" t="s">
        <v>2601</v>
      </c>
      <c r="AU624" s="0" t="s">
        <v>2457</v>
      </c>
      <c r="AY624" s="0" t="s">
        <v>6641</v>
      </c>
      <c r="AZ624" s="0" t="s">
        <v>6642</v>
      </c>
      <c r="BX624" s="0" t="s">
        <v>6643</v>
      </c>
      <c r="CI624" s="0" t="s">
        <v>6643</v>
      </c>
    </row>
    <row r="625" customFormat="false" ht="12.8" hidden="false" customHeight="false" outlineLevel="0" collapsed="false">
      <c r="A625" s="0" t="s">
        <v>190</v>
      </c>
      <c r="B625" s="0" t="s">
        <v>6644</v>
      </c>
      <c r="C625" s="0" t="s">
        <v>224</v>
      </c>
      <c r="D625" s="0" t="s">
        <v>225</v>
      </c>
      <c r="E625" s="0" t="s">
        <v>6645</v>
      </c>
      <c r="L625" s="0" t="str">
        <f aca="false">"1745"</f>
        <v>1745</v>
      </c>
      <c r="M625" s="0" t="s">
        <v>448</v>
      </c>
      <c r="O625" s="0" t="s">
        <v>6646</v>
      </c>
      <c r="T625" s="0" t="s">
        <v>398</v>
      </c>
      <c r="AB625" s="0" t="s">
        <v>6647</v>
      </c>
      <c r="AS625" s="0" t="s">
        <v>6648</v>
      </c>
      <c r="AT625" s="0" t="s">
        <v>906</v>
      </c>
      <c r="AU625" s="0" t="s">
        <v>892</v>
      </c>
      <c r="AY625" s="0" t="s">
        <v>6649</v>
      </c>
      <c r="BC625" s="0" t="str">
        <f aca="false">"690223838"</f>
        <v>690223838</v>
      </c>
      <c r="BX625" s="0" t="s">
        <v>6650</v>
      </c>
      <c r="CI625" s="0" t="s">
        <v>6650</v>
      </c>
      <c r="CP625" s="0" t="s">
        <v>6651</v>
      </c>
    </row>
    <row r="626" customFormat="false" ht="12.8" hidden="false" customHeight="false" outlineLevel="0" collapsed="false">
      <c r="A626" s="0" t="s">
        <v>445</v>
      </c>
      <c r="B626" s="0" t="s">
        <v>6652</v>
      </c>
      <c r="C626" s="0" t="s">
        <v>224</v>
      </c>
      <c r="D626" s="0" t="s">
        <v>225</v>
      </c>
      <c r="E626" s="0" t="s">
        <v>6653</v>
      </c>
      <c r="L626" s="0" t="str">
        <f aca="false">"1745"</f>
        <v>1745</v>
      </c>
      <c r="M626" s="0" t="s">
        <v>448</v>
      </c>
      <c r="O626" s="0" t="s">
        <v>6646</v>
      </c>
      <c r="AP626" s="0" t="s">
        <v>6644</v>
      </c>
      <c r="AQ626" s="0" t="str">
        <f aca="false">"72"</f>
        <v>72</v>
      </c>
      <c r="AT626" s="0" t="s">
        <v>906</v>
      </c>
      <c r="AU626" s="0" t="s">
        <v>892</v>
      </c>
      <c r="AW626" s="0" t="s">
        <v>907</v>
      </c>
      <c r="BX626" s="0" t="s">
        <v>6654</v>
      </c>
      <c r="CI626" s="0" t="s">
        <v>6654</v>
      </c>
      <c r="CJ626" s="0" t="s">
        <v>6655</v>
      </c>
      <c r="CO626" s="0" t="s">
        <v>6652</v>
      </c>
    </row>
    <row r="627" customFormat="false" ht="12.8" hidden="false" customHeight="false" outlineLevel="0" collapsed="false">
      <c r="A627" s="0" t="s">
        <v>190</v>
      </c>
      <c r="B627" s="0" t="s">
        <v>6656</v>
      </c>
      <c r="C627" s="0" t="s">
        <v>224</v>
      </c>
      <c r="D627" s="0" t="s">
        <v>225</v>
      </c>
      <c r="E627" s="0" t="s">
        <v>6657</v>
      </c>
      <c r="L627" s="0" t="str">
        <f aca="false">"1758"</f>
        <v>1758</v>
      </c>
      <c r="M627" s="0" t="s">
        <v>448</v>
      </c>
      <c r="O627" s="0" t="s">
        <v>6658</v>
      </c>
      <c r="R627" s="0" t="s">
        <v>6659</v>
      </c>
      <c r="T627" s="0" t="s">
        <v>1050</v>
      </c>
      <c r="AA627" s="0" t="str">
        <f aca="false">"10969144"</f>
        <v>10969144</v>
      </c>
      <c r="AB627" s="0" t="s">
        <v>6660</v>
      </c>
      <c r="AG627" s="0" t="s">
        <v>895</v>
      </c>
      <c r="AH627" s="0" t="s">
        <v>896</v>
      </c>
      <c r="AI627" s="0" t="s">
        <v>6661</v>
      </c>
      <c r="AS627" s="0" t="s">
        <v>6662</v>
      </c>
      <c r="AT627" s="0" t="s">
        <v>906</v>
      </c>
      <c r="AU627" s="0" t="s">
        <v>892</v>
      </c>
      <c r="BC627" s="0" t="str">
        <f aca="false">"151418985"</f>
        <v>151418985</v>
      </c>
      <c r="BX627" s="0" t="s">
        <v>6663</v>
      </c>
      <c r="CI627" s="0" t="s">
        <v>6663</v>
      </c>
    </row>
    <row r="628" customFormat="false" ht="12.8" hidden="false" customHeight="false" outlineLevel="0" collapsed="false">
      <c r="A628" s="0" t="s">
        <v>445</v>
      </c>
      <c r="B628" s="0" t="s">
        <v>5131</v>
      </c>
      <c r="C628" s="0" t="s">
        <v>224</v>
      </c>
      <c r="D628" s="0" t="s">
        <v>225</v>
      </c>
      <c r="E628" s="0" t="s">
        <v>6664</v>
      </c>
      <c r="L628" s="0" t="str">
        <f aca="false">"1758"</f>
        <v>1758</v>
      </c>
      <c r="M628" s="0" t="s">
        <v>448</v>
      </c>
      <c r="O628" s="0" t="s">
        <v>6658</v>
      </c>
      <c r="AA628" s="0" t="str">
        <f aca="false">"10969144"</f>
        <v>10969144</v>
      </c>
      <c r="AQ628" s="0" t="str">
        <f aca="false">"93"</f>
        <v>93</v>
      </c>
      <c r="AT628" s="0" t="s">
        <v>906</v>
      </c>
      <c r="AU628" s="0" t="s">
        <v>892</v>
      </c>
      <c r="AW628" s="0" t="s">
        <v>907</v>
      </c>
      <c r="BX628" s="0" t="s">
        <v>6665</v>
      </c>
      <c r="CI628" s="0" t="s">
        <v>6665</v>
      </c>
      <c r="CJ628" s="0" t="s">
        <v>6666</v>
      </c>
      <c r="CO628" s="0" t="s">
        <v>5131</v>
      </c>
    </row>
    <row r="629" customFormat="false" ht="33.1" hidden="false" customHeight="false" outlineLevel="0" collapsed="false">
      <c r="A629" s="0" t="s">
        <v>190</v>
      </c>
      <c r="B629" s="0" t="s">
        <v>6667</v>
      </c>
      <c r="C629" s="0" t="s">
        <v>224</v>
      </c>
      <c r="D629" s="0" t="s">
        <v>225</v>
      </c>
      <c r="E629" s="0" t="s">
        <v>6668</v>
      </c>
      <c r="L629" s="0" t="str">
        <f aca="false">"1797"</f>
        <v>1797</v>
      </c>
      <c r="M629" s="1" t="s">
        <v>6669</v>
      </c>
      <c r="O629" s="1" t="s">
        <v>6670</v>
      </c>
      <c r="Q629" s="0" t="str">
        <f aca="false">"2"</f>
        <v>2</v>
      </c>
      <c r="T629" s="0" t="s">
        <v>398</v>
      </c>
      <c r="AA629" s="0" t="str">
        <f aca="false">" 15303446"</f>
        <v> 15303446</v>
      </c>
      <c r="AB629" s="0" t="s">
        <v>6671</v>
      </c>
      <c r="AG629" s="0" t="s">
        <v>1213</v>
      </c>
      <c r="AH629" s="0" t="s">
        <v>1214</v>
      </c>
      <c r="AI629" s="0" t="s">
        <v>6672</v>
      </c>
      <c r="AS629" s="0" t="s">
        <v>6673</v>
      </c>
      <c r="AT629" s="0" t="s">
        <v>906</v>
      </c>
      <c r="AU629" s="0" t="s">
        <v>892</v>
      </c>
      <c r="AY629" s="0" t="s">
        <v>6674</v>
      </c>
      <c r="BB629" s="0" t="s">
        <v>6675</v>
      </c>
      <c r="BC629" s="0" t="str">
        <f aca="false">"151020965"</f>
        <v>151020965</v>
      </c>
      <c r="CP629" s="0" t="s">
        <v>6676</v>
      </c>
    </row>
    <row r="630" customFormat="false" ht="12.8" hidden="false" customHeight="false" outlineLevel="0" collapsed="false">
      <c r="A630" s="0" t="s">
        <v>445</v>
      </c>
      <c r="B630" s="0" t="s">
        <v>6677</v>
      </c>
      <c r="C630" s="0" t="s">
        <v>224</v>
      </c>
      <c r="D630" s="0" t="s">
        <v>225</v>
      </c>
      <c r="E630" s="0" t="s">
        <v>6678</v>
      </c>
      <c r="L630" s="0" t="str">
        <f aca="false">"1763"</f>
        <v>1763</v>
      </c>
      <c r="M630" s="0" t="s">
        <v>4166</v>
      </c>
      <c r="O630" s="0" t="s">
        <v>4167</v>
      </c>
      <c r="AP630" s="0" t="s">
        <v>6667</v>
      </c>
      <c r="AQ630" s="0" t="s">
        <v>6679</v>
      </c>
      <c r="AT630" s="0" t="s">
        <v>906</v>
      </c>
      <c r="AU630" s="0" t="s">
        <v>892</v>
      </c>
      <c r="AW630" s="0" t="s">
        <v>907</v>
      </c>
      <c r="CJ630" s="0" t="s">
        <v>6680</v>
      </c>
      <c r="CO630" s="0" t="s">
        <v>6677</v>
      </c>
    </row>
    <row r="631" customFormat="false" ht="22.5" hidden="false" customHeight="false" outlineLevel="0" collapsed="false">
      <c r="A631" s="0" t="s">
        <v>445</v>
      </c>
      <c r="B631" s="0" t="s">
        <v>6681</v>
      </c>
      <c r="C631" s="0" t="s">
        <v>224</v>
      </c>
      <c r="D631" s="0" t="s">
        <v>225</v>
      </c>
      <c r="E631" s="0" t="s">
        <v>6682</v>
      </c>
      <c r="I631" s="0" t="str">
        <f aca="false">"1647"</f>
        <v>1647</v>
      </c>
      <c r="J631" s="0" t="str">
        <f aca="false">"1648"</f>
        <v>1648</v>
      </c>
      <c r="M631" s="1" t="s">
        <v>898</v>
      </c>
      <c r="O631" s="1" t="s">
        <v>6683</v>
      </c>
      <c r="U631" s="0" t="s">
        <v>6684</v>
      </c>
      <c r="Z631" s="0" t="s">
        <v>6685</v>
      </c>
      <c r="AB631" s="0" t="s">
        <v>6686</v>
      </c>
      <c r="AS631" s="0" t="s">
        <v>6687</v>
      </c>
      <c r="AT631" s="0" t="s">
        <v>906</v>
      </c>
      <c r="AU631" s="0" t="s">
        <v>892</v>
      </c>
      <c r="AY631" s="0" t="s">
        <v>6688</v>
      </c>
      <c r="BC631" s="0" t="str">
        <f aca="false">"535466188"</f>
        <v>535466188</v>
      </c>
      <c r="BV631" s="0" t="s">
        <v>6689</v>
      </c>
      <c r="BX631" s="0" t="s">
        <v>6690</v>
      </c>
      <c r="CI631" s="0" t="s">
        <v>6690</v>
      </c>
      <c r="CJ631" s="0" t="s">
        <v>6691</v>
      </c>
      <c r="CO631" s="0" t="s">
        <v>6681</v>
      </c>
    </row>
    <row r="632" customFormat="false" ht="22.5" hidden="false" customHeight="false" outlineLevel="0" collapsed="false">
      <c r="A632" s="0" t="s">
        <v>445</v>
      </c>
      <c r="B632" s="0" t="s">
        <v>6692</v>
      </c>
      <c r="C632" s="0" t="s">
        <v>1685</v>
      </c>
      <c r="D632" s="0" t="s">
        <v>1686</v>
      </c>
      <c r="E632" s="0" t="s">
        <v>6693</v>
      </c>
      <c r="L632" s="0" t="str">
        <f aca="false">"1763"</f>
        <v>1763</v>
      </c>
      <c r="T632" s="1" t="s">
        <v>3708</v>
      </c>
      <c r="AS632" s="0" t="s">
        <v>4363</v>
      </c>
      <c r="AT632" s="0" t="s">
        <v>906</v>
      </c>
      <c r="AU632" s="0" t="s">
        <v>892</v>
      </c>
      <c r="AV632" s="0" t="s">
        <v>113</v>
      </c>
      <c r="AW632" s="0" t="s">
        <v>907</v>
      </c>
      <c r="BC632" s="0" t="str">
        <f aca="false">"172298873"</f>
        <v>172298873</v>
      </c>
      <c r="CJ632" s="0" t="s">
        <v>6694</v>
      </c>
      <c r="CO632" s="0" t="s">
        <v>6692</v>
      </c>
    </row>
    <row r="633" customFormat="false" ht="96.85" hidden="false" customHeight="false" outlineLevel="0" collapsed="false">
      <c r="A633" s="0" t="s">
        <v>445</v>
      </c>
      <c r="B633" s="0" t="s">
        <v>6695</v>
      </c>
      <c r="C633" s="0" t="s">
        <v>1685</v>
      </c>
      <c r="D633" s="0" t="s">
        <v>1686</v>
      </c>
      <c r="E633" s="0" t="s">
        <v>6696</v>
      </c>
      <c r="L633" s="0" t="str">
        <f aca="false">"1746"</f>
        <v>1746</v>
      </c>
      <c r="M633" s="1" t="s">
        <v>193</v>
      </c>
      <c r="O633" s="1" t="s">
        <v>6697</v>
      </c>
      <c r="T633" s="0" t="s">
        <v>5299</v>
      </c>
      <c r="AS633" s="0" t="s">
        <v>4363</v>
      </c>
      <c r="AT633" s="0" t="s">
        <v>906</v>
      </c>
      <c r="AU633" s="0" t="s">
        <v>892</v>
      </c>
      <c r="AV633" s="0" t="s">
        <v>113</v>
      </c>
      <c r="BC633" s="0" t="str">
        <f aca="false">"250513900"</f>
        <v>250513900</v>
      </c>
      <c r="BX633" s="1" t="s">
        <v>6698</v>
      </c>
      <c r="CH633" s="0" t="s">
        <v>625</v>
      </c>
      <c r="CI633" s="1" t="s">
        <v>6698</v>
      </c>
      <c r="CJ633" s="0" t="s">
        <v>6699</v>
      </c>
      <c r="CO633" s="0" t="s">
        <v>6700</v>
      </c>
    </row>
    <row r="634" customFormat="false" ht="12.8" hidden="false" customHeight="false" outlineLevel="0" collapsed="false">
      <c r="A634" s="0" t="s">
        <v>445</v>
      </c>
      <c r="B634" s="0" t="s">
        <v>6701</v>
      </c>
      <c r="C634" s="0" t="s">
        <v>224</v>
      </c>
      <c r="D634" s="0" t="s">
        <v>225</v>
      </c>
      <c r="E634" s="0" t="s">
        <v>6702</v>
      </c>
      <c r="L634" s="0" t="str">
        <f aca="false">"1648"</f>
        <v>1648</v>
      </c>
      <c r="M634" s="0" t="s">
        <v>448</v>
      </c>
      <c r="O634" s="0" t="s">
        <v>5182</v>
      </c>
      <c r="AP634" s="0" t="s">
        <v>5173</v>
      </c>
      <c r="AQ634" s="0" t="str">
        <f aca="false">"147"</f>
        <v>147</v>
      </c>
      <c r="AT634" s="0" t="s">
        <v>906</v>
      </c>
      <c r="AU634" s="0" t="s">
        <v>892</v>
      </c>
      <c r="AW634" s="0" t="s">
        <v>907</v>
      </c>
      <c r="CJ634" s="0" t="s">
        <v>6703</v>
      </c>
      <c r="CO634" s="0" t="s">
        <v>6701</v>
      </c>
    </row>
    <row r="635" customFormat="false" ht="12.8" hidden="false" customHeight="false" outlineLevel="0" collapsed="false">
      <c r="A635" s="0" t="s">
        <v>445</v>
      </c>
      <c r="B635" s="0" t="s">
        <v>6704</v>
      </c>
      <c r="C635" s="0" t="s">
        <v>224</v>
      </c>
      <c r="D635" s="0" t="s">
        <v>225</v>
      </c>
      <c r="E635" s="0" t="s">
        <v>6705</v>
      </c>
      <c r="M635" s="0" t="s">
        <v>448</v>
      </c>
      <c r="O635" s="0" t="s">
        <v>5182</v>
      </c>
      <c r="AP635" s="0" t="s">
        <v>5173</v>
      </c>
      <c r="AQ635" s="0" t="str">
        <f aca="false">"268"</f>
        <v>268</v>
      </c>
      <c r="AT635" s="0" t="s">
        <v>906</v>
      </c>
      <c r="AU635" s="0" t="s">
        <v>892</v>
      </c>
      <c r="AW635" s="0" t="s">
        <v>907</v>
      </c>
      <c r="CJ635" s="0" t="s">
        <v>6706</v>
      </c>
      <c r="CO635" s="0" t="s">
        <v>6704</v>
      </c>
    </row>
    <row r="636" customFormat="false" ht="12.8" hidden="false" customHeight="false" outlineLevel="0" collapsed="false">
      <c r="A636" s="0" t="s">
        <v>445</v>
      </c>
      <c r="B636" s="0" t="s">
        <v>6707</v>
      </c>
      <c r="C636" s="0" t="s">
        <v>224</v>
      </c>
      <c r="D636" s="0" t="s">
        <v>225</v>
      </c>
      <c r="E636" s="0" t="s">
        <v>6708</v>
      </c>
      <c r="I636" s="0" t="str">
        <f aca="false">"1648"</f>
        <v>1648</v>
      </c>
      <c r="J636" s="0" t="str">
        <f aca="false">"1650"</f>
        <v>1650</v>
      </c>
      <c r="M636" s="0" t="s">
        <v>448</v>
      </c>
      <c r="O636" s="0" t="s">
        <v>5182</v>
      </c>
      <c r="AP636" s="0" t="s">
        <v>5173</v>
      </c>
      <c r="AQ636" s="0" t="str">
        <f aca="false">"268"</f>
        <v>268</v>
      </c>
      <c r="AT636" s="0" t="s">
        <v>906</v>
      </c>
      <c r="AU636" s="0" t="s">
        <v>892</v>
      </c>
      <c r="AW636" s="0" t="s">
        <v>907</v>
      </c>
      <c r="CJ636" s="0" t="s">
        <v>6709</v>
      </c>
      <c r="CO636" s="0" t="s">
        <v>6707</v>
      </c>
    </row>
    <row r="637" customFormat="false" ht="12.8" hidden="false" customHeight="false" outlineLevel="0" collapsed="false">
      <c r="A637" s="0" t="s">
        <v>445</v>
      </c>
      <c r="B637" s="0" t="s">
        <v>6710</v>
      </c>
      <c r="C637" s="0" t="s">
        <v>224</v>
      </c>
      <c r="D637" s="0" t="s">
        <v>225</v>
      </c>
      <c r="E637" s="0" t="s">
        <v>6711</v>
      </c>
      <c r="L637" s="0" t="str">
        <f aca="false">"1648"</f>
        <v>1648</v>
      </c>
      <c r="M637" s="0" t="s">
        <v>448</v>
      </c>
      <c r="O637" s="0" t="s">
        <v>5182</v>
      </c>
      <c r="AP637" s="0" t="s">
        <v>5173</v>
      </c>
      <c r="AQ637" s="0" t="str">
        <f aca="false">"313"</f>
        <v>313</v>
      </c>
      <c r="AT637" s="0" t="s">
        <v>906</v>
      </c>
      <c r="AU637" s="0" t="s">
        <v>892</v>
      </c>
      <c r="AW637" s="0" t="s">
        <v>907</v>
      </c>
      <c r="CJ637" s="0" t="s">
        <v>6712</v>
      </c>
      <c r="CO637" s="0" t="s">
        <v>6710</v>
      </c>
    </row>
    <row r="638" customFormat="false" ht="12.8" hidden="false" customHeight="false" outlineLevel="0" collapsed="false">
      <c r="A638" s="0" t="s">
        <v>445</v>
      </c>
      <c r="B638" s="0" t="s">
        <v>6713</v>
      </c>
      <c r="C638" s="0" t="s">
        <v>4747</v>
      </c>
      <c r="D638" s="0" t="s">
        <v>4139</v>
      </c>
      <c r="E638" s="0" t="s">
        <v>6714</v>
      </c>
      <c r="L638" s="0" t="str">
        <f aca="false">"1644"</f>
        <v>1644</v>
      </c>
      <c r="M638" s="0" t="s">
        <v>448</v>
      </c>
      <c r="O638" s="0" t="s">
        <v>3641</v>
      </c>
      <c r="Z638" s="0" t="s">
        <v>6715</v>
      </c>
      <c r="AB638" s="0" t="s">
        <v>6716</v>
      </c>
      <c r="AS638" s="0" t="s">
        <v>6717</v>
      </c>
      <c r="AT638" s="0" t="s">
        <v>906</v>
      </c>
      <c r="AU638" s="0" t="s">
        <v>892</v>
      </c>
      <c r="AY638" s="0" t="s">
        <v>6718</v>
      </c>
      <c r="CJ638" s="0" t="s">
        <v>6719</v>
      </c>
      <c r="CO638" s="0" t="s">
        <v>6713</v>
      </c>
    </row>
    <row r="639" customFormat="false" ht="12.8" hidden="false" customHeight="false" outlineLevel="0" collapsed="false">
      <c r="A639" s="0" t="s">
        <v>880</v>
      </c>
      <c r="B639" s="0" t="s">
        <v>6720</v>
      </c>
      <c r="C639" s="0" t="s">
        <v>6721</v>
      </c>
      <c r="D639" s="0" t="s">
        <v>1416</v>
      </c>
      <c r="E639" s="0" t="s">
        <v>6722</v>
      </c>
      <c r="F639" s="0" t="s">
        <v>884</v>
      </c>
      <c r="G639" s="0" t="s">
        <v>102</v>
      </c>
      <c r="I639" s="0" t="str">
        <f aca="false">"1700"</f>
        <v>1700</v>
      </c>
      <c r="J639" s="0" t="str">
        <f aca="false">"1716"</f>
        <v>1716</v>
      </c>
      <c r="T639" s="0" t="s">
        <v>329</v>
      </c>
      <c r="U639" s="0" t="s">
        <v>2448</v>
      </c>
      <c r="V639" s="0" t="s">
        <v>2449</v>
      </c>
      <c r="W639" s="0" t="s">
        <v>6723</v>
      </c>
      <c r="AE639" s="0" t="s">
        <v>6724</v>
      </c>
      <c r="AO639" s="0" t="s">
        <v>3883</v>
      </c>
      <c r="AT639" s="0" t="s">
        <v>338</v>
      </c>
      <c r="AU639" s="0" t="s">
        <v>872</v>
      </c>
      <c r="AV639" s="0" t="s">
        <v>6725</v>
      </c>
      <c r="CJ639" s="0" t="s">
        <v>6726</v>
      </c>
      <c r="CO639" s="0" t="s">
        <v>6727</v>
      </c>
    </row>
    <row r="640" customFormat="false" ht="33.1" hidden="false" customHeight="false" outlineLevel="0" collapsed="false">
      <c r="A640" s="0" t="s">
        <v>880</v>
      </c>
      <c r="C640" s="0" t="s">
        <v>3779</v>
      </c>
      <c r="D640" s="0" t="s">
        <v>398</v>
      </c>
      <c r="E640" s="0" t="s">
        <v>6728</v>
      </c>
      <c r="F640" s="0" t="s">
        <v>884</v>
      </c>
      <c r="G640" s="0" t="s">
        <v>102</v>
      </c>
      <c r="L640" s="0" t="str">
        <f aca="false">"12.1716"</f>
        <v>12.1716</v>
      </c>
      <c r="M640" s="0" t="s">
        <v>5467</v>
      </c>
      <c r="O640" s="0" t="s">
        <v>885</v>
      </c>
      <c r="T640" s="0" t="s">
        <v>329</v>
      </c>
      <c r="W640" s="0" t="s">
        <v>6729</v>
      </c>
      <c r="AB640" s="0" t="s">
        <v>6730</v>
      </c>
      <c r="AO640" s="0" t="s">
        <v>3883</v>
      </c>
      <c r="AT640" s="0" t="s">
        <v>338</v>
      </c>
      <c r="AU640" s="0" t="s">
        <v>112</v>
      </c>
      <c r="AV640" s="0" t="s">
        <v>113</v>
      </c>
      <c r="AY640" s="0" t="s">
        <v>6731</v>
      </c>
      <c r="BX640" s="1" t="s">
        <v>6732</v>
      </c>
      <c r="CG640" s="0" t="s">
        <v>123</v>
      </c>
      <c r="CH640" s="0" t="s">
        <v>1265</v>
      </c>
      <c r="CI640" s="1" t="s">
        <v>6732</v>
      </c>
      <c r="CL640" s="1" t="s">
        <v>6733</v>
      </c>
      <c r="CM640" s="1" t="s">
        <v>6733</v>
      </c>
      <c r="CR640" s="0" t="s">
        <v>6734</v>
      </c>
    </row>
    <row r="641" customFormat="false" ht="22.5" hidden="false" customHeight="false" outlineLevel="0" collapsed="false">
      <c r="A641" s="0" t="s">
        <v>2200</v>
      </c>
      <c r="B641" s="0" t="s">
        <v>6735</v>
      </c>
      <c r="C641" s="0" t="s">
        <v>2136</v>
      </c>
      <c r="D641" s="0" t="s">
        <v>329</v>
      </c>
      <c r="E641" s="0" t="s">
        <v>6736</v>
      </c>
      <c r="G641" s="0" t="s">
        <v>102</v>
      </c>
      <c r="L641" s="0" t="str">
        <f aca="false">"1688"</f>
        <v>1688</v>
      </c>
      <c r="M641" s="0" t="s">
        <v>870</v>
      </c>
      <c r="O641" s="0" t="s">
        <v>6737</v>
      </c>
      <c r="T641" s="0" t="s">
        <v>329</v>
      </c>
      <c r="U641" s="1" t="s">
        <v>333</v>
      </c>
      <c r="V641" s="1" t="s">
        <v>334</v>
      </c>
      <c r="AB641" s="0" t="s">
        <v>6738</v>
      </c>
      <c r="AG641" s="0" t="s">
        <v>2136</v>
      </c>
      <c r="AH641" s="0" t="s">
        <v>329</v>
      </c>
      <c r="AI641" s="0" t="s">
        <v>6739</v>
      </c>
      <c r="AP641" s="0" t="s">
        <v>6740</v>
      </c>
      <c r="AT641" s="0" t="s">
        <v>338</v>
      </c>
      <c r="AU641" s="0" t="s">
        <v>872</v>
      </c>
      <c r="BX641" s="1" t="s">
        <v>6741</v>
      </c>
      <c r="CG641" s="0" t="s">
        <v>123</v>
      </c>
      <c r="CH641" s="0" t="s">
        <v>1265</v>
      </c>
      <c r="CI641" s="1" t="s">
        <v>6741</v>
      </c>
      <c r="CJ641" s="0" t="s">
        <v>6742</v>
      </c>
      <c r="CL641" s="0" t="s">
        <v>6743</v>
      </c>
      <c r="CM641" s="0" t="s">
        <v>6743</v>
      </c>
      <c r="CO641" s="0" t="s">
        <v>6744</v>
      </c>
      <c r="CR641" s="0" t="s">
        <v>6745</v>
      </c>
    </row>
    <row r="642" customFormat="false" ht="22.5" hidden="false" customHeight="false" outlineLevel="0" collapsed="false">
      <c r="A642" s="0" t="s">
        <v>2200</v>
      </c>
      <c r="B642" s="0" t="s">
        <v>6740</v>
      </c>
      <c r="C642" s="0" t="s">
        <v>2136</v>
      </c>
      <c r="D642" s="0" t="s">
        <v>329</v>
      </c>
      <c r="E642" s="0" t="s">
        <v>6746</v>
      </c>
      <c r="L642" s="0" t="str">
        <f aca="false">"1688"</f>
        <v>1688</v>
      </c>
      <c r="M642" s="1" t="s">
        <v>898</v>
      </c>
      <c r="O642" s="1" t="s">
        <v>6747</v>
      </c>
      <c r="T642" s="0" t="s">
        <v>329</v>
      </c>
      <c r="AT642" s="0" t="s">
        <v>338</v>
      </c>
      <c r="CP642" s="0" t="s">
        <v>6748</v>
      </c>
    </row>
    <row r="643" customFormat="false" ht="12.8" hidden="false" customHeight="false" outlineLevel="0" collapsed="false">
      <c r="A643" s="0" t="s">
        <v>880</v>
      </c>
      <c r="B643" s="0" t="s">
        <v>6749</v>
      </c>
      <c r="C643" s="0" t="s">
        <v>1056</v>
      </c>
      <c r="D643" s="0" t="s">
        <v>1057</v>
      </c>
      <c r="E643" s="0" t="s">
        <v>6750</v>
      </c>
      <c r="G643" s="0" t="s">
        <v>5549</v>
      </c>
      <c r="L643" s="0" t="str">
        <f aca="false">"1619"</f>
        <v>1619</v>
      </c>
      <c r="M643" s="0" t="s">
        <v>870</v>
      </c>
      <c r="O643" s="0" t="s">
        <v>6751</v>
      </c>
      <c r="R643" s="0" t="s">
        <v>6752</v>
      </c>
      <c r="T643" s="0" t="s">
        <v>2147</v>
      </c>
      <c r="AB643" s="0" t="s">
        <v>6753</v>
      </c>
      <c r="AP643" s="0" t="s">
        <v>6754</v>
      </c>
      <c r="AT643" s="0" t="s">
        <v>338</v>
      </c>
      <c r="AU643" s="0" t="s">
        <v>112</v>
      </c>
      <c r="CJ643" s="0" t="s">
        <v>6755</v>
      </c>
      <c r="CO643" s="0" t="s">
        <v>6749</v>
      </c>
    </row>
    <row r="644" customFormat="false" ht="22.5" hidden="false" customHeight="false" outlineLevel="0" collapsed="false">
      <c r="A644" s="0" t="s">
        <v>880</v>
      </c>
      <c r="B644" s="0" t="s">
        <v>6754</v>
      </c>
      <c r="C644" s="0" t="s">
        <v>1056</v>
      </c>
      <c r="D644" s="0" t="s">
        <v>1057</v>
      </c>
      <c r="E644" s="0" t="s">
        <v>6750</v>
      </c>
      <c r="L644" s="0" t="str">
        <f aca="false">"1619"</f>
        <v>1619</v>
      </c>
      <c r="M644" s="1" t="s">
        <v>6756</v>
      </c>
      <c r="O644" s="1" t="s">
        <v>6757</v>
      </c>
      <c r="R644" s="0" t="s">
        <v>6752</v>
      </c>
      <c r="T644" s="0" t="s">
        <v>2147</v>
      </c>
      <c r="W644" s="0" t="s">
        <v>6758</v>
      </c>
      <c r="AT644" s="0" t="s">
        <v>338</v>
      </c>
      <c r="AU644" s="0" t="s">
        <v>112</v>
      </c>
      <c r="CP644" s="0" t="s">
        <v>6759</v>
      </c>
    </row>
    <row r="645" customFormat="false" ht="33.1" hidden="false" customHeight="false" outlineLevel="0" collapsed="false">
      <c r="A645" s="0" t="s">
        <v>445</v>
      </c>
      <c r="C645" s="0" t="s">
        <v>224</v>
      </c>
      <c r="D645" s="0" t="s">
        <v>225</v>
      </c>
      <c r="E645" s="0" t="s">
        <v>6760</v>
      </c>
      <c r="L645" s="0" t="str">
        <f aca="false">"1642"</f>
        <v>1642</v>
      </c>
      <c r="M645" s="0" t="s">
        <v>870</v>
      </c>
      <c r="O645" s="0" t="s">
        <v>6761</v>
      </c>
      <c r="T645" s="0" t="s">
        <v>1164</v>
      </c>
      <c r="Z645" s="0" t="s">
        <v>6762</v>
      </c>
      <c r="AB645" s="0" t="s">
        <v>6763</v>
      </c>
      <c r="AS645" s="0" t="s">
        <v>6764</v>
      </c>
      <c r="AT645" s="0" t="s">
        <v>906</v>
      </c>
      <c r="AU645" s="0" t="s">
        <v>892</v>
      </c>
      <c r="AW645" s="0" t="s">
        <v>907</v>
      </c>
      <c r="BC645" s="0" t="str">
        <f aca="false">"149963041"</f>
        <v>149963041</v>
      </c>
      <c r="BU645" s="0" t="s">
        <v>6765</v>
      </c>
      <c r="BX645" s="0" t="s">
        <v>6766</v>
      </c>
      <c r="CH645" s="0" t="s">
        <v>342</v>
      </c>
      <c r="CI645" s="0" t="s">
        <v>6766</v>
      </c>
      <c r="CJ645" s="1" t="s">
        <v>6767</v>
      </c>
      <c r="CO645" s="1" t="s">
        <v>6768</v>
      </c>
    </row>
    <row r="646" customFormat="false" ht="12.8" hidden="false" customHeight="false" outlineLevel="0" collapsed="false">
      <c r="A646" s="0" t="s">
        <v>2200</v>
      </c>
      <c r="B646" s="0" t="s">
        <v>6769</v>
      </c>
      <c r="D646" s="0" t="s">
        <v>6770</v>
      </c>
      <c r="E646" s="0" t="s">
        <v>6771</v>
      </c>
      <c r="L646" s="0" t="str">
        <f aca="false">"1662"</f>
        <v>1662</v>
      </c>
      <c r="M646" s="0" t="s">
        <v>870</v>
      </c>
      <c r="O646" s="0" t="s">
        <v>6772</v>
      </c>
      <c r="R646" s="0" t="s">
        <v>6773</v>
      </c>
      <c r="T646" s="0" t="s">
        <v>308</v>
      </c>
      <c r="U646" s="0" t="s">
        <v>5352</v>
      </c>
      <c r="AB646" s="0" t="s">
        <v>6774</v>
      </c>
      <c r="AT646" s="0" t="s">
        <v>338</v>
      </c>
      <c r="AU646" s="0" t="s">
        <v>2457</v>
      </c>
      <c r="CJ646" s="0" t="s">
        <v>6775</v>
      </c>
      <c r="CO646" s="0" t="s">
        <v>6776</v>
      </c>
    </row>
    <row r="647" customFormat="false" ht="33.1" hidden="false" customHeight="false" outlineLevel="0" collapsed="false">
      <c r="A647" s="0" t="s">
        <v>2200</v>
      </c>
      <c r="D647" s="0" t="s">
        <v>6770</v>
      </c>
      <c r="E647" s="0" t="s">
        <v>6777</v>
      </c>
      <c r="L647" s="0" t="str">
        <f aca="false">"1662"</f>
        <v>1662</v>
      </c>
      <c r="M647" s="1" t="s">
        <v>6778</v>
      </c>
      <c r="O647" s="1" t="s">
        <v>6779</v>
      </c>
      <c r="R647" s="0" t="s">
        <v>6780</v>
      </c>
      <c r="T647" s="0" t="s">
        <v>308</v>
      </c>
      <c r="AT647" s="0" t="s">
        <v>338</v>
      </c>
      <c r="AU647" s="0" t="s">
        <v>2457</v>
      </c>
      <c r="CP647" s="0" t="s">
        <v>6781</v>
      </c>
    </row>
    <row r="648" customFormat="false" ht="75.6" hidden="false" customHeight="false" outlineLevel="0" collapsed="false">
      <c r="A648" s="0" t="s">
        <v>527</v>
      </c>
      <c r="B648" s="0" t="s">
        <v>6782</v>
      </c>
      <c r="C648" s="0" t="s">
        <v>98</v>
      </c>
      <c r="D648" s="0" t="s">
        <v>99</v>
      </c>
      <c r="E648" s="0" t="s">
        <v>6783</v>
      </c>
      <c r="F648" s="0" t="s">
        <v>255</v>
      </c>
      <c r="G648" s="1" t="s">
        <v>684</v>
      </c>
      <c r="L648" s="0" t="str">
        <f aca="false">"1714"</f>
        <v>1714</v>
      </c>
      <c r="M648" s="0" t="s">
        <v>553</v>
      </c>
      <c r="O648" s="1" t="s">
        <v>6784</v>
      </c>
      <c r="U648" s="1" t="s">
        <v>6785</v>
      </c>
      <c r="V648" s="1" t="s">
        <v>6786</v>
      </c>
      <c r="AD648" s="1" t="s">
        <v>951</v>
      </c>
      <c r="AE648" s="1" t="s">
        <v>6787</v>
      </c>
      <c r="AF648" s="1" t="s">
        <v>953</v>
      </c>
      <c r="AT648" s="0" t="s">
        <v>139</v>
      </c>
      <c r="AU648" s="0" t="s">
        <v>112</v>
      </c>
      <c r="AV648" s="0" t="s">
        <v>113</v>
      </c>
      <c r="BD648" s="0" t="s">
        <v>265</v>
      </c>
      <c r="BE648" s="1" t="s">
        <v>6788</v>
      </c>
      <c r="BF648" s="1" t="s">
        <v>1001</v>
      </c>
      <c r="BJ648" s="1" t="s">
        <v>229</v>
      </c>
      <c r="BK648" s="1" t="s">
        <v>267</v>
      </c>
      <c r="BL648" s="1" t="s">
        <v>6789</v>
      </c>
      <c r="BM648" s="0" t="s">
        <v>560</v>
      </c>
      <c r="BN648" s="1" t="s">
        <v>270</v>
      </c>
      <c r="BO648" s="1" t="s">
        <v>2538</v>
      </c>
      <c r="BU648" s="0" t="s">
        <v>6790</v>
      </c>
      <c r="BX648" s="1" t="s">
        <v>6791</v>
      </c>
      <c r="CH648" s="0" t="s">
        <v>625</v>
      </c>
      <c r="CI648" s="1" t="s">
        <v>6791</v>
      </c>
      <c r="CJ648" s="1" t="s">
        <v>6792</v>
      </c>
      <c r="CO648" s="1" t="s">
        <v>6793</v>
      </c>
      <c r="CR648" s="0" t="s">
        <v>6794</v>
      </c>
    </row>
    <row r="649" customFormat="false" ht="33.1" hidden="false" customHeight="false" outlineLevel="0" collapsed="false">
      <c r="A649" s="0" t="s">
        <v>527</v>
      </c>
      <c r="B649" s="0" t="s">
        <v>6782</v>
      </c>
      <c r="C649" s="0" t="s">
        <v>98</v>
      </c>
      <c r="D649" s="0" t="s">
        <v>99</v>
      </c>
      <c r="E649" s="0" t="s">
        <v>6795</v>
      </c>
      <c r="F649" s="0" t="s">
        <v>255</v>
      </c>
      <c r="G649" s="0" t="s">
        <v>256</v>
      </c>
      <c r="L649" s="0" t="str">
        <f aca="false">"1714"</f>
        <v>1714</v>
      </c>
      <c r="M649" s="0" t="s">
        <v>553</v>
      </c>
      <c r="O649" s="1" t="s">
        <v>6796</v>
      </c>
      <c r="U649" s="1" t="s">
        <v>6797</v>
      </c>
      <c r="V649" s="1" t="s">
        <v>6798</v>
      </c>
      <c r="AD649" s="1" t="s">
        <v>557</v>
      </c>
      <c r="AE649" s="1" t="s">
        <v>6799</v>
      </c>
      <c r="AF649" s="1" t="s">
        <v>263</v>
      </c>
      <c r="AT649" s="0" t="s">
        <v>139</v>
      </c>
      <c r="AU649" s="0" t="s">
        <v>112</v>
      </c>
      <c r="AV649" s="0" t="s">
        <v>113</v>
      </c>
      <c r="BD649" s="1" t="s">
        <v>6800</v>
      </c>
      <c r="BE649" s="0" t="s">
        <v>6801</v>
      </c>
      <c r="BF649" s="0" t="s">
        <v>655</v>
      </c>
      <c r="BJ649" s="1" t="s">
        <v>229</v>
      </c>
      <c r="BK649" s="1" t="s">
        <v>6802</v>
      </c>
      <c r="BL649" s="1" t="s">
        <v>6803</v>
      </c>
      <c r="BM649" s="0" t="s">
        <v>560</v>
      </c>
      <c r="BU649" s="0" t="s">
        <v>6804</v>
      </c>
      <c r="BX649" s="1" t="s">
        <v>6805</v>
      </c>
      <c r="CH649" s="0" t="s">
        <v>625</v>
      </c>
      <c r="CI649" s="1" t="s">
        <v>6805</v>
      </c>
      <c r="CJ649" s="1" t="s">
        <v>6806</v>
      </c>
      <c r="CO649" s="1" t="s">
        <v>6807</v>
      </c>
      <c r="CR649" s="0" t="s">
        <v>6808</v>
      </c>
    </row>
    <row r="650" customFormat="false" ht="33.1" hidden="false" customHeight="false" outlineLevel="0" collapsed="false">
      <c r="A650" s="0" t="s">
        <v>527</v>
      </c>
      <c r="B650" s="0" t="s">
        <v>6809</v>
      </c>
      <c r="C650" s="0" t="s">
        <v>98</v>
      </c>
      <c r="D650" s="0" t="s">
        <v>99</v>
      </c>
      <c r="E650" s="0" t="s">
        <v>6810</v>
      </c>
      <c r="F650" s="0" t="s">
        <v>255</v>
      </c>
      <c r="G650" s="1" t="s">
        <v>684</v>
      </c>
      <c r="L650" s="0" t="str">
        <f aca="false">"1714"</f>
        <v>1714</v>
      </c>
      <c r="M650" s="0" t="s">
        <v>553</v>
      </c>
      <c r="O650" s="0" t="s">
        <v>6811</v>
      </c>
      <c r="U650" s="1" t="s">
        <v>6812</v>
      </c>
      <c r="V650" s="1" t="s">
        <v>6813</v>
      </c>
      <c r="AD650" s="1" t="s">
        <v>557</v>
      </c>
      <c r="AE650" s="1" t="s">
        <v>6814</v>
      </c>
      <c r="AF650" s="1" t="s">
        <v>6815</v>
      </c>
      <c r="AT650" s="0" t="s">
        <v>139</v>
      </c>
      <c r="AU650" s="0" t="s">
        <v>112</v>
      </c>
      <c r="AV650" s="0" t="s">
        <v>113</v>
      </c>
      <c r="BD650" s="0" t="s">
        <v>265</v>
      </c>
      <c r="BE650" s="0" t="s">
        <v>6816</v>
      </c>
      <c r="BF650" s="0" t="s">
        <v>6817</v>
      </c>
      <c r="BJ650" s="1" t="s">
        <v>229</v>
      </c>
      <c r="BK650" s="1" t="s">
        <v>6818</v>
      </c>
      <c r="BL650" s="1" t="s">
        <v>6819</v>
      </c>
      <c r="BM650" s="0" t="s">
        <v>560</v>
      </c>
      <c r="BN650" s="1" t="s">
        <v>270</v>
      </c>
      <c r="BO650" s="1" t="s">
        <v>6820</v>
      </c>
      <c r="BU650" s="0" t="s">
        <v>6821</v>
      </c>
      <c r="BX650" s="1" t="s">
        <v>6822</v>
      </c>
      <c r="CH650" s="0" t="s">
        <v>625</v>
      </c>
      <c r="CI650" s="1" t="s">
        <v>6822</v>
      </c>
      <c r="CJ650" s="1" t="s">
        <v>6823</v>
      </c>
      <c r="CO650" s="1" t="s">
        <v>6824</v>
      </c>
      <c r="CR650" s="0" t="s">
        <v>6825</v>
      </c>
    </row>
    <row r="651" customFormat="false" ht="33.1" hidden="false" customHeight="false" outlineLevel="0" collapsed="false">
      <c r="A651" s="0" t="s">
        <v>527</v>
      </c>
      <c r="B651" s="0" t="s">
        <v>6782</v>
      </c>
      <c r="C651" s="0" t="s">
        <v>98</v>
      </c>
      <c r="D651" s="0" t="s">
        <v>99</v>
      </c>
      <c r="E651" s="0" t="s">
        <v>6826</v>
      </c>
      <c r="F651" s="0" t="s">
        <v>255</v>
      </c>
      <c r="G651" s="0" t="s">
        <v>256</v>
      </c>
      <c r="L651" s="0" t="str">
        <f aca="false">"1714"</f>
        <v>1714</v>
      </c>
      <c r="U651" s="1" t="s">
        <v>6827</v>
      </c>
      <c r="V651" s="1" t="s">
        <v>6828</v>
      </c>
      <c r="AD651" s="1" t="s">
        <v>557</v>
      </c>
      <c r="AE651" s="1" t="s">
        <v>6829</v>
      </c>
      <c r="AF651" s="1" t="s">
        <v>263</v>
      </c>
      <c r="AT651" s="0" t="s">
        <v>139</v>
      </c>
      <c r="AU651" s="0" t="s">
        <v>112</v>
      </c>
      <c r="AV651" s="0" t="s">
        <v>113</v>
      </c>
      <c r="BJ651" s="1" t="s">
        <v>229</v>
      </c>
      <c r="BK651" s="1" t="s">
        <v>267</v>
      </c>
      <c r="BL651" s="1" t="s">
        <v>6830</v>
      </c>
      <c r="BM651" s="0" t="s">
        <v>560</v>
      </c>
      <c r="BU651" s="0" t="s">
        <v>6831</v>
      </c>
      <c r="BV651" s="0" t="s">
        <v>6832</v>
      </c>
      <c r="BX651" s="1" t="s">
        <v>6833</v>
      </c>
      <c r="CH651" s="0" t="s">
        <v>625</v>
      </c>
      <c r="CI651" s="1" t="s">
        <v>6833</v>
      </c>
      <c r="CJ651" s="1" t="s">
        <v>6834</v>
      </c>
      <c r="CO651" s="1" t="s">
        <v>6807</v>
      </c>
      <c r="CR651" s="0" t="s">
        <v>6835</v>
      </c>
    </row>
    <row r="652" customFormat="false" ht="43.75" hidden="false" customHeight="false" outlineLevel="0" collapsed="false">
      <c r="A652" s="0" t="s">
        <v>3013</v>
      </c>
      <c r="B652" s="0" t="s">
        <v>6836</v>
      </c>
      <c r="C652" s="0" t="s">
        <v>98</v>
      </c>
      <c r="D652" s="0" t="s">
        <v>99</v>
      </c>
      <c r="E652" s="0" t="s">
        <v>6837</v>
      </c>
      <c r="F652" s="0" t="s">
        <v>255</v>
      </c>
      <c r="G652" s="0" t="s">
        <v>529</v>
      </c>
      <c r="L652" s="0" t="str">
        <f aca="false">"1713"</f>
        <v>1713</v>
      </c>
      <c r="U652" s="1" t="s">
        <v>6838</v>
      </c>
      <c r="V652" s="1" t="s">
        <v>6839</v>
      </c>
      <c r="AD652" s="1" t="s">
        <v>557</v>
      </c>
      <c r="AE652" s="1" t="s">
        <v>6840</v>
      </c>
      <c r="AF652" s="1" t="s">
        <v>263</v>
      </c>
      <c r="AT652" s="0" t="s">
        <v>139</v>
      </c>
      <c r="AU652" s="0" t="s">
        <v>112</v>
      </c>
      <c r="AV652" s="0" t="s">
        <v>113</v>
      </c>
      <c r="BJ652" s="1" t="s">
        <v>229</v>
      </c>
      <c r="BK652" s="1" t="s">
        <v>267</v>
      </c>
      <c r="BL652" s="1" t="s">
        <v>6841</v>
      </c>
      <c r="BM652" s="0" t="s">
        <v>560</v>
      </c>
      <c r="BN652" s="1" t="s">
        <v>270</v>
      </c>
      <c r="BO652" s="1" t="s">
        <v>2538</v>
      </c>
      <c r="BU652" s="0" t="s">
        <v>6842</v>
      </c>
      <c r="BX652" s="1" t="s">
        <v>6843</v>
      </c>
      <c r="CH652" s="0" t="s">
        <v>342</v>
      </c>
      <c r="CI652" s="1" t="s">
        <v>6843</v>
      </c>
      <c r="CJ652" s="1" t="s">
        <v>6844</v>
      </c>
      <c r="CO652" s="1" t="s">
        <v>6845</v>
      </c>
      <c r="CR652" s="0" t="s">
        <v>6846</v>
      </c>
    </row>
    <row r="653" customFormat="false" ht="86.25" hidden="false" customHeight="false" outlineLevel="0" collapsed="false">
      <c r="A653" s="0" t="s">
        <v>6847</v>
      </c>
      <c r="B653" s="0" t="s">
        <v>6809</v>
      </c>
      <c r="C653" s="0" t="s">
        <v>98</v>
      </c>
      <c r="D653" s="0" t="s">
        <v>99</v>
      </c>
      <c r="E653" s="0" t="s">
        <v>6848</v>
      </c>
      <c r="F653" s="0" t="s">
        <v>6847</v>
      </c>
      <c r="G653" s="0" t="s">
        <v>665</v>
      </c>
      <c r="L653" s="0" t="str">
        <f aca="false">"1714"</f>
        <v>1714</v>
      </c>
      <c r="M653" s="0" t="s">
        <v>553</v>
      </c>
      <c r="O653" s="0" t="s">
        <v>6849</v>
      </c>
      <c r="U653" s="1" t="s">
        <v>6850</v>
      </c>
      <c r="V653" s="1" t="s">
        <v>6851</v>
      </c>
      <c r="AD653" s="1" t="s">
        <v>951</v>
      </c>
      <c r="AE653" s="1" t="s">
        <v>6852</v>
      </c>
      <c r="AF653" s="1" t="s">
        <v>953</v>
      </c>
      <c r="AT653" s="0" t="s">
        <v>139</v>
      </c>
      <c r="AU653" s="0" t="s">
        <v>112</v>
      </c>
      <c r="AV653" s="0" t="s">
        <v>113</v>
      </c>
      <c r="BJ653" s="0" t="s">
        <v>118</v>
      </c>
      <c r="BK653" s="1" t="s">
        <v>267</v>
      </c>
      <c r="BL653" s="1" t="s">
        <v>6853</v>
      </c>
      <c r="BN653" s="1" t="s">
        <v>270</v>
      </c>
      <c r="BO653" s="1" t="s">
        <v>6854</v>
      </c>
      <c r="BU653" s="0" t="s">
        <v>6855</v>
      </c>
      <c r="BX653" s="1" t="s">
        <v>6856</v>
      </c>
      <c r="CH653" s="0" t="s">
        <v>625</v>
      </c>
      <c r="CI653" s="1" t="s">
        <v>6856</v>
      </c>
      <c r="CJ653" s="0" t="s">
        <v>6857</v>
      </c>
      <c r="CO653" s="0" t="s">
        <v>6858</v>
      </c>
      <c r="CR653" s="0" t="s">
        <v>6859</v>
      </c>
    </row>
    <row r="654" customFormat="false" ht="75.6" hidden="false" customHeight="false" outlineLevel="0" collapsed="false">
      <c r="A654" s="0" t="s">
        <v>527</v>
      </c>
      <c r="B654" s="0" t="s">
        <v>6860</v>
      </c>
      <c r="C654" s="0" t="s">
        <v>98</v>
      </c>
      <c r="D654" s="0" t="s">
        <v>99</v>
      </c>
      <c r="E654" s="0" t="s">
        <v>6861</v>
      </c>
      <c r="F654" s="0" t="s">
        <v>255</v>
      </c>
      <c r="G654" s="1" t="s">
        <v>684</v>
      </c>
      <c r="L654" s="0" t="str">
        <f aca="false">"1714"</f>
        <v>1714</v>
      </c>
      <c r="M654" s="0" t="s">
        <v>553</v>
      </c>
      <c r="O654" s="0" t="s">
        <v>6849</v>
      </c>
      <c r="T654" s="0" t="s">
        <v>99</v>
      </c>
      <c r="U654" s="1" t="s">
        <v>6862</v>
      </c>
      <c r="V654" s="1" t="s">
        <v>6863</v>
      </c>
      <c r="AD654" s="1" t="s">
        <v>557</v>
      </c>
      <c r="AE654" s="1" t="s">
        <v>6864</v>
      </c>
      <c r="AF654" s="1" t="s">
        <v>263</v>
      </c>
      <c r="AT654" s="0" t="s">
        <v>139</v>
      </c>
      <c r="AU654" s="0" t="s">
        <v>112</v>
      </c>
      <c r="AV654" s="0" t="s">
        <v>113</v>
      </c>
      <c r="BD654" s="0" t="s">
        <v>265</v>
      </c>
      <c r="BE654" s="0" t="s">
        <v>6801</v>
      </c>
      <c r="BF654" s="0" t="s">
        <v>560</v>
      </c>
      <c r="BJ654" s="1" t="s">
        <v>229</v>
      </c>
      <c r="BK654" s="1" t="s">
        <v>6818</v>
      </c>
      <c r="BL654" s="1" t="s">
        <v>6865</v>
      </c>
      <c r="BM654" s="0" t="s">
        <v>560</v>
      </c>
      <c r="BU654" s="0" t="s">
        <v>6866</v>
      </c>
      <c r="BX654" s="1" t="s">
        <v>6867</v>
      </c>
      <c r="CH654" s="0" t="s">
        <v>169</v>
      </c>
      <c r="CI654" s="1" t="s">
        <v>6867</v>
      </c>
      <c r="CJ654" s="1" t="s">
        <v>6868</v>
      </c>
      <c r="CO654" s="1" t="s">
        <v>6869</v>
      </c>
      <c r="CR654" s="0" t="s">
        <v>6870</v>
      </c>
    </row>
    <row r="655" customFormat="false" ht="22.5" hidden="false" customHeight="false" outlineLevel="0" collapsed="false">
      <c r="A655" s="0" t="s">
        <v>96</v>
      </c>
      <c r="B655" s="0" t="s">
        <v>6871</v>
      </c>
      <c r="C655" s="0" t="s">
        <v>98</v>
      </c>
      <c r="D655" s="0" t="s">
        <v>99</v>
      </c>
      <c r="E655" s="0" t="s">
        <v>6872</v>
      </c>
      <c r="F655" s="1" t="s">
        <v>149</v>
      </c>
      <c r="H655" s="0" t="s">
        <v>102</v>
      </c>
      <c r="K655" s="0" t="s">
        <v>6873</v>
      </c>
      <c r="L655" s="0" t="str">
        <f aca="false">"1717"</f>
        <v>1717</v>
      </c>
      <c r="AD655" s="0" t="s">
        <v>136</v>
      </c>
      <c r="AE655" s="0" t="s">
        <v>6874</v>
      </c>
      <c r="AF655" s="0" t="s">
        <v>109</v>
      </c>
      <c r="AT655" s="0" t="s">
        <v>139</v>
      </c>
      <c r="AU655" s="0" t="s">
        <v>112</v>
      </c>
      <c r="AV655" s="0" t="s">
        <v>113</v>
      </c>
      <c r="BU655" s="0" t="s">
        <v>6875</v>
      </c>
      <c r="BX655" s="0" t="s">
        <v>6876</v>
      </c>
      <c r="CH655" s="0" t="s">
        <v>625</v>
      </c>
      <c r="CI655" s="0" t="s">
        <v>6876</v>
      </c>
      <c r="CJ655" s="0" t="s">
        <v>6877</v>
      </c>
      <c r="CO655" s="0" t="s">
        <v>6871</v>
      </c>
      <c r="CR655" s="0" t="s">
        <v>6878</v>
      </c>
    </row>
    <row r="656" customFormat="false" ht="86.25" hidden="false" customHeight="false" outlineLevel="0" collapsed="false">
      <c r="A656" s="0" t="s">
        <v>527</v>
      </c>
      <c r="B656" s="0" t="s">
        <v>6879</v>
      </c>
      <c r="C656" s="0" t="s">
        <v>6880</v>
      </c>
      <c r="D656" s="0" t="s">
        <v>360</v>
      </c>
      <c r="E656" s="0" t="s">
        <v>6881</v>
      </c>
      <c r="F656" s="0" t="s">
        <v>255</v>
      </c>
      <c r="G656" s="0" t="s">
        <v>256</v>
      </c>
      <c r="L656" s="0" t="str">
        <f aca="false">"1714"</f>
        <v>1714</v>
      </c>
      <c r="U656" s="1" t="s">
        <v>6882</v>
      </c>
      <c r="V656" s="1" t="s">
        <v>6883</v>
      </c>
      <c r="AD656" s="1" t="s">
        <v>557</v>
      </c>
      <c r="AE656" s="1" t="s">
        <v>6884</v>
      </c>
      <c r="AF656" s="1" t="s">
        <v>263</v>
      </c>
      <c r="AT656" s="0" t="s">
        <v>139</v>
      </c>
      <c r="AU656" s="0" t="s">
        <v>112</v>
      </c>
      <c r="BJ656" s="1" t="s">
        <v>229</v>
      </c>
      <c r="BK656" s="1" t="s">
        <v>267</v>
      </c>
      <c r="BL656" s="1" t="s">
        <v>6885</v>
      </c>
      <c r="BM656" s="1" t="s">
        <v>955</v>
      </c>
      <c r="BU656" s="1" t="s">
        <v>6886</v>
      </c>
      <c r="BX656" s="1" t="s">
        <v>6887</v>
      </c>
      <c r="CF656" s="1" t="s">
        <v>6888</v>
      </c>
      <c r="CG656" s="0" t="s">
        <v>123</v>
      </c>
      <c r="CH656" s="0" t="s">
        <v>625</v>
      </c>
      <c r="CI656" s="1" t="s">
        <v>6887</v>
      </c>
      <c r="CJ656" s="1" t="s">
        <v>6889</v>
      </c>
      <c r="CL656" s="1" t="s">
        <v>6890</v>
      </c>
      <c r="CM656" s="1" t="s">
        <v>6890</v>
      </c>
      <c r="CO656" s="1" t="s">
        <v>6891</v>
      </c>
      <c r="CR656" s="0" t="s">
        <v>6892</v>
      </c>
    </row>
    <row r="657" customFormat="false" ht="86.25" hidden="false" customHeight="false" outlineLevel="0" collapsed="false">
      <c r="A657" s="0" t="s">
        <v>527</v>
      </c>
      <c r="B657" s="0" t="s">
        <v>6893</v>
      </c>
      <c r="C657" s="0" t="s">
        <v>98</v>
      </c>
      <c r="D657" s="0" t="s">
        <v>99</v>
      </c>
      <c r="E657" s="0" t="s">
        <v>6894</v>
      </c>
      <c r="F657" s="0" t="s">
        <v>255</v>
      </c>
      <c r="G657" s="0" t="s">
        <v>256</v>
      </c>
      <c r="L657" s="0" t="str">
        <f aca="false">"1660"</f>
        <v>1660</v>
      </c>
      <c r="M657" s="0" t="s">
        <v>553</v>
      </c>
      <c r="O657" s="0" t="s">
        <v>6895</v>
      </c>
      <c r="U657" s="1" t="s">
        <v>6896</v>
      </c>
      <c r="V657" s="1" t="s">
        <v>6897</v>
      </c>
      <c r="AD657" s="1" t="s">
        <v>3001</v>
      </c>
      <c r="AE657" s="1" t="s">
        <v>6898</v>
      </c>
      <c r="AF657" s="1" t="s">
        <v>263</v>
      </c>
      <c r="AT657" s="0" t="s">
        <v>139</v>
      </c>
      <c r="AU657" s="0" t="s">
        <v>112</v>
      </c>
      <c r="AV657" s="0" t="s">
        <v>113</v>
      </c>
      <c r="BD657" s="0" t="s">
        <v>265</v>
      </c>
      <c r="BE657" s="0" t="s">
        <v>6899</v>
      </c>
      <c r="BF657" s="0" t="s">
        <v>541</v>
      </c>
      <c r="BJ657" s="1" t="s">
        <v>229</v>
      </c>
      <c r="BK657" s="0" t="s">
        <v>542</v>
      </c>
      <c r="BL657" s="1" t="s">
        <v>6900</v>
      </c>
      <c r="BN657" s="1" t="s">
        <v>270</v>
      </c>
      <c r="BO657" s="1" t="s">
        <v>6901</v>
      </c>
      <c r="BU657" s="1" t="s">
        <v>6902</v>
      </c>
      <c r="BX657" s="1" t="s">
        <v>6903</v>
      </c>
      <c r="CF657" s="0" t="s">
        <v>6904</v>
      </c>
      <c r="CG657" s="0" t="s">
        <v>123</v>
      </c>
      <c r="CH657" s="0" t="s">
        <v>454</v>
      </c>
      <c r="CI657" s="1" t="s">
        <v>6903</v>
      </c>
      <c r="CJ657" s="1" t="s">
        <v>6905</v>
      </c>
      <c r="CO657" s="1" t="s">
        <v>6906</v>
      </c>
      <c r="CR657" s="0" t="s">
        <v>6907</v>
      </c>
    </row>
    <row r="658" customFormat="false" ht="33.1" hidden="false" customHeight="false" outlineLevel="0" collapsed="false">
      <c r="A658" s="0" t="s">
        <v>190</v>
      </c>
      <c r="B658" s="0" t="s">
        <v>6908</v>
      </c>
      <c r="C658" s="0" t="s">
        <v>4766</v>
      </c>
      <c r="D658" s="0" t="s">
        <v>247</v>
      </c>
      <c r="E658" s="0" t="s">
        <v>6909</v>
      </c>
      <c r="F658" s="1" t="s">
        <v>1471</v>
      </c>
      <c r="H658" s="0" t="s">
        <v>102</v>
      </c>
      <c r="L658" s="0" t="str">
        <f aca="false">"1696"</f>
        <v>1696</v>
      </c>
      <c r="M658" s="1" t="s">
        <v>1414</v>
      </c>
      <c r="O658" s="1" t="s">
        <v>6910</v>
      </c>
      <c r="T658" s="0" t="s">
        <v>99</v>
      </c>
      <c r="AB658" s="0" t="s">
        <v>6911</v>
      </c>
      <c r="AT658" s="0" t="s">
        <v>139</v>
      </c>
      <c r="AU658" s="0" t="s">
        <v>112</v>
      </c>
      <c r="BV658" s="0" t="s">
        <v>6912</v>
      </c>
      <c r="CP658" s="0" t="s">
        <v>6913</v>
      </c>
    </row>
    <row r="659" customFormat="false" ht="33.1" hidden="false" customHeight="false" outlineLevel="0" collapsed="false">
      <c r="A659" s="0" t="s">
        <v>96</v>
      </c>
      <c r="B659" s="0" t="s">
        <v>6914</v>
      </c>
      <c r="C659" s="0" t="s">
        <v>98</v>
      </c>
      <c r="D659" s="0" t="s">
        <v>99</v>
      </c>
      <c r="E659" s="0" t="s">
        <v>6915</v>
      </c>
      <c r="F659" s="1" t="s">
        <v>149</v>
      </c>
      <c r="H659" s="0" t="s">
        <v>102</v>
      </c>
      <c r="I659" s="0" t="str">
        <f aca="false">"1668"</f>
        <v>1668</v>
      </c>
      <c r="J659" s="0" t="str">
        <f aca="false">"1669"</f>
        <v>1669</v>
      </c>
      <c r="M659" s="1" t="s">
        <v>1085</v>
      </c>
      <c r="O659" s="1" t="s">
        <v>6916</v>
      </c>
      <c r="U659" s="0" t="s">
        <v>6917</v>
      </c>
      <c r="V659" s="0" t="s">
        <v>6918</v>
      </c>
      <c r="AD659" s="0" t="s">
        <v>155</v>
      </c>
      <c r="AE659" s="0" t="s">
        <v>6919</v>
      </c>
      <c r="AF659" s="0" t="s">
        <v>109</v>
      </c>
      <c r="AP659" s="0" t="s">
        <v>6908</v>
      </c>
      <c r="AQ659" s="0" t="s">
        <v>6920</v>
      </c>
      <c r="AT659" s="0" t="s">
        <v>139</v>
      </c>
      <c r="AU659" s="0" t="s">
        <v>112</v>
      </c>
      <c r="AY659" s="0" t="s">
        <v>6921</v>
      </c>
      <c r="BD659" s="0" t="s">
        <v>966</v>
      </c>
      <c r="BE659" s="0" t="s">
        <v>6922</v>
      </c>
      <c r="BF659" s="0" t="s">
        <v>6923</v>
      </c>
      <c r="BJ659" s="0" t="s">
        <v>118</v>
      </c>
      <c r="BU659" s="0" t="s">
        <v>6924</v>
      </c>
      <c r="BX659" s="0" t="s">
        <v>6925</v>
      </c>
      <c r="CH659" s="0" t="s">
        <v>169</v>
      </c>
      <c r="CI659" s="0" t="s">
        <v>6925</v>
      </c>
      <c r="CR659" s="0" t="s">
        <v>6926</v>
      </c>
    </row>
    <row r="660" customFormat="false" ht="43.75" hidden="false" customHeight="false" outlineLevel="0" collapsed="false">
      <c r="A660" s="0" t="s">
        <v>96</v>
      </c>
      <c r="B660" s="0" t="s">
        <v>6927</v>
      </c>
      <c r="C660" s="0" t="s">
        <v>98</v>
      </c>
      <c r="D660" s="0" t="s">
        <v>99</v>
      </c>
      <c r="E660" s="0" t="s">
        <v>6928</v>
      </c>
      <c r="F660" s="0" t="s">
        <v>219</v>
      </c>
      <c r="H660" s="0" t="s">
        <v>102</v>
      </c>
      <c r="L660" s="0" t="str">
        <f aca="false">"1660"</f>
        <v>1660</v>
      </c>
      <c r="M660" s="0" t="s">
        <v>150</v>
      </c>
      <c r="O660" s="0" t="s">
        <v>2079</v>
      </c>
      <c r="U660" s="1" t="s">
        <v>6929</v>
      </c>
      <c r="V660" s="1" t="s">
        <v>6930</v>
      </c>
      <c r="AD660" s="0" t="s">
        <v>155</v>
      </c>
      <c r="AE660" s="0" t="s">
        <v>6931</v>
      </c>
      <c r="AF660" s="0" t="s">
        <v>109</v>
      </c>
      <c r="AT660" s="0" t="s">
        <v>139</v>
      </c>
      <c r="AU660" s="0" t="s">
        <v>112</v>
      </c>
      <c r="AV660" s="0" t="s">
        <v>113</v>
      </c>
      <c r="BD660" s="0" t="s">
        <v>265</v>
      </c>
      <c r="BE660" s="0" t="s">
        <v>6932</v>
      </c>
      <c r="BF660" s="0" t="s">
        <v>207</v>
      </c>
      <c r="BJ660" s="0" t="s">
        <v>118</v>
      </c>
      <c r="BU660" s="0" t="s">
        <v>6933</v>
      </c>
      <c r="BW660" s="0" t="s">
        <v>6934</v>
      </c>
      <c r="BX660" s="0" t="s">
        <v>6935</v>
      </c>
      <c r="CE660" s="0" t="s">
        <v>641</v>
      </c>
      <c r="CI660" s="0" t="s">
        <v>6935</v>
      </c>
      <c r="CJ660" s="1" t="s">
        <v>6936</v>
      </c>
      <c r="CO660" s="1" t="s">
        <v>6937</v>
      </c>
      <c r="CR660" s="0" t="s">
        <v>6938</v>
      </c>
    </row>
    <row r="661" customFormat="false" ht="22.5" hidden="false" customHeight="false" outlineLevel="0" collapsed="false">
      <c r="A661" s="0" t="s">
        <v>96</v>
      </c>
      <c r="B661" s="0" t="s">
        <v>6939</v>
      </c>
      <c r="C661" s="0" t="s">
        <v>98</v>
      </c>
      <c r="D661" s="0" t="s">
        <v>99</v>
      </c>
      <c r="E661" s="0" t="s">
        <v>6940</v>
      </c>
      <c r="F661" s="1" t="s">
        <v>201</v>
      </c>
      <c r="H661" s="0" t="s">
        <v>102</v>
      </c>
      <c r="L661" s="0" t="str">
        <f aca="false">"1660"</f>
        <v>1660</v>
      </c>
      <c r="M661" s="1" t="s">
        <v>370</v>
      </c>
      <c r="O661" s="1" t="s">
        <v>6941</v>
      </c>
      <c r="T661" s="0" t="s">
        <v>1346</v>
      </c>
      <c r="U661" s="1" t="s">
        <v>6942</v>
      </c>
      <c r="V661" s="1" t="s">
        <v>6943</v>
      </c>
      <c r="Z661" s="0" t="s">
        <v>6944</v>
      </c>
      <c r="AD661" s="0" t="s">
        <v>136</v>
      </c>
      <c r="AE661" s="0" t="s">
        <v>6945</v>
      </c>
      <c r="AF661" s="0" t="s">
        <v>2068</v>
      </c>
      <c r="AT661" s="0" t="s">
        <v>139</v>
      </c>
      <c r="AU661" s="0" t="s">
        <v>112</v>
      </c>
      <c r="AV661" s="0" t="s">
        <v>113</v>
      </c>
      <c r="BD661" s="1" t="s">
        <v>3370</v>
      </c>
      <c r="BE661" s="1" t="s">
        <v>6946</v>
      </c>
      <c r="BF661" s="1" t="s">
        <v>6947</v>
      </c>
      <c r="BJ661" s="0" t="s">
        <v>118</v>
      </c>
      <c r="BU661" s="0" t="s">
        <v>6948</v>
      </c>
      <c r="BX661" s="0" t="s">
        <v>6949</v>
      </c>
      <c r="CH661" s="0" t="s">
        <v>625</v>
      </c>
      <c r="CI661" s="0" t="s">
        <v>6949</v>
      </c>
      <c r="CJ661" s="0" t="s">
        <v>6950</v>
      </c>
      <c r="CO661" s="0" t="s">
        <v>6939</v>
      </c>
      <c r="CR661" s="0" t="s">
        <v>6951</v>
      </c>
    </row>
    <row r="662" customFormat="false" ht="12.8" hidden="false" customHeight="false" outlineLevel="0" collapsed="false">
      <c r="A662" s="0" t="s">
        <v>96</v>
      </c>
      <c r="B662" s="0" t="s">
        <v>6952</v>
      </c>
      <c r="C662" s="0" t="s">
        <v>98</v>
      </c>
      <c r="D662" s="0" t="s">
        <v>99</v>
      </c>
      <c r="E662" s="0" t="s">
        <v>6953</v>
      </c>
      <c r="F662" s="0" t="s">
        <v>131</v>
      </c>
      <c r="H662" s="0" t="s">
        <v>102</v>
      </c>
      <c r="L662" s="0" t="str">
        <f aca="false">"1660"</f>
        <v>1660</v>
      </c>
      <c r="U662" s="0" t="s">
        <v>424</v>
      </c>
      <c r="V662" s="0" t="s">
        <v>6954</v>
      </c>
      <c r="AD662" s="0" t="s">
        <v>107</v>
      </c>
      <c r="AE662" s="0" t="s">
        <v>6955</v>
      </c>
      <c r="AF662" s="0" t="s">
        <v>2068</v>
      </c>
      <c r="AT662" s="0" t="s">
        <v>139</v>
      </c>
      <c r="AU662" s="0" t="s">
        <v>112</v>
      </c>
      <c r="AV662" s="0" t="s">
        <v>113</v>
      </c>
      <c r="BU662" s="0" t="s">
        <v>6956</v>
      </c>
      <c r="BX662" s="0" t="s">
        <v>6957</v>
      </c>
      <c r="CH662" s="0" t="s">
        <v>625</v>
      </c>
      <c r="CI662" s="0" t="s">
        <v>6957</v>
      </c>
      <c r="CJ662" s="0" t="s">
        <v>6958</v>
      </c>
      <c r="CO662" s="0" t="s">
        <v>6952</v>
      </c>
      <c r="CR662" s="0" t="s">
        <v>6959</v>
      </c>
    </row>
    <row r="663" customFormat="false" ht="22.5" hidden="false" customHeight="false" outlineLevel="0" collapsed="false">
      <c r="A663" s="0" t="s">
        <v>96</v>
      </c>
      <c r="B663" s="0" t="s">
        <v>6960</v>
      </c>
      <c r="C663" s="0" t="s">
        <v>98</v>
      </c>
      <c r="D663" s="0" t="s">
        <v>99</v>
      </c>
      <c r="E663" s="0" t="s">
        <v>6961</v>
      </c>
      <c r="F663" s="0" t="s">
        <v>192</v>
      </c>
      <c r="H663" s="0" t="s">
        <v>488</v>
      </c>
      <c r="L663" s="0" t="str">
        <f aca="false">"1659"</f>
        <v>1659</v>
      </c>
      <c r="M663" s="0" t="s">
        <v>448</v>
      </c>
      <c r="O663" s="0" t="s">
        <v>6962</v>
      </c>
      <c r="T663" s="0" t="s">
        <v>99</v>
      </c>
      <c r="U663" s="1" t="s">
        <v>6963</v>
      </c>
      <c r="V663" s="1" t="s">
        <v>6964</v>
      </c>
      <c r="Z663" s="0" t="s">
        <v>6965</v>
      </c>
      <c r="AB663" s="0" t="s">
        <v>6966</v>
      </c>
      <c r="AD663" s="0" t="s">
        <v>136</v>
      </c>
      <c r="AE663" s="0" t="s">
        <v>6967</v>
      </c>
      <c r="AF663" s="0" t="s">
        <v>109</v>
      </c>
      <c r="AT663" s="0" t="s">
        <v>139</v>
      </c>
      <c r="AU663" s="0" t="s">
        <v>112</v>
      </c>
      <c r="BU663" s="0" t="s">
        <v>6968</v>
      </c>
      <c r="BX663" s="0" t="s">
        <v>6969</v>
      </c>
      <c r="CH663" s="0" t="s">
        <v>124</v>
      </c>
      <c r="CI663" s="0" t="s">
        <v>6969</v>
      </c>
      <c r="CJ663" s="0" t="s">
        <v>6970</v>
      </c>
      <c r="CO663" s="0" t="s">
        <v>6960</v>
      </c>
      <c r="CR663" s="0" t="s">
        <v>6971</v>
      </c>
    </row>
    <row r="664" customFormat="false" ht="22.5" hidden="false" customHeight="false" outlineLevel="0" collapsed="false">
      <c r="A664" s="0" t="s">
        <v>96</v>
      </c>
      <c r="B664" s="0" t="s">
        <v>6972</v>
      </c>
      <c r="C664" s="0" t="s">
        <v>98</v>
      </c>
      <c r="D664" s="0" t="s">
        <v>99</v>
      </c>
      <c r="E664" s="0" t="s">
        <v>6973</v>
      </c>
      <c r="F664" s="0" t="s">
        <v>219</v>
      </c>
      <c r="H664" s="0" t="s">
        <v>488</v>
      </c>
      <c r="L664" s="0" t="str">
        <f aca="false">"1667"</f>
        <v>1667</v>
      </c>
      <c r="M664" s="1" t="s">
        <v>6974</v>
      </c>
      <c r="O664" s="1" t="s">
        <v>6975</v>
      </c>
      <c r="T664" s="0" t="s">
        <v>512</v>
      </c>
      <c r="U664" s="0" t="s">
        <v>6976</v>
      </c>
      <c r="V664" s="0" t="s">
        <v>6977</v>
      </c>
      <c r="AD664" s="1" t="s">
        <v>234</v>
      </c>
      <c r="AE664" s="1" t="s">
        <v>6978</v>
      </c>
      <c r="AF664" s="1" t="s">
        <v>6979</v>
      </c>
      <c r="AT664" s="0" t="s">
        <v>139</v>
      </c>
      <c r="AU664" s="0" t="s">
        <v>112</v>
      </c>
      <c r="AV664" s="0" t="s">
        <v>113</v>
      </c>
      <c r="AY664" s="0" t="s">
        <v>6980</v>
      </c>
      <c r="BD664" s="0" t="s">
        <v>873</v>
      </c>
      <c r="BE664" s="0" t="s">
        <v>6981</v>
      </c>
      <c r="BF664" s="0" t="s">
        <v>142</v>
      </c>
      <c r="BJ664" s="0" t="s">
        <v>118</v>
      </c>
      <c r="BU664" s="0" t="s">
        <v>6982</v>
      </c>
      <c r="BX664" s="0" t="s">
        <v>6983</v>
      </c>
      <c r="CH664" s="0" t="s">
        <v>169</v>
      </c>
      <c r="CI664" s="0" t="s">
        <v>6983</v>
      </c>
      <c r="CJ664" s="0" t="s">
        <v>6984</v>
      </c>
      <c r="CO664" s="0" t="s">
        <v>6985</v>
      </c>
      <c r="CR664" s="0" t="s">
        <v>6986</v>
      </c>
    </row>
    <row r="665" customFormat="false" ht="22.5" hidden="false" customHeight="false" outlineLevel="0" collapsed="false">
      <c r="A665" s="0" t="s">
        <v>96</v>
      </c>
      <c r="B665" s="0" t="s">
        <v>6987</v>
      </c>
      <c r="C665" s="0" t="s">
        <v>98</v>
      </c>
      <c r="D665" s="0" t="s">
        <v>99</v>
      </c>
      <c r="E665" s="0" t="s">
        <v>6988</v>
      </c>
      <c r="F665" s="1" t="s">
        <v>149</v>
      </c>
      <c r="H665" s="0" t="s">
        <v>102</v>
      </c>
      <c r="K665" s="0" t="s">
        <v>6989</v>
      </c>
      <c r="L665" s="0" t="str">
        <f aca="false">"1667"</f>
        <v>1667</v>
      </c>
      <c r="M665" s="1" t="s">
        <v>6990</v>
      </c>
      <c r="O665" s="1" t="s">
        <v>6991</v>
      </c>
      <c r="R665" s="0" t="s">
        <v>1345</v>
      </c>
      <c r="T665" s="0" t="s">
        <v>1346</v>
      </c>
      <c r="U665" s="1" t="s">
        <v>6992</v>
      </c>
      <c r="V665" s="1" t="s">
        <v>6993</v>
      </c>
      <c r="AD665" s="1" t="s">
        <v>2185</v>
      </c>
      <c r="AE665" s="1" t="s">
        <v>6994</v>
      </c>
      <c r="AF665" s="0" t="s">
        <v>109</v>
      </c>
      <c r="AP665" s="0" t="s">
        <v>6995</v>
      </c>
      <c r="AQ665" s="0" t="s">
        <v>6996</v>
      </c>
      <c r="AT665" s="0" t="s">
        <v>139</v>
      </c>
      <c r="AU665" s="0" t="s">
        <v>112</v>
      </c>
      <c r="AY665" s="0" t="s">
        <v>6997</v>
      </c>
      <c r="BU665" s="0" t="s">
        <v>6998</v>
      </c>
      <c r="BX665" s="0" t="s">
        <v>6999</v>
      </c>
      <c r="CH665" s="0" t="s">
        <v>169</v>
      </c>
      <c r="CI665" s="0" t="s">
        <v>6999</v>
      </c>
      <c r="CR665" s="0" t="s">
        <v>7000</v>
      </c>
    </row>
    <row r="666" customFormat="false" ht="22.5" hidden="false" customHeight="false" outlineLevel="0" collapsed="false">
      <c r="A666" s="0" t="s">
        <v>190</v>
      </c>
      <c r="B666" s="0" t="s">
        <v>6995</v>
      </c>
      <c r="C666" s="0" t="s">
        <v>224</v>
      </c>
      <c r="D666" s="0" t="s">
        <v>225</v>
      </c>
      <c r="E666" s="0" t="s">
        <v>7001</v>
      </c>
      <c r="F666" s="0" t="s">
        <v>192</v>
      </c>
      <c r="H666" s="0" t="s">
        <v>102</v>
      </c>
      <c r="L666" s="0" t="str">
        <f aca="false">"1677"</f>
        <v>1677</v>
      </c>
      <c r="M666" s="0" t="s">
        <v>448</v>
      </c>
      <c r="O666" s="0" t="s">
        <v>7002</v>
      </c>
      <c r="R666" s="1" t="s">
        <v>7003</v>
      </c>
      <c r="T666" s="0" t="s">
        <v>1346</v>
      </c>
      <c r="Z666" s="0" t="s">
        <v>7004</v>
      </c>
      <c r="AT666" s="0" t="s">
        <v>139</v>
      </c>
      <c r="AU666" s="0" t="s">
        <v>112</v>
      </c>
      <c r="AY666" s="0" t="s">
        <v>7005</v>
      </c>
      <c r="CP666" s="0" t="s">
        <v>7006</v>
      </c>
    </row>
    <row r="667" customFormat="false" ht="96.85" hidden="false" customHeight="false" outlineLevel="0" collapsed="false">
      <c r="A667" s="0" t="s">
        <v>527</v>
      </c>
      <c r="B667" s="0" t="s">
        <v>6782</v>
      </c>
      <c r="C667" s="0" t="s">
        <v>98</v>
      </c>
      <c r="D667" s="0" t="s">
        <v>99</v>
      </c>
      <c r="E667" s="0" t="s">
        <v>7007</v>
      </c>
      <c r="F667" s="0" t="s">
        <v>255</v>
      </c>
      <c r="G667" s="1" t="s">
        <v>684</v>
      </c>
      <c r="L667" s="0" t="str">
        <f aca="false">"1714"</f>
        <v>1714</v>
      </c>
      <c r="M667" s="1" t="s">
        <v>2105</v>
      </c>
      <c r="O667" s="1" t="s">
        <v>7008</v>
      </c>
      <c r="T667" s="0" t="s">
        <v>99</v>
      </c>
      <c r="U667" s="1" t="s">
        <v>7009</v>
      </c>
      <c r="V667" s="1" t="s">
        <v>7010</v>
      </c>
      <c r="AD667" s="1" t="s">
        <v>557</v>
      </c>
      <c r="AE667" s="1" t="s">
        <v>7011</v>
      </c>
      <c r="AF667" s="1" t="s">
        <v>263</v>
      </c>
      <c r="AT667" s="0" t="s">
        <v>139</v>
      </c>
      <c r="AU667" s="0" t="s">
        <v>112</v>
      </c>
      <c r="AV667" s="0" t="s">
        <v>113</v>
      </c>
      <c r="BD667" s="0" t="s">
        <v>265</v>
      </c>
      <c r="BE667" s="1" t="s">
        <v>6788</v>
      </c>
      <c r="BF667" s="0" t="s">
        <v>541</v>
      </c>
      <c r="BJ667" s="1" t="s">
        <v>229</v>
      </c>
      <c r="BK667" s="1" t="s">
        <v>592</v>
      </c>
      <c r="BL667" s="1" t="s">
        <v>7012</v>
      </c>
      <c r="BM667" s="0" t="s">
        <v>560</v>
      </c>
      <c r="BU667" s="1" t="s">
        <v>7013</v>
      </c>
      <c r="BX667" s="1" t="s">
        <v>7014</v>
      </c>
      <c r="CE667" s="0" t="s">
        <v>7015</v>
      </c>
      <c r="CF667" s="0" t="s">
        <v>7016</v>
      </c>
      <c r="CG667" s="0" t="s">
        <v>123</v>
      </c>
      <c r="CH667" s="0" t="s">
        <v>342</v>
      </c>
      <c r="CI667" s="1" t="s">
        <v>7014</v>
      </c>
      <c r="CJ667" s="1" t="s">
        <v>7017</v>
      </c>
      <c r="CL667" s="1" t="s">
        <v>7018</v>
      </c>
      <c r="CM667" s="1" t="s">
        <v>7018</v>
      </c>
      <c r="CO667" s="1" t="s">
        <v>6807</v>
      </c>
      <c r="CR667" s="0" t="s">
        <v>7019</v>
      </c>
    </row>
    <row r="668" customFormat="false" ht="86.25" hidden="false" customHeight="false" outlineLevel="0" collapsed="false">
      <c r="A668" s="0" t="s">
        <v>252</v>
      </c>
      <c r="B668" s="0" t="s">
        <v>7020</v>
      </c>
      <c r="C668" s="0" t="s">
        <v>98</v>
      </c>
      <c r="D668" s="0" t="s">
        <v>99</v>
      </c>
      <c r="E668" s="0" t="s">
        <v>7021</v>
      </c>
      <c r="F668" s="0" t="s">
        <v>255</v>
      </c>
      <c r="K668" s="0" t="s">
        <v>7022</v>
      </c>
      <c r="L668" s="0" t="str">
        <f aca="false">"27.07.1650"</f>
        <v>27.07.1650</v>
      </c>
      <c r="M668" s="0" t="s">
        <v>257</v>
      </c>
      <c r="O668" s="0" t="s">
        <v>258</v>
      </c>
      <c r="T668" s="0" t="s">
        <v>99</v>
      </c>
      <c r="U668" s="1" t="s">
        <v>7023</v>
      </c>
      <c r="V668" s="1" t="s">
        <v>7024</v>
      </c>
      <c r="AD668" s="1" t="s">
        <v>261</v>
      </c>
      <c r="AE668" s="1" t="s">
        <v>7025</v>
      </c>
      <c r="AF668" s="1" t="s">
        <v>263</v>
      </c>
      <c r="AT668" s="0" t="s">
        <v>139</v>
      </c>
      <c r="AU668" s="0" t="s">
        <v>112</v>
      </c>
      <c r="AV668" s="0" t="s">
        <v>113</v>
      </c>
      <c r="BD668" s="1" t="s">
        <v>267</v>
      </c>
      <c r="BE668" s="1" t="s">
        <v>7026</v>
      </c>
      <c r="BJ668" s="1" t="s">
        <v>229</v>
      </c>
      <c r="BU668" s="0" t="s">
        <v>7027</v>
      </c>
      <c r="BX668" s="1" t="s">
        <v>7028</v>
      </c>
      <c r="CE668" s="0" t="s">
        <v>641</v>
      </c>
      <c r="CH668" s="0" t="s">
        <v>298</v>
      </c>
      <c r="CI668" s="1" t="s">
        <v>7028</v>
      </c>
      <c r="CJ668" s="1" t="s">
        <v>7029</v>
      </c>
      <c r="CO668" s="1" t="s">
        <v>7030</v>
      </c>
      <c r="CR668" s="0" t="s">
        <v>7031</v>
      </c>
    </row>
    <row r="669" customFormat="false" ht="65" hidden="false" customHeight="false" outlineLevel="0" collapsed="false">
      <c r="A669" s="0" t="s">
        <v>96</v>
      </c>
      <c r="B669" s="0" t="s">
        <v>7032</v>
      </c>
      <c r="C669" s="0" t="s">
        <v>98</v>
      </c>
      <c r="D669" s="0" t="s">
        <v>99</v>
      </c>
      <c r="E669" s="0" t="s">
        <v>7033</v>
      </c>
      <c r="F669" s="0" t="s">
        <v>131</v>
      </c>
      <c r="H669" s="0" t="s">
        <v>7034</v>
      </c>
      <c r="L669" s="0" t="str">
        <f aca="false">"1679"</f>
        <v>1679</v>
      </c>
      <c r="M669" s="0" t="s">
        <v>715</v>
      </c>
      <c r="O669" s="0" t="s">
        <v>7035</v>
      </c>
      <c r="T669" s="0" t="s">
        <v>308</v>
      </c>
      <c r="U669" s="1" t="s">
        <v>7036</v>
      </c>
      <c r="V669" s="1" t="s">
        <v>7037</v>
      </c>
      <c r="AD669" s="0" t="s">
        <v>136</v>
      </c>
      <c r="AE669" s="0" t="s">
        <v>7038</v>
      </c>
      <c r="AF669" s="0" t="s">
        <v>109</v>
      </c>
      <c r="AT669" s="0" t="s">
        <v>139</v>
      </c>
      <c r="AU669" s="0" t="s">
        <v>112</v>
      </c>
      <c r="AV669" s="0" t="s">
        <v>113</v>
      </c>
      <c r="BD669" s="0" t="s">
        <v>873</v>
      </c>
      <c r="BF669" s="0" t="s">
        <v>142</v>
      </c>
      <c r="BJ669" s="0" t="s">
        <v>118</v>
      </c>
      <c r="BU669" s="1" t="s">
        <v>7039</v>
      </c>
      <c r="BX669" s="0" t="s">
        <v>7040</v>
      </c>
      <c r="CF669" s="0" t="s">
        <v>7041</v>
      </c>
      <c r="CG669" s="0" t="s">
        <v>123</v>
      </c>
      <c r="CH669" s="1" t="s">
        <v>877</v>
      </c>
      <c r="CI669" s="0" t="s">
        <v>7040</v>
      </c>
      <c r="CJ669" s="0" t="s">
        <v>7042</v>
      </c>
      <c r="CL669" s="0" t="s">
        <v>7043</v>
      </c>
      <c r="CM669" s="0" t="s">
        <v>7043</v>
      </c>
      <c r="CO669" s="0" t="s">
        <v>7032</v>
      </c>
      <c r="CR669" s="0" t="s">
        <v>7044</v>
      </c>
    </row>
    <row r="670" customFormat="false" ht="33.1" hidden="false" customHeight="false" outlineLevel="0" collapsed="false">
      <c r="A670" s="0" t="s">
        <v>96</v>
      </c>
      <c r="B670" s="0" t="s">
        <v>7045</v>
      </c>
      <c r="C670" s="0" t="s">
        <v>98</v>
      </c>
      <c r="D670" s="0" t="s">
        <v>99</v>
      </c>
      <c r="E670" s="0" t="s">
        <v>7046</v>
      </c>
      <c r="F670" s="0" t="s">
        <v>219</v>
      </c>
      <c r="H670" s="0" t="s">
        <v>102</v>
      </c>
      <c r="L670" s="0" t="str">
        <f aca="false">"1685"</f>
        <v>1685</v>
      </c>
      <c r="M670" s="0" t="s">
        <v>150</v>
      </c>
      <c r="O670" s="0" t="s">
        <v>7047</v>
      </c>
      <c r="U670" s="1" t="s">
        <v>7048</v>
      </c>
      <c r="V670" s="1" t="s">
        <v>7049</v>
      </c>
      <c r="AD670" s="0" t="s">
        <v>155</v>
      </c>
      <c r="AE670" s="0" t="s">
        <v>7050</v>
      </c>
      <c r="AF670" s="0" t="s">
        <v>2068</v>
      </c>
      <c r="AP670" s="0" t="s">
        <v>7051</v>
      </c>
      <c r="AQ670" s="0" t="s">
        <v>7052</v>
      </c>
      <c r="AT670" s="0" t="s">
        <v>139</v>
      </c>
      <c r="AU670" s="0" t="s">
        <v>112</v>
      </c>
      <c r="AV670" s="0" t="s">
        <v>113</v>
      </c>
      <c r="BD670" s="0" t="s">
        <v>140</v>
      </c>
      <c r="BE670" s="0" t="s">
        <v>7053</v>
      </c>
      <c r="BF670" s="0" t="s">
        <v>7054</v>
      </c>
      <c r="BJ670" s="0" t="s">
        <v>118</v>
      </c>
      <c r="BX670" s="0" t="s">
        <v>7055</v>
      </c>
      <c r="CH670" s="0" t="s">
        <v>169</v>
      </c>
      <c r="CI670" s="0" t="s">
        <v>7055</v>
      </c>
      <c r="CJ670" s="0" t="s">
        <v>7056</v>
      </c>
      <c r="CO670" s="0" t="s">
        <v>7045</v>
      </c>
      <c r="CR670" s="0" t="s">
        <v>7057</v>
      </c>
    </row>
    <row r="671" customFormat="false" ht="43.75" hidden="false" customHeight="false" outlineLevel="0" collapsed="false">
      <c r="A671" s="0" t="s">
        <v>190</v>
      </c>
      <c r="B671" s="0" t="s">
        <v>7051</v>
      </c>
      <c r="C671" s="0" t="s">
        <v>5015</v>
      </c>
      <c r="D671" s="0" t="s">
        <v>512</v>
      </c>
      <c r="E671" s="0" t="s">
        <v>7058</v>
      </c>
      <c r="F671" s="0" t="s">
        <v>192</v>
      </c>
      <c r="I671" s="0" t="str">
        <f aca="false">"1669"</f>
        <v>1669</v>
      </c>
      <c r="J671" s="0" t="str">
        <f aca="false">"1698"</f>
        <v>1698</v>
      </c>
      <c r="M671" s="1" t="s">
        <v>5679</v>
      </c>
      <c r="O671" s="1" t="s">
        <v>7059</v>
      </c>
      <c r="T671" s="0" t="s">
        <v>512</v>
      </c>
      <c r="AR671" s="0" t="str">
        <f aca="false">"4"</f>
        <v>4</v>
      </c>
      <c r="AT671" s="0" t="s">
        <v>139</v>
      </c>
      <c r="AU671" s="0" t="s">
        <v>112</v>
      </c>
      <c r="AY671" s="0" t="s">
        <v>7060</v>
      </c>
      <c r="CP671" s="0" t="s">
        <v>7061</v>
      </c>
    </row>
    <row r="672" customFormat="false" ht="33.1" hidden="false" customHeight="false" outlineLevel="0" collapsed="false">
      <c r="A672" s="0" t="s">
        <v>96</v>
      </c>
      <c r="B672" s="0" t="s">
        <v>7062</v>
      </c>
      <c r="C672" s="0" t="s">
        <v>98</v>
      </c>
      <c r="D672" s="0" t="s">
        <v>99</v>
      </c>
      <c r="E672" s="0" t="s">
        <v>7063</v>
      </c>
      <c r="F672" s="1" t="s">
        <v>1471</v>
      </c>
      <c r="H672" s="0" t="s">
        <v>102</v>
      </c>
      <c r="L672" s="0" t="str">
        <f aca="false">"1679"</f>
        <v>1679</v>
      </c>
      <c r="M672" s="1" t="s">
        <v>331</v>
      </c>
      <c r="O672" s="1" t="s">
        <v>7064</v>
      </c>
      <c r="T672" s="0" t="s">
        <v>99</v>
      </c>
      <c r="U672" s="1" t="s">
        <v>6942</v>
      </c>
      <c r="V672" s="1" t="s">
        <v>7065</v>
      </c>
      <c r="AD672" s="1" t="s">
        <v>285</v>
      </c>
      <c r="AE672" s="1" t="s">
        <v>7066</v>
      </c>
      <c r="AF672" s="0" t="s">
        <v>109</v>
      </c>
      <c r="AT672" s="0" t="s">
        <v>139</v>
      </c>
      <c r="AU672" s="0" t="s">
        <v>112</v>
      </c>
      <c r="AV672" s="0" t="s">
        <v>113</v>
      </c>
      <c r="AY672" s="0" t="s">
        <v>7067</v>
      </c>
      <c r="BD672" s="0" t="s">
        <v>873</v>
      </c>
      <c r="BE672" s="0" t="s">
        <v>7068</v>
      </c>
      <c r="BF672" s="0" t="s">
        <v>142</v>
      </c>
      <c r="BU672" s="0" t="s">
        <v>7069</v>
      </c>
      <c r="BX672" s="0" t="s">
        <v>7070</v>
      </c>
      <c r="CH672" s="0" t="s">
        <v>342</v>
      </c>
      <c r="CI672" s="0" t="s">
        <v>7070</v>
      </c>
      <c r="CJ672" s="0" t="s">
        <v>7071</v>
      </c>
      <c r="CO672" s="0" t="s">
        <v>7072</v>
      </c>
      <c r="CR672" s="0" t="s">
        <v>7073</v>
      </c>
    </row>
    <row r="673" customFormat="false" ht="54.35" hidden="false" customHeight="false" outlineLevel="0" collapsed="false">
      <c r="A673" s="0" t="s">
        <v>527</v>
      </c>
      <c r="B673" s="0" t="s">
        <v>7074</v>
      </c>
      <c r="C673" s="0" t="s">
        <v>98</v>
      </c>
      <c r="D673" s="0" t="s">
        <v>99</v>
      </c>
      <c r="E673" s="0" t="s">
        <v>7075</v>
      </c>
      <c r="F673" s="0" t="s">
        <v>255</v>
      </c>
      <c r="G673" s="0" t="s">
        <v>256</v>
      </c>
      <c r="L673" s="0" t="str">
        <f aca="false">"1697"</f>
        <v>1697</v>
      </c>
      <c r="M673" s="0" t="s">
        <v>553</v>
      </c>
      <c r="O673" s="0" t="s">
        <v>7076</v>
      </c>
      <c r="T673" s="0" t="s">
        <v>247</v>
      </c>
      <c r="U673" s="1" t="s">
        <v>7077</v>
      </c>
      <c r="V673" s="1" t="s">
        <v>7078</v>
      </c>
      <c r="AD673" s="1" t="s">
        <v>557</v>
      </c>
      <c r="AE673" s="1" t="s">
        <v>7079</v>
      </c>
      <c r="AF673" s="1" t="s">
        <v>6815</v>
      </c>
      <c r="AT673" s="0" t="s">
        <v>139</v>
      </c>
      <c r="AU673" s="0" t="s">
        <v>112</v>
      </c>
      <c r="AV673" s="0" t="s">
        <v>113</v>
      </c>
      <c r="BD673" s="0" t="s">
        <v>265</v>
      </c>
      <c r="BE673" s="0" t="s">
        <v>7080</v>
      </c>
      <c r="BF673" s="0" t="s">
        <v>655</v>
      </c>
      <c r="BJ673" s="1" t="s">
        <v>2549</v>
      </c>
      <c r="BK673" s="1" t="s">
        <v>7081</v>
      </c>
      <c r="BL673" s="1" t="s">
        <v>7082</v>
      </c>
      <c r="BM673" s="0" t="s">
        <v>541</v>
      </c>
      <c r="BN673" s="1" t="s">
        <v>270</v>
      </c>
      <c r="BO673" s="1" t="s">
        <v>2538</v>
      </c>
      <c r="BU673" s="0" t="s">
        <v>7083</v>
      </c>
      <c r="BX673" s="1" t="s">
        <v>7084</v>
      </c>
      <c r="CH673" s="0" t="s">
        <v>342</v>
      </c>
      <c r="CI673" s="1" t="s">
        <v>7084</v>
      </c>
      <c r="CJ673" s="1" t="s">
        <v>7085</v>
      </c>
      <c r="CO673" s="1" t="s">
        <v>7086</v>
      </c>
      <c r="CR673" s="0" t="s">
        <v>7087</v>
      </c>
    </row>
    <row r="674" customFormat="false" ht="43.75" hidden="false" customHeight="false" outlineLevel="0" collapsed="false">
      <c r="A674" s="0" t="s">
        <v>527</v>
      </c>
      <c r="B674" s="0" t="s">
        <v>7088</v>
      </c>
      <c r="C674" s="0" t="s">
        <v>98</v>
      </c>
      <c r="D674" s="0" t="s">
        <v>99</v>
      </c>
      <c r="E674" s="0" t="s">
        <v>7089</v>
      </c>
      <c r="F674" s="0" t="s">
        <v>255</v>
      </c>
      <c r="G674" s="0" t="s">
        <v>529</v>
      </c>
      <c r="L674" s="0" t="str">
        <f aca="false">"1697"</f>
        <v>1697</v>
      </c>
      <c r="M674" s="0" t="s">
        <v>257</v>
      </c>
      <c r="O674" s="0" t="s">
        <v>258</v>
      </c>
      <c r="T674" s="0" t="s">
        <v>99</v>
      </c>
      <c r="U674" s="1" t="s">
        <v>7090</v>
      </c>
      <c r="V674" s="1" t="s">
        <v>7091</v>
      </c>
      <c r="AD674" s="1" t="s">
        <v>557</v>
      </c>
      <c r="AE674" s="1" t="s">
        <v>7092</v>
      </c>
      <c r="AF674" s="1" t="s">
        <v>263</v>
      </c>
      <c r="AT674" s="0" t="s">
        <v>139</v>
      </c>
      <c r="AU674" s="0" t="s">
        <v>112</v>
      </c>
      <c r="AV674" s="0" t="s">
        <v>113</v>
      </c>
      <c r="BD674" s="0" t="s">
        <v>265</v>
      </c>
      <c r="BE674" s="0" t="s">
        <v>7093</v>
      </c>
      <c r="BF674" s="0" t="s">
        <v>541</v>
      </c>
      <c r="BJ674" s="1" t="s">
        <v>467</v>
      </c>
      <c r="BK674" s="1" t="s">
        <v>267</v>
      </c>
      <c r="BL674" s="1" t="s">
        <v>7094</v>
      </c>
      <c r="BM674" s="0" t="s">
        <v>560</v>
      </c>
      <c r="BN674" s="1" t="s">
        <v>3005</v>
      </c>
      <c r="BO674" s="1" t="s">
        <v>7095</v>
      </c>
      <c r="BU674" s="0" t="s">
        <v>7096</v>
      </c>
      <c r="BX674" s="1" t="s">
        <v>7097</v>
      </c>
      <c r="CE674" s="0" t="s">
        <v>641</v>
      </c>
      <c r="CH674" s="0" t="s">
        <v>342</v>
      </c>
      <c r="CI674" s="1" t="s">
        <v>7097</v>
      </c>
      <c r="CJ674" s="1" t="s">
        <v>7098</v>
      </c>
      <c r="CO674" s="1" t="s">
        <v>7099</v>
      </c>
      <c r="CR674" s="0" t="s">
        <v>7100</v>
      </c>
    </row>
    <row r="675" customFormat="false" ht="54.35" hidden="false" customHeight="false" outlineLevel="0" collapsed="false">
      <c r="A675" s="0" t="s">
        <v>527</v>
      </c>
      <c r="B675" s="0" t="s">
        <v>7101</v>
      </c>
      <c r="C675" s="0" t="s">
        <v>98</v>
      </c>
      <c r="D675" s="0" t="s">
        <v>99</v>
      </c>
      <c r="E675" s="0" t="s">
        <v>7102</v>
      </c>
      <c r="F675" s="0" t="s">
        <v>255</v>
      </c>
      <c r="G675" s="0" t="s">
        <v>7103</v>
      </c>
      <c r="L675" s="0" t="str">
        <f aca="false">"1697"</f>
        <v>1697</v>
      </c>
      <c r="O675" s="0" t="s">
        <v>7104</v>
      </c>
      <c r="T675" s="0" t="s">
        <v>99</v>
      </c>
      <c r="U675" s="1" t="s">
        <v>7077</v>
      </c>
      <c r="V675" s="1" t="s">
        <v>7105</v>
      </c>
      <c r="AD675" s="1" t="s">
        <v>951</v>
      </c>
      <c r="AE675" s="1" t="s">
        <v>7106</v>
      </c>
      <c r="AF675" s="1" t="s">
        <v>953</v>
      </c>
      <c r="AT675" s="0" t="s">
        <v>139</v>
      </c>
      <c r="AU675" s="0" t="s">
        <v>112</v>
      </c>
      <c r="AV675" s="0" t="s">
        <v>113</v>
      </c>
      <c r="BD675" s="0" t="s">
        <v>265</v>
      </c>
      <c r="BE675" s="0" t="s">
        <v>7107</v>
      </c>
      <c r="BF675" s="0" t="s">
        <v>655</v>
      </c>
      <c r="BJ675" s="1" t="s">
        <v>7108</v>
      </c>
      <c r="BK675" s="1" t="s">
        <v>7109</v>
      </c>
      <c r="BL675" s="1" t="s">
        <v>7110</v>
      </c>
      <c r="BM675" s="0" t="s">
        <v>541</v>
      </c>
      <c r="BN675" s="1" t="s">
        <v>606</v>
      </c>
      <c r="BO675" s="1" t="s">
        <v>1015</v>
      </c>
      <c r="BU675" s="0" t="s">
        <v>7111</v>
      </c>
      <c r="BX675" s="1" t="s">
        <v>7112</v>
      </c>
      <c r="CE675" s="0" t="s">
        <v>7015</v>
      </c>
      <c r="CH675" s="0" t="s">
        <v>169</v>
      </c>
      <c r="CI675" s="1" t="s">
        <v>7112</v>
      </c>
      <c r="CJ675" s="1" t="s">
        <v>7113</v>
      </c>
      <c r="CO675" s="1" t="s">
        <v>7114</v>
      </c>
      <c r="CR675" s="0" t="s">
        <v>7115</v>
      </c>
    </row>
    <row r="676" customFormat="false" ht="86.25" hidden="false" customHeight="false" outlineLevel="0" collapsed="false">
      <c r="A676" s="0" t="s">
        <v>96</v>
      </c>
      <c r="B676" s="0" t="s">
        <v>7116</v>
      </c>
      <c r="C676" s="0" t="s">
        <v>98</v>
      </c>
      <c r="D676" s="0" t="s">
        <v>99</v>
      </c>
      <c r="E676" s="0" t="s">
        <v>7117</v>
      </c>
      <c r="F676" s="1" t="s">
        <v>149</v>
      </c>
      <c r="H676" s="0" t="s">
        <v>102</v>
      </c>
      <c r="I676" s="0" t="str">
        <f aca="false">"1718"</f>
        <v>1718</v>
      </c>
      <c r="J676" s="0" t="str">
        <f aca="false">"1719"</f>
        <v>1719</v>
      </c>
      <c r="U676" s="1" t="s">
        <v>7118</v>
      </c>
      <c r="V676" s="1" t="s">
        <v>7119</v>
      </c>
      <c r="AD676" s="1" t="s">
        <v>234</v>
      </c>
      <c r="AE676" s="1" t="s">
        <v>7120</v>
      </c>
      <c r="AF676" s="1" t="s">
        <v>3368</v>
      </c>
      <c r="AP676" s="0" t="s">
        <v>7121</v>
      </c>
      <c r="AQ676" s="0" t="s">
        <v>7122</v>
      </c>
      <c r="AT676" s="0" t="s">
        <v>139</v>
      </c>
      <c r="AU676" s="0" t="s">
        <v>112</v>
      </c>
      <c r="AV676" s="0" t="s">
        <v>113</v>
      </c>
      <c r="BU676" s="1" t="s">
        <v>7123</v>
      </c>
      <c r="BX676" s="0" t="s">
        <v>7124</v>
      </c>
      <c r="CF676" s="1" t="s">
        <v>7125</v>
      </c>
      <c r="CG676" s="0" t="s">
        <v>123</v>
      </c>
      <c r="CH676" s="0" t="s">
        <v>169</v>
      </c>
      <c r="CI676" s="0" t="s">
        <v>7124</v>
      </c>
      <c r="CJ676" s="0" t="s">
        <v>7126</v>
      </c>
      <c r="CL676" s="0" t="s">
        <v>7127</v>
      </c>
      <c r="CM676" s="0" t="s">
        <v>7127</v>
      </c>
      <c r="CO676" s="0" t="s">
        <v>7128</v>
      </c>
      <c r="CR676" s="0" t="s">
        <v>7129</v>
      </c>
    </row>
    <row r="677" customFormat="false" ht="12.8" hidden="false" customHeight="false" outlineLevel="0" collapsed="false">
      <c r="A677" s="0" t="s">
        <v>445</v>
      </c>
      <c r="B677" s="0" t="s">
        <v>7121</v>
      </c>
      <c r="C677" s="0" t="s">
        <v>7130</v>
      </c>
      <c r="D677" s="0" t="s">
        <v>7131</v>
      </c>
      <c r="E677" s="0" t="s">
        <v>7132</v>
      </c>
      <c r="F677" s="0" t="s">
        <v>192</v>
      </c>
      <c r="H677" s="0" t="s">
        <v>102</v>
      </c>
      <c r="L677" s="0" t="str">
        <f aca="false">"1718"</f>
        <v>1718</v>
      </c>
      <c r="AA677" s="0" t="str">
        <f aca="false">"14206331"</f>
        <v>14206331</v>
      </c>
      <c r="AB677" s="0" t="s">
        <v>7133</v>
      </c>
      <c r="AS677" s="0" t="s">
        <v>4377</v>
      </c>
      <c r="AT677" s="0" t="s">
        <v>139</v>
      </c>
      <c r="AU677" s="0" t="s">
        <v>112</v>
      </c>
      <c r="AY677" s="0" t="s">
        <v>7134</v>
      </c>
      <c r="AZ677" s="0" t="s">
        <v>7135</v>
      </c>
      <c r="BX677" s="0" t="s">
        <v>7136</v>
      </c>
      <c r="CI677" s="0" t="s">
        <v>7136</v>
      </c>
      <c r="CP677" s="0" t="s">
        <v>7137</v>
      </c>
      <c r="CR677" s="0" t="s">
        <v>7138</v>
      </c>
    </row>
    <row r="678" customFormat="false" ht="12.8" hidden="false" customHeight="false" outlineLevel="0" collapsed="false">
      <c r="A678" s="0" t="s">
        <v>96</v>
      </c>
      <c r="B678" s="0" t="s">
        <v>7139</v>
      </c>
      <c r="C678" s="0" t="s">
        <v>98</v>
      </c>
      <c r="D678" s="0" t="s">
        <v>99</v>
      </c>
      <c r="E678" s="0" t="s">
        <v>7140</v>
      </c>
      <c r="F678" s="0" t="s">
        <v>219</v>
      </c>
      <c r="H678" s="0" t="s">
        <v>102</v>
      </c>
      <c r="L678" s="0" t="str">
        <f aca="false">"1718"</f>
        <v>1718</v>
      </c>
      <c r="M678" s="0" t="s">
        <v>150</v>
      </c>
      <c r="O678" s="0" t="s">
        <v>7141</v>
      </c>
      <c r="T678" s="0" t="s">
        <v>1985</v>
      </c>
      <c r="AD678" s="0" t="s">
        <v>155</v>
      </c>
      <c r="AE678" s="0" t="s">
        <v>7142</v>
      </c>
      <c r="AF678" s="0" t="s">
        <v>109</v>
      </c>
      <c r="AT678" s="0" t="s">
        <v>139</v>
      </c>
      <c r="AU678" s="0" t="s">
        <v>112</v>
      </c>
      <c r="AV678" s="0" t="s">
        <v>113</v>
      </c>
      <c r="AY678" s="0" t="s">
        <v>7143</v>
      </c>
      <c r="BD678" s="0" t="s">
        <v>140</v>
      </c>
      <c r="BE678" s="0" t="s">
        <v>7144</v>
      </c>
      <c r="BJ678" s="0" t="s">
        <v>118</v>
      </c>
      <c r="BU678" s="0" t="s">
        <v>7145</v>
      </c>
      <c r="BX678" s="0" t="s">
        <v>7146</v>
      </c>
      <c r="CE678" s="0" t="s">
        <v>641</v>
      </c>
      <c r="CH678" s="0" t="s">
        <v>169</v>
      </c>
      <c r="CI678" s="0" t="s">
        <v>7146</v>
      </c>
      <c r="CJ678" s="0" t="s">
        <v>7147</v>
      </c>
      <c r="CO678" s="0" t="s">
        <v>7148</v>
      </c>
      <c r="CR678" s="0" t="s">
        <v>7149</v>
      </c>
    </row>
    <row r="679" customFormat="false" ht="213.75" hidden="false" customHeight="false" outlineLevel="0" collapsed="false">
      <c r="A679" s="0" t="s">
        <v>96</v>
      </c>
      <c r="B679" s="0" t="s">
        <v>7150</v>
      </c>
      <c r="C679" s="0" t="s">
        <v>98</v>
      </c>
      <c r="D679" s="0" t="s">
        <v>99</v>
      </c>
      <c r="E679" s="0" t="s">
        <v>7151</v>
      </c>
      <c r="F679" s="1" t="s">
        <v>149</v>
      </c>
      <c r="H679" s="0" t="s">
        <v>102</v>
      </c>
      <c r="I679" s="0" t="str">
        <f aca="false">"1769"</f>
        <v>1769</v>
      </c>
      <c r="J679" s="0" t="str">
        <f aca="false">"1774"</f>
        <v>1774</v>
      </c>
      <c r="M679" s="0" t="s">
        <v>715</v>
      </c>
      <c r="O679" s="0" t="s">
        <v>3353</v>
      </c>
      <c r="T679" s="0" t="s">
        <v>247</v>
      </c>
      <c r="U679" s="1" t="s">
        <v>7152</v>
      </c>
      <c r="V679" s="0" t="s">
        <v>7153</v>
      </c>
      <c r="AD679" s="0" t="s">
        <v>107</v>
      </c>
      <c r="AE679" s="0" t="s">
        <v>7154</v>
      </c>
      <c r="AF679" s="0" t="s">
        <v>109</v>
      </c>
      <c r="AT679" s="0" t="s">
        <v>139</v>
      </c>
      <c r="AU679" s="0" t="s">
        <v>112</v>
      </c>
      <c r="AV679" s="0" t="s">
        <v>113</v>
      </c>
      <c r="BD679" s="0" t="s">
        <v>140</v>
      </c>
      <c r="BE679" s="0" t="s">
        <v>7155</v>
      </c>
      <c r="BJ679" s="0" t="s">
        <v>118</v>
      </c>
      <c r="BU679" s="1" t="s">
        <v>7156</v>
      </c>
      <c r="BW679" s="1" t="s">
        <v>7157</v>
      </c>
      <c r="BX679" s="0" t="s">
        <v>7158</v>
      </c>
      <c r="CF679" s="1" t="s">
        <v>7159</v>
      </c>
      <c r="CG679" s="0" t="s">
        <v>123</v>
      </c>
      <c r="CH679" s="0" t="s">
        <v>625</v>
      </c>
      <c r="CI679" s="0" t="s">
        <v>7158</v>
      </c>
      <c r="CJ679" s="0" t="s">
        <v>7160</v>
      </c>
      <c r="CL679" s="0" t="s">
        <v>7161</v>
      </c>
      <c r="CM679" s="0" t="s">
        <v>7161</v>
      </c>
      <c r="CO679" s="0" t="s">
        <v>7150</v>
      </c>
      <c r="CR679" s="0" t="s">
        <v>7162</v>
      </c>
    </row>
    <row r="680" customFormat="false" ht="43.75" hidden="false" customHeight="false" outlineLevel="0" collapsed="false">
      <c r="A680" s="0" t="s">
        <v>96</v>
      </c>
      <c r="B680" s="0" t="s">
        <v>7163</v>
      </c>
      <c r="C680" s="0" t="s">
        <v>98</v>
      </c>
      <c r="D680" s="0" t="s">
        <v>99</v>
      </c>
      <c r="E680" s="0" t="s">
        <v>7164</v>
      </c>
      <c r="F680" s="0" t="s">
        <v>219</v>
      </c>
      <c r="L680" s="0" t="str">
        <f aca="false">"1791"</f>
        <v>1791</v>
      </c>
      <c r="M680" s="0" t="s">
        <v>715</v>
      </c>
      <c r="O680" s="0" t="s">
        <v>3353</v>
      </c>
      <c r="T680" s="0" t="s">
        <v>247</v>
      </c>
      <c r="U680" s="1" t="s">
        <v>7165</v>
      </c>
      <c r="V680" s="1" t="s">
        <v>7166</v>
      </c>
      <c r="AD680" s="1" t="s">
        <v>234</v>
      </c>
      <c r="AE680" s="1" t="s">
        <v>7167</v>
      </c>
      <c r="AF680" s="0" t="s">
        <v>109</v>
      </c>
      <c r="AT680" s="0" t="s">
        <v>139</v>
      </c>
      <c r="AU680" s="0" t="s">
        <v>112</v>
      </c>
      <c r="AV680" s="0" t="s">
        <v>113</v>
      </c>
      <c r="BD680" s="0" t="s">
        <v>7168</v>
      </c>
      <c r="BE680" s="0" t="s">
        <v>7169</v>
      </c>
      <c r="BJ680" s="0" t="s">
        <v>118</v>
      </c>
      <c r="BU680" s="0" t="s">
        <v>7170</v>
      </c>
      <c r="BW680" s="0" t="s">
        <v>7171</v>
      </c>
      <c r="BX680" s="0" t="s">
        <v>7172</v>
      </c>
      <c r="CH680" s="0" t="s">
        <v>169</v>
      </c>
      <c r="CI680" s="0" t="s">
        <v>7172</v>
      </c>
      <c r="CJ680" s="0" t="s">
        <v>7173</v>
      </c>
      <c r="CO680" s="0" t="s">
        <v>7174</v>
      </c>
      <c r="CR680" s="0" t="s">
        <v>7175</v>
      </c>
    </row>
    <row r="681" customFormat="false" ht="33.1" hidden="false" customHeight="false" outlineLevel="0" collapsed="false">
      <c r="A681" s="0" t="s">
        <v>7176</v>
      </c>
      <c r="B681" s="0" t="s">
        <v>7177</v>
      </c>
      <c r="C681" s="0" t="s">
        <v>98</v>
      </c>
      <c r="D681" s="0" t="s">
        <v>99</v>
      </c>
      <c r="E681" s="0" t="s">
        <v>7178</v>
      </c>
      <c r="F681" s="0" t="s">
        <v>255</v>
      </c>
      <c r="G681" s="0" t="s">
        <v>256</v>
      </c>
      <c r="L681" s="0" t="str">
        <f aca="false">"1763"</f>
        <v>1763</v>
      </c>
      <c r="M681" s="0" t="s">
        <v>553</v>
      </c>
      <c r="T681" s="0" t="s">
        <v>247</v>
      </c>
      <c r="U681" s="1" t="s">
        <v>7179</v>
      </c>
      <c r="V681" s="1" t="s">
        <v>7180</v>
      </c>
      <c r="AD681" s="1" t="s">
        <v>557</v>
      </c>
      <c r="AE681" s="1" t="s">
        <v>7181</v>
      </c>
      <c r="AF681" s="1" t="s">
        <v>263</v>
      </c>
      <c r="AT681" s="0" t="s">
        <v>139</v>
      </c>
      <c r="AU681" s="0" t="s">
        <v>112</v>
      </c>
      <c r="AV681" s="0" t="s">
        <v>113</v>
      </c>
      <c r="BD681" s="0" t="s">
        <v>265</v>
      </c>
      <c r="BE681" s="0" t="s">
        <v>7182</v>
      </c>
      <c r="BF681" s="0" t="s">
        <v>142</v>
      </c>
      <c r="BJ681" s="1" t="s">
        <v>467</v>
      </c>
      <c r="BK681" s="1" t="s">
        <v>267</v>
      </c>
      <c r="BL681" s="1" t="s">
        <v>7183</v>
      </c>
      <c r="BM681" s="0" t="s">
        <v>541</v>
      </c>
      <c r="BN681" s="1" t="s">
        <v>270</v>
      </c>
      <c r="BO681" s="1" t="s">
        <v>271</v>
      </c>
      <c r="BU681" s="0" t="s">
        <v>7184</v>
      </c>
      <c r="BX681" s="1" t="s">
        <v>7185</v>
      </c>
      <c r="CH681" s="0" t="s">
        <v>298</v>
      </c>
      <c r="CI681" s="1" t="s">
        <v>7185</v>
      </c>
      <c r="CJ681" s="1" t="s">
        <v>7186</v>
      </c>
      <c r="CO681" s="1" t="s">
        <v>7187</v>
      </c>
      <c r="CR681" s="0" t="s">
        <v>7188</v>
      </c>
    </row>
    <row r="682" customFormat="false" ht="86.25" hidden="false" customHeight="false" outlineLevel="0" collapsed="false">
      <c r="A682" s="0" t="s">
        <v>527</v>
      </c>
      <c r="B682" s="0" t="s">
        <v>7189</v>
      </c>
      <c r="C682" s="0" t="s">
        <v>98</v>
      </c>
      <c r="D682" s="0" t="s">
        <v>99</v>
      </c>
      <c r="E682" s="0" t="s">
        <v>7190</v>
      </c>
      <c r="F682" s="0" t="s">
        <v>255</v>
      </c>
      <c r="G682" s="0" t="s">
        <v>256</v>
      </c>
      <c r="L682" s="0" t="str">
        <f aca="false">"1763"</f>
        <v>1763</v>
      </c>
      <c r="M682" s="0" t="s">
        <v>553</v>
      </c>
      <c r="O682" s="0" t="s">
        <v>7191</v>
      </c>
      <c r="T682" s="0" t="s">
        <v>3952</v>
      </c>
      <c r="U682" s="1" t="s">
        <v>7192</v>
      </c>
      <c r="V682" s="1" t="s">
        <v>7193</v>
      </c>
      <c r="AD682" s="1" t="s">
        <v>951</v>
      </c>
      <c r="AE682" s="1" t="s">
        <v>7194</v>
      </c>
      <c r="AF682" s="1" t="s">
        <v>953</v>
      </c>
      <c r="AT682" s="0" t="s">
        <v>139</v>
      </c>
      <c r="AU682" s="0" t="s">
        <v>112</v>
      </c>
      <c r="AV682" s="0" t="s">
        <v>113</v>
      </c>
      <c r="BD682" s="0" t="s">
        <v>966</v>
      </c>
      <c r="BE682" s="0" t="s">
        <v>7195</v>
      </c>
      <c r="BJ682" s="0" t="s">
        <v>118</v>
      </c>
      <c r="BK682" s="1" t="s">
        <v>267</v>
      </c>
      <c r="BL682" s="1" t="s">
        <v>7196</v>
      </c>
      <c r="BM682" s="0" t="s">
        <v>560</v>
      </c>
      <c r="BN682" s="1" t="s">
        <v>270</v>
      </c>
      <c r="BO682" s="1" t="s">
        <v>2976</v>
      </c>
      <c r="BU682" s="1" t="s">
        <v>7197</v>
      </c>
      <c r="BX682" s="1" t="s">
        <v>7198</v>
      </c>
      <c r="CE682" s="0" t="s">
        <v>641</v>
      </c>
      <c r="CF682" s="1" t="s">
        <v>7199</v>
      </c>
      <c r="CG682" s="0" t="s">
        <v>123</v>
      </c>
      <c r="CH682" s="0" t="s">
        <v>625</v>
      </c>
      <c r="CI682" s="1" t="s">
        <v>7198</v>
      </c>
      <c r="CJ682" s="1" t="s">
        <v>7200</v>
      </c>
      <c r="CL682" s="1" t="s">
        <v>7201</v>
      </c>
      <c r="CM682" s="1" t="s">
        <v>7201</v>
      </c>
      <c r="CO682" s="1" t="s">
        <v>7202</v>
      </c>
      <c r="CR682" s="0" t="s">
        <v>7203</v>
      </c>
    </row>
    <row r="683" customFormat="false" ht="33.1" hidden="false" customHeight="false" outlineLevel="0" collapsed="false">
      <c r="A683" s="0" t="s">
        <v>527</v>
      </c>
      <c r="B683" s="0" t="s">
        <v>7204</v>
      </c>
      <c r="C683" s="0" t="s">
        <v>98</v>
      </c>
      <c r="D683" s="0" t="s">
        <v>99</v>
      </c>
      <c r="E683" s="0" t="s">
        <v>7205</v>
      </c>
      <c r="G683" s="0" t="s">
        <v>256</v>
      </c>
      <c r="L683" s="0" t="str">
        <f aca="false">"1763"</f>
        <v>1763</v>
      </c>
      <c r="M683" s="0" t="s">
        <v>7206</v>
      </c>
      <c r="O683" s="0" t="s">
        <v>7207</v>
      </c>
      <c r="T683" s="0" t="s">
        <v>247</v>
      </c>
      <c r="U683" s="1" t="s">
        <v>7208</v>
      </c>
      <c r="V683" s="1" t="s">
        <v>7209</v>
      </c>
      <c r="AD683" s="1" t="s">
        <v>557</v>
      </c>
      <c r="AE683" s="1" t="s">
        <v>7210</v>
      </c>
      <c r="AF683" s="1" t="s">
        <v>263</v>
      </c>
      <c r="AT683" s="0" t="s">
        <v>139</v>
      </c>
      <c r="AU683" s="0" t="s">
        <v>112</v>
      </c>
      <c r="AV683" s="0" t="s">
        <v>113</v>
      </c>
      <c r="BJ683" s="1" t="s">
        <v>229</v>
      </c>
      <c r="BK683" s="0" t="s">
        <v>542</v>
      </c>
      <c r="BL683" s="1" t="s">
        <v>7211</v>
      </c>
      <c r="BN683" s="1" t="s">
        <v>270</v>
      </c>
      <c r="BO683" s="1" t="s">
        <v>7212</v>
      </c>
      <c r="BU683" s="0" t="s">
        <v>7213</v>
      </c>
      <c r="BX683" s="1" t="s">
        <v>7214</v>
      </c>
      <c r="CH683" s="0" t="s">
        <v>625</v>
      </c>
      <c r="CI683" s="1" t="s">
        <v>7214</v>
      </c>
      <c r="CJ683" s="1" t="s">
        <v>7215</v>
      </c>
      <c r="CO683" s="1" t="s">
        <v>7216</v>
      </c>
      <c r="CR683" s="0" t="s">
        <v>7217</v>
      </c>
    </row>
    <row r="684" customFormat="false" ht="12.8" hidden="false" customHeight="false" outlineLevel="0" collapsed="false">
      <c r="A684" s="0" t="s">
        <v>445</v>
      </c>
      <c r="B684" s="0" t="s">
        <v>7218</v>
      </c>
      <c r="C684" s="0" t="s">
        <v>1685</v>
      </c>
      <c r="D684" s="0" t="s">
        <v>1686</v>
      </c>
      <c r="E684" s="0" t="s">
        <v>7219</v>
      </c>
      <c r="L684" s="0" t="str">
        <f aca="false">"1745"</f>
        <v>1745</v>
      </c>
      <c r="M684" s="0" t="s">
        <v>448</v>
      </c>
      <c r="O684" s="0" t="s">
        <v>4027</v>
      </c>
      <c r="T684" s="0" t="s">
        <v>930</v>
      </c>
      <c r="AA684" s="0" t="str">
        <f aca="false">"10813543"</f>
        <v>10813543</v>
      </c>
      <c r="AB684" s="0" t="s">
        <v>7220</v>
      </c>
      <c r="AG684" s="0" t="s">
        <v>397</v>
      </c>
      <c r="AH684" s="0" t="s">
        <v>398</v>
      </c>
      <c r="AI684" s="0" t="s">
        <v>7221</v>
      </c>
      <c r="AO684" s="0" t="s">
        <v>1568</v>
      </c>
      <c r="AS684" s="0" t="s">
        <v>3673</v>
      </c>
      <c r="AT684" s="0" t="s">
        <v>906</v>
      </c>
      <c r="AU684" s="0" t="s">
        <v>892</v>
      </c>
      <c r="AW684" s="0" t="s">
        <v>907</v>
      </c>
      <c r="AY684" s="0" t="s">
        <v>7222</v>
      </c>
      <c r="BC684" s="0" t="str">
        <f aca="false">"243509480"</f>
        <v>243509480</v>
      </c>
      <c r="BX684" s="0" t="s">
        <v>7223</v>
      </c>
      <c r="CI684" s="0" t="s">
        <v>7223</v>
      </c>
      <c r="CJ684" s="0" t="s">
        <v>7224</v>
      </c>
      <c r="CO684" s="0" t="s">
        <v>7225</v>
      </c>
    </row>
    <row r="685" customFormat="false" ht="22.5" hidden="false" customHeight="false" outlineLevel="0" collapsed="false">
      <c r="A685" s="0" t="s">
        <v>445</v>
      </c>
      <c r="B685" s="0" t="s">
        <v>7226</v>
      </c>
      <c r="C685" s="0" t="s">
        <v>1685</v>
      </c>
      <c r="D685" s="0" t="s">
        <v>1686</v>
      </c>
      <c r="E685" s="0" t="s">
        <v>7219</v>
      </c>
      <c r="L685" s="0" t="str">
        <f aca="false">"1745"</f>
        <v>1745</v>
      </c>
      <c r="M685" s="1" t="s">
        <v>193</v>
      </c>
      <c r="O685" s="1" t="s">
        <v>7227</v>
      </c>
      <c r="T685" s="0" t="s">
        <v>930</v>
      </c>
      <c r="AA685" s="0" t="str">
        <f aca="false">"10813543"</f>
        <v>10813543</v>
      </c>
      <c r="AB685" s="0" t="s">
        <v>7220</v>
      </c>
      <c r="AG685" s="0" t="s">
        <v>397</v>
      </c>
      <c r="AH685" s="0" t="s">
        <v>398</v>
      </c>
      <c r="AI685" s="0" t="s">
        <v>7221</v>
      </c>
      <c r="AO685" s="0" t="s">
        <v>1568</v>
      </c>
      <c r="AS685" s="0" t="s">
        <v>3673</v>
      </c>
      <c r="AT685" s="0" t="s">
        <v>906</v>
      </c>
      <c r="AU685" s="0" t="s">
        <v>892</v>
      </c>
      <c r="AW685" s="0" t="s">
        <v>907</v>
      </c>
      <c r="AY685" s="0" t="s">
        <v>7222</v>
      </c>
      <c r="BC685" s="0" t="str">
        <f aca="false">"243509480"</f>
        <v>243509480</v>
      </c>
      <c r="BX685" s="0" t="s">
        <v>7223</v>
      </c>
      <c r="CH685" s="0" t="s">
        <v>625</v>
      </c>
      <c r="CI685" s="0" t="s">
        <v>7223</v>
      </c>
    </row>
    <row r="686" customFormat="false" ht="43.75" hidden="false" customHeight="false" outlineLevel="0" collapsed="false">
      <c r="A686" s="0" t="s">
        <v>527</v>
      </c>
      <c r="B686" s="0" t="s">
        <v>7228</v>
      </c>
      <c r="C686" s="0" t="s">
        <v>98</v>
      </c>
      <c r="D686" s="0" t="s">
        <v>99</v>
      </c>
      <c r="E686" s="0" t="s">
        <v>7229</v>
      </c>
      <c r="F686" s="0" t="s">
        <v>255</v>
      </c>
      <c r="G686" s="0" t="s">
        <v>256</v>
      </c>
      <c r="L686" s="0" t="str">
        <f aca="false">"1763"</f>
        <v>1763</v>
      </c>
      <c r="M686" s="1" t="s">
        <v>7230</v>
      </c>
      <c r="O686" s="1" t="s">
        <v>7231</v>
      </c>
      <c r="S686" s="0" t="s">
        <v>3249</v>
      </c>
      <c r="T686" s="0" t="s">
        <v>1985</v>
      </c>
      <c r="U686" s="1" t="s">
        <v>7232</v>
      </c>
      <c r="V686" s="1" t="s">
        <v>7233</v>
      </c>
      <c r="AD686" s="1" t="s">
        <v>951</v>
      </c>
      <c r="AE686" s="1" t="s">
        <v>7234</v>
      </c>
      <c r="AF686" s="1" t="s">
        <v>953</v>
      </c>
      <c r="AT686" s="0" t="s">
        <v>139</v>
      </c>
      <c r="AU686" s="0" t="s">
        <v>112</v>
      </c>
      <c r="AV686" s="0" t="s">
        <v>113</v>
      </c>
      <c r="BD686" s="0" t="s">
        <v>265</v>
      </c>
      <c r="BE686" s="1" t="s">
        <v>7235</v>
      </c>
      <c r="BF686" s="0" t="s">
        <v>541</v>
      </c>
      <c r="BJ686" s="1" t="s">
        <v>229</v>
      </c>
      <c r="BK686" s="0" t="s">
        <v>2111</v>
      </c>
      <c r="BL686" s="1" t="s">
        <v>7236</v>
      </c>
      <c r="BM686" s="1" t="s">
        <v>955</v>
      </c>
      <c r="BN686" s="1" t="s">
        <v>270</v>
      </c>
      <c r="BO686" s="1" t="s">
        <v>3255</v>
      </c>
      <c r="BU686" s="0" t="s">
        <v>7237</v>
      </c>
      <c r="BV686" s="0" t="s">
        <v>7238</v>
      </c>
      <c r="BX686" s="1" t="s">
        <v>7239</v>
      </c>
      <c r="CI686" s="1" t="s">
        <v>7239</v>
      </c>
      <c r="CJ686" s="0" t="s">
        <v>7240</v>
      </c>
      <c r="CO686" s="0" t="s">
        <v>7241</v>
      </c>
      <c r="CR686" s="0" t="s">
        <v>7242</v>
      </c>
    </row>
    <row r="687" customFormat="false" ht="33.1" hidden="false" customHeight="false" outlineLevel="0" collapsed="false">
      <c r="A687" s="0" t="s">
        <v>527</v>
      </c>
      <c r="B687" s="0" t="s">
        <v>7243</v>
      </c>
      <c r="C687" s="0" t="s">
        <v>98</v>
      </c>
      <c r="D687" s="0" t="s">
        <v>99</v>
      </c>
      <c r="E687" s="0" t="s">
        <v>7244</v>
      </c>
      <c r="F687" s="0" t="s">
        <v>255</v>
      </c>
      <c r="G687" s="0" t="s">
        <v>256</v>
      </c>
      <c r="L687" s="0" t="str">
        <f aca="false">"1763"</f>
        <v>1763</v>
      </c>
      <c r="U687" s="0" t="s">
        <v>7245</v>
      </c>
      <c r="V687" s="0" t="s">
        <v>7246</v>
      </c>
      <c r="AD687" s="1" t="s">
        <v>557</v>
      </c>
      <c r="AE687" s="1" t="s">
        <v>7247</v>
      </c>
      <c r="AF687" s="1" t="s">
        <v>263</v>
      </c>
      <c r="AT687" s="0" t="s">
        <v>139</v>
      </c>
      <c r="AU687" s="0" t="s">
        <v>112</v>
      </c>
      <c r="AV687" s="0" t="s">
        <v>113</v>
      </c>
      <c r="BJ687" s="1" t="s">
        <v>229</v>
      </c>
      <c r="BK687" s="1" t="s">
        <v>592</v>
      </c>
      <c r="BL687" s="1" t="s">
        <v>7248</v>
      </c>
      <c r="BM687" s="0" t="s">
        <v>541</v>
      </c>
      <c r="BU687" s="0" t="s">
        <v>7249</v>
      </c>
      <c r="BX687" s="1" t="s">
        <v>7250</v>
      </c>
      <c r="CH687" s="0" t="s">
        <v>342</v>
      </c>
      <c r="CI687" s="1" t="s">
        <v>7250</v>
      </c>
      <c r="CJ687" s="1" t="s">
        <v>7251</v>
      </c>
      <c r="CO687" s="1" t="s">
        <v>7252</v>
      </c>
      <c r="CR687" s="0" t="s">
        <v>7253</v>
      </c>
    </row>
    <row r="688" customFormat="false" ht="65" hidden="false" customHeight="false" outlineLevel="0" collapsed="false">
      <c r="A688" s="0" t="s">
        <v>96</v>
      </c>
      <c r="B688" s="0" t="s">
        <v>7254</v>
      </c>
      <c r="C688" s="0" t="s">
        <v>98</v>
      </c>
      <c r="D688" s="0" t="s">
        <v>99</v>
      </c>
      <c r="E688" s="0" t="s">
        <v>7255</v>
      </c>
      <c r="F688" s="1" t="s">
        <v>714</v>
      </c>
      <c r="H688" s="0" t="s">
        <v>488</v>
      </c>
      <c r="L688" s="0" t="str">
        <f aca="false">"1762"</f>
        <v>1762</v>
      </c>
      <c r="M688" s="0" t="s">
        <v>448</v>
      </c>
      <c r="O688" s="0" t="s">
        <v>7256</v>
      </c>
      <c r="T688" s="0" t="s">
        <v>99</v>
      </c>
      <c r="U688" s="1" t="s">
        <v>7257</v>
      </c>
      <c r="V688" s="1" t="s">
        <v>7258</v>
      </c>
      <c r="AD688" s="0" t="s">
        <v>155</v>
      </c>
      <c r="AE688" s="0" t="s">
        <v>7259</v>
      </c>
      <c r="AF688" s="0" t="s">
        <v>109</v>
      </c>
      <c r="AT688" s="0" t="s">
        <v>139</v>
      </c>
      <c r="AU688" s="0" t="s">
        <v>112</v>
      </c>
      <c r="AV688" s="0" t="s">
        <v>113</v>
      </c>
      <c r="AY688" s="0" t="s">
        <v>7260</v>
      </c>
      <c r="AZ688" s="0" t="s">
        <v>7261</v>
      </c>
      <c r="BU688" s="1" t="s">
        <v>7262</v>
      </c>
      <c r="BX688" s="0" t="s">
        <v>7263</v>
      </c>
      <c r="CE688" s="0" t="s">
        <v>641</v>
      </c>
      <c r="CF688" s="0" t="s">
        <v>7264</v>
      </c>
      <c r="CG688" s="0" t="s">
        <v>123</v>
      </c>
      <c r="CH688" s="0" t="s">
        <v>342</v>
      </c>
      <c r="CI688" s="0" t="s">
        <v>7263</v>
      </c>
      <c r="CJ688" s="1" t="s">
        <v>7265</v>
      </c>
      <c r="CL688" s="0" t="s">
        <v>7266</v>
      </c>
      <c r="CM688" s="0" t="s">
        <v>7266</v>
      </c>
      <c r="CO688" s="1" t="s">
        <v>7267</v>
      </c>
      <c r="CR688" s="0" t="s">
        <v>7268</v>
      </c>
    </row>
    <row r="689" customFormat="false" ht="33.1" hidden="false" customHeight="false" outlineLevel="0" collapsed="false">
      <c r="A689" s="0" t="s">
        <v>7269</v>
      </c>
      <c r="B689" s="0" t="s">
        <v>7270</v>
      </c>
      <c r="C689" s="0" t="s">
        <v>7271</v>
      </c>
      <c r="D689" s="0" t="s">
        <v>7272</v>
      </c>
      <c r="E689" s="0" t="s">
        <v>7273</v>
      </c>
      <c r="F689" s="0" t="s">
        <v>2293</v>
      </c>
      <c r="G689" s="0" t="s">
        <v>2294</v>
      </c>
      <c r="H689" s="0" t="s">
        <v>7274</v>
      </c>
      <c r="L689" s="0" t="str">
        <f aca="false">"1714"</f>
        <v>1714</v>
      </c>
      <c r="T689" s="0" t="s">
        <v>7272</v>
      </c>
      <c r="U689" s="0" t="s">
        <v>7275</v>
      </c>
      <c r="V689" s="0" t="s">
        <v>7276</v>
      </c>
      <c r="AD689" s="0" t="s">
        <v>2121</v>
      </c>
      <c r="AE689" s="0" t="str">
        <f aca="false">"104"</f>
        <v>104</v>
      </c>
      <c r="AF689" s="0" t="s">
        <v>109</v>
      </c>
      <c r="AT689" s="0" t="s">
        <v>139</v>
      </c>
      <c r="AU689" s="0" t="s">
        <v>112</v>
      </c>
      <c r="BK689" s="1" t="s">
        <v>267</v>
      </c>
      <c r="BL689" s="1" t="s">
        <v>7277</v>
      </c>
      <c r="BM689" s="0" t="s">
        <v>560</v>
      </c>
      <c r="BU689" s="0" t="s">
        <v>7278</v>
      </c>
      <c r="BX689" s="0" t="s">
        <v>7279</v>
      </c>
      <c r="CE689" s="0" t="s">
        <v>7280</v>
      </c>
      <c r="CI689" s="0" t="s">
        <v>7279</v>
      </c>
      <c r="CJ689" s="0" t="s">
        <v>7281</v>
      </c>
      <c r="CO689" s="0" t="s">
        <v>7270</v>
      </c>
      <c r="CR689" s="0" t="s">
        <v>7282</v>
      </c>
    </row>
    <row r="690" customFormat="false" ht="43.75" hidden="false" customHeight="false" outlineLevel="0" collapsed="false">
      <c r="A690" s="0" t="s">
        <v>527</v>
      </c>
      <c r="B690" s="0" t="s">
        <v>7283</v>
      </c>
      <c r="C690" s="0" t="s">
        <v>7284</v>
      </c>
      <c r="D690" s="0" t="s">
        <v>7285</v>
      </c>
      <c r="E690" s="0" t="s">
        <v>7286</v>
      </c>
      <c r="F690" s="0" t="s">
        <v>255</v>
      </c>
      <c r="G690" s="0" t="s">
        <v>256</v>
      </c>
      <c r="L690" s="0" t="str">
        <f aca="false">"1763"</f>
        <v>1763</v>
      </c>
      <c r="M690" s="0" t="s">
        <v>553</v>
      </c>
      <c r="O690" s="0" t="s">
        <v>7287</v>
      </c>
      <c r="T690" s="0" t="s">
        <v>512</v>
      </c>
      <c r="U690" s="1" t="s">
        <v>7288</v>
      </c>
      <c r="V690" s="1" t="s">
        <v>7289</v>
      </c>
      <c r="AD690" s="1" t="s">
        <v>557</v>
      </c>
      <c r="AE690" s="1" t="s">
        <v>7290</v>
      </c>
      <c r="AF690" s="1" t="s">
        <v>263</v>
      </c>
      <c r="AT690" s="0" t="s">
        <v>139</v>
      </c>
      <c r="AU690" s="0" t="s">
        <v>112</v>
      </c>
      <c r="AV690" s="0" t="s">
        <v>113</v>
      </c>
      <c r="BD690" s="0" t="s">
        <v>140</v>
      </c>
      <c r="BE690" s="0" t="s">
        <v>7291</v>
      </c>
      <c r="BF690" s="0" t="s">
        <v>655</v>
      </c>
      <c r="BJ690" s="1" t="s">
        <v>229</v>
      </c>
      <c r="BK690" s="1" t="s">
        <v>592</v>
      </c>
      <c r="BL690" s="1" t="s">
        <v>7292</v>
      </c>
      <c r="BM690" s="1" t="s">
        <v>7293</v>
      </c>
      <c r="BU690" s="0" t="s">
        <v>7294</v>
      </c>
      <c r="BX690" s="1" t="s">
        <v>7295</v>
      </c>
      <c r="CH690" s="0" t="s">
        <v>342</v>
      </c>
      <c r="CI690" s="1" t="s">
        <v>7295</v>
      </c>
      <c r="CJ690" s="1" t="s">
        <v>7296</v>
      </c>
      <c r="CO690" s="1" t="s">
        <v>7297</v>
      </c>
      <c r="CR690" s="0" t="s">
        <v>7298</v>
      </c>
    </row>
    <row r="691" customFormat="false" ht="12.8" hidden="false" customHeight="false" outlineLevel="0" collapsed="false">
      <c r="A691" s="0" t="s">
        <v>7299</v>
      </c>
      <c r="B691" s="0" t="s">
        <v>7300</v>
      </c>
      <c r="C691" s="0" t="s">
        <v>242</v>
      </c>
      <c r="D691" s="0" t="s">
        <v>243</v>
      </c>
      <c r="E691" s="0" t="s">
        <v>7301</v>
      </c>
      <c r="F691" s="0" t="s">
        <v>131</v>
      </c>
      <c r="L691" s="0" t="str">
        <f aca="false">"1763"</f>
        <v>1763</v>
      </c>
      <c r="AT691" s="0" t="s">
        <v>139</v>
      </c>
      <c r="AU691" s="0" t="s">
        <v>112</v>
      </c>
      <c r="BU691" s="0" t="s">
        <v>7302</v>
      </c>
      <c r="BW691" s="0" t="s">
        <v>7303</v>
      </c>
      <c r="BX691" s="0" t="s">
        <v>7304</v>
      </c>
      <c r="CH691" s="0" t="s">
        <v>625</v>
      </c>
      <c r="CI691" s="0" t="s">
        <v>7304</v>
      </c>
      <c r="CJ691" s="0" t="s">
        <v>7305</v>
      </c>
      <c r="CO691" s="0" t="s">
        <v>7300</v>
      </c>
      <c r="CR691" s="0" t="s">
        <v>7306</v>
      </c>
    </row>
    <row r="692" customFormat="false" ht="33.1" hidden="false" customHeight="false" outlineLevel="0" collapsed="false">
      <c r="A692" s="0" t="s">
        <v>96</v>
      </c>
      <c r="B692" s="0" t="s">
        <v>7307</v>
      </c>
      <c r="C692" s="0" t="s">
        <v>98</v>
      </c>
      <c r="D692" s="0" t="s">
        <v>99</v>
      </c>
      <c r="E692" s="0" t="s">
        <v>7308</v>
      </c>
      <c r="F692" s="1" t="s">
        <v>714</v>
      </c>
      <c r="H692" s="0" t="s">
        <v>102</v>
      </c>
      <c r="L692" s="0" t="str">
        <f aca="false">"1749"</f>
        <v>1749</v>
      </c>
      <c r="M692" s="0" t="s">
        <v>715</v>
      </c>
      <c r="O692" s="0" t="s">
        <v>7309</v>
      </c>
      <c r="T692" s="0" t="s">
        <v>247</v>
      </c>
      <c r="U692" s="0" t="s">
        <v>7310</v>
      </c>
      <c r="V692" s="0" t="s">
        <v>7311</v>
      </c>
      <c r="AD692" s="0" t="s">
        <v>136</v>
      </c>
      <c r="AE692" s="0" t="s">
        <v>7312</v>
      </c>
      <c r="AF692" s="0" t="s">
        <v>109</v>
      </c>
      <c r="AT692" s="0" t="s">
        <v>139</v>
      </c>
      <c r="AU692" s="0" t="s">
        <v>112</v>
      </c>
      <c r="AV692" s="0" t="s">
        <v>113</v>
      </c>
      <c r="BD692" s="0" t="s">
        <v>140</v>
      </c>
      <c r="BE692" s="1" t="s">
        <v>7313</v>
      </c>
      <c r="BF692" s="1" t="s">
        <v>163</v>
      </c>
      <c r="BJ692" s="0" t="s">
        <v>118</v>
      </c>
      <c r="BU692" s="0" t="s">
        <v>7314</v>
      </c>
      <c r="BW692" s="0" t="s">
        <v>7315</v>
      </c>
      <c r="BX692" s="1" t="s">
        <v>7316</v>
      </c>
      <c r="CE692" s="0" t="s">
        <v>641</v>
      </c>
      <c r="CH692" s="0" t="s">
        <v>124</v>
      </c>
      <c r="CI692" s="1" t="s">
        <v>7316</v>
      </c>
      <c r="CJ692" s="0" t="s">
        <v>7317</v>
      </c>
      <c r="CO692" s="0" t="s">
        <v>7318</v>
      </c>
      <c r="CR692" s="0" t="s">
        <v>7319</v>
      </c>
    </row>
    <row r="693" customFormat="false" ht="43.75" hidden="false" customHeight="false" outlineLevel="0" collapsed="false">
      <c r="A693" s="0" t="s">
        <v>527</v>
      </c>
      <c r="B693" s="0" t="s">
        <v>7320</v>
      </c>
      <c r="C693" s="0" t="s">
        <v>98</v>
      </c>
      <c r="D693" s="0" t="s">
        <v>99</v>
      </c>
      <c r="E693" s="0" t="s">
        <v>7321</v>
      </c>
      <c r="F693" s="0" t="s">
        <v>255</v>
      </c>
      <c r="G693" s="0" t="s">
        <v>529</v>
      </c>
      <c r="L693" s="0" t="str">
        <f aca="false">"1660"</f>
        <v>1660</v>
      </c>
      <c r="M693" s="0" t="s">
        <v>553</v>
      </c>
      <c r="O693" s="0" t="s">
        <v>631</v>
      </c>
      <c r="T693" s="0" t="s">
        <v>632</v>
      </c>
      <c r="U693" s="1" t="s">
        <v>7322</v>
      </c>
      <c r="V693" s="1" t="s">
        <v>7323</v>
      </c>
      <c r="AD693" s="1" t="s">
        <v>557</v>
      </c>
      <c r="AE693" s="1" t="s">
        <v>7324</v>
      </c>
      <c r="AF693" s="1" t="s">
        <v>263</v>
      </c>
      <c r="AT693" s="0" t="s">
        <v>139</v>
      </c>
      <c r="AU693" s="0" t="s">
        <v>112</v>
      </c>
      <c r="AV693" s="0" t="s">
        <v>113</v>
      </c>
      <c r="BD693" s="0" t="s">
        <v>265</v>
      </c>
      <c r="BE693" s="1" t="s">
        <v>7325</v>
      </c>
      <c r="BF693" s="1" t="s">
        <v>7326</v>
      </c>
      <c r="BJ693" s="1" t="s">
        <v>229</v>
      </c>
      <c r="BK693" s="0" t="s">
        <v>542</v>
      </c>
      <c r="BL693" s="1" t="s">
        <v>7327</v>
      </c>
      <c r="BN693" s="1" t="s">
        <v>270</v>
      </c>
      <c r="BO693" s="1" t="s">
        <v>7328</v>
      </c>
      <c r="BU693" s="0" t="s">
        <v>7329</v>
      </c>
      <c r="BX693" s="1" t="s">
        <v>7330</v>
      </c>
      <c r="CH693" s="0" t="s">
        <v>342</v>
      </c>
      <c r="CI693" s="1" t="s">
        <v>7330</v>
      </c>
      <c r="CJ693" s="1" t="s">
        <v>7331</v>
      </c>
      <c r="CO693" s="1" t="s">
        <v>7332</v>
      </c>
      <c r="CR693" s="0" t="s">
        <v>7333</v>
      </c>
    </row>
    <row r="694" customFormat="false" ht="65" hidden="false" customHeight="false" outlineLevel="0" collapsed="false">
      <c r="A694" s="0" t="s">
        <v>527</v>
      </c>
      <c r="B694" s="0" t="s">
        <v>7334</v>
      </c>
      <c r="C694" s="0" t="s">
        <v>98</v>
      </c>
      <c r="D694" s="0" t="s">
        <v>99</v>
      </c>
      <c r="E694" s="0" t="s">
        <v>7335</v>
      </c>
      <c r="F694" s="0" t="s">
        <v>255</v>
      </c>
      <c r="G694" s="0" t="s">
        <v>7336</v>
      </c>
      <c r="L694" s="0" t="str">
        <f aca="false">"1683"</f>
        <v>1683</v>
      </c>
      <c r="M694" s="0" t="s">
        <v>553</v>
      </c>
      <c r="O694" s="0" t="s">
        <v>7337</v>
      </c>
      <c r="U694" s="1" t="s">
        <v>7338</v>
      </c>
      <c r="V694" s="1" t="s">
        <v>7339</v>
      </c>
      <c r="AT694" s="0" t="s">
        <v>139</v>
      </c>
      <c r="AU694" s="0" t="s">
        <v>112</v>
      </c>
      <c r="AV694" s="0" t="s">
        <v>113</v>
      </c>
      <c r="BD694" s="0" t="s">
        <v>7340</v>
      </c>
      <c r="BE694" s="0" t="s">
        <v>7341</v>
      </c>
      <c r="BF694" s="0" t="s">
        <v>541</v>
      </c>
      <c r="BJ694" s="1" t="s">
        <v>2549</v>
      </c>
      <c r="BK694" s="1" t="s">
        <v>7342</v>
      </c>
      <c r="BL694" s="1" t="s">
        <v>7343</v>
      </c>
      <c r="BN694" s="1" t="s">
        <v>270</v>
      </c>
      <c r="BO694" s="1" t="s">
        <v>638</v>
      </c>
      <c r="BU694" s="0" t="s">
        <v>7344</v>
      </c>
      <c r="BX694" s="1" t="s">
        <v>7345</v>
      </c>
      <c r="CE694" s="0" t="s">
        <v>641</v>
      </c>
      <c r="CH694" s="0" t="s">
        <v>625</v>
      </c>
      <c r="CI694" s="1" t="s">
        <v>7345</v>
      </c>
      <c r="CJ694" s="1" t="s">
        <v>7346</v>
      </c>
      <c r="CO694" s="1" t="s">
        <v>7347</v>
      </c>
      <c r="CR694" s="0" t="s">
        <v>7348</v>
      </c>
    </row>
    <row r="695" customFormat="false" ht="12.8" hidden="false" customHeight="false" outlineLevel="0" collapsed="false">
      <c r="B695" s="0" t="s">
        <v>7349</v>
      </c>
      <c r="C695" s="0" t="s">
        <v>2846</v>
      </c>
      <c r="D695" s="0" t="s">
        <v>2847</v>
      </c>
      <c r="E695" s="0" t="s">
        <v>7350</v>
      </c>
      <c r="L695" s="0" t="str">
        <f aca="false">"1706"</f>
        <v>1706</v>
      </c>
      <c r="O695" s="0" t="s">
        <v>7351</v>
      </c>
      <c r="R695" s="0" t="s">
        <v>7352</v>
      </c>
      <c r="T695" s="0" t="s">
        <v>1057</v>
      </c>
      <c r="AB695" s="0" t="s">
        <v>7353</v>
      </c>
      <c r="AT695" s="0" t="s">
        <v>2601</v>
      </c>
      <c r="AU695" s="0" t="s">
        <v>2613</v>
      </c>
      <c r="AY695" s="0" t="s">
        <v>7354</v>
      </c>
    </row>
    <row r="696" customFormat="false" ht="12.8" hidden="false" customHeight="false" outlineLevel="0" collapsed="false">
      <c r="A696" s="0" t="s">
        <v>445</v>
      </c>
      <c r="B696" s="0" t="s">
        <v>7355</v>
      </c>
      <c r="C696" s="0" t="s">
        <v>7356</v>
      </c>
      <c r="D696" s="0" t="s">
        <v>6409</v>
      </c>
      <c r="E696" s="0" t="s">
        <v>7357</v>
      </c>
      <c r="L696" s="0" t="str">
        <f aca="false">"1707"</f>
        <v>1707</v>
      </c>
      <c r="O696" s="0" t="s">
        <v>7358</v>
      </c>
      <c r="R696" s="0" t="s">
        <v>7359</v>
      </c>
      <c r="T696" s="0" t="s">
        <v>1050</v>
      </c>
      <c r="AG696" s="0" t="s">
        <v>1685</v>
      </c>
      <c r="AH696" s="0" t="s">
        <v>1686</v>
      </c>
      <c r="AI696" s="0" t="s">
        <v>7360</v>
      </c>
      <c r="AS696" s="0" t="s">
        <v>5977</v>
      </c>
      <c r="AT696" s="0" t="s">
        <v>2601</v>
      </c>
      <c r="AU696" s="0" t="s">
        <v>892</v>
      </c>
      <c r="AY696" s="0" t="s">
        <v>7361</v>
      </c>
      <c r="BC696" s="0" t="s">
        <v>7362</v>
      </c>
      <c r="BU696" s="0" t="s">
        <v>7363</v>
      </c>
    </row>
    <row r="697" customFormat="false" ht="12.8" hidden="false" customHeight="false" outlineLevel="0" collapsed="false">
      <c r="B697" s="0" t="s">
        <v>7364</v>
      </c>
      <c r="C697" s="0" t="s">
        <v>1056</v>
      </c>
      <c r="D697" s="0" t="s">
        <v>1057</v>
      </c>
      <c r="E697" s="0" t="s">
        <v>7365</v>
      </c>
      <c r="L697" s="0" t="str">
        <f aca="false">"1709"</f>
        <v>1709</v>
      </c>
      <c r="O697" s="0" t="s">
        <v>7366</v>
      </c>
      <c r="R697" s="0" t="s">
        <v>7367</v>
      </c>
      <c r="T697" s="0" t="s">
        <v>1057</v>
      </c>
      <c r="AB697" s="0" t="s">
        <v>7368</v>
      </c>
      <c r="AT697" s="0" t="s">
        <v>2601</v>
      </c>
      <c r="AU697" s="0" t="s">
        <v>2613</v>
      </c>
      <c r="AY697" s="0" t="s">
        <v>7369</v>
      </c>
      <c r="CA697" s="0" t="s">
        <v>7370</v>
      </c>
    </row>
    <row r="698" customFormat="false" ht="22.5" hidden="false" customHeight="false" outlineLevel="0" collapsed="false">
      <c r="B698" s="0" t="s">
        <v>7371</v>
      </c>
      <c r="C698" s="0" t="s">
        <v>1056</v>
      </c>
      <c r="D698" s="0" t="s">
        <v>1057</v>
      </c>
      <c r="E698" s="0" t="s">
        <v>7372</v>
      </c>
      <c r="L698" s="0" t="str">
        <f aca="false">"1710"</f>
        <v>1710</v>
      </c>
      <c r="O698" s="0" t="s">
        <v>7373</v>
      </c>
      <c r="R698" s="1" t="s">
        <v>7374</v>
      </c>
      <c r="T698" s="0" t="s">
        <v>1057</v>
      </c>
      <c r="AB698" s="0" t="s">
        <v>7375</v>
      </c>
      <c r="AT698" s="0" t="s">
        <v>2601</v>
      </c>
      <c r="AU698" s="0" t="s">
        <v>2613</v>
      </c>
      <c r="AY698" s="0" t="s">
        <v>7376</v>
      </c>
    </row>
    <row r="699" customFormat="false" ht="12.8" hidden="false" customHeight="false" outlineLevel="0" collapsed="false">
      <c r="B699" s="0" t="s">
        <v>7377</v>
      </c>
      <c r="C699" s="0" t="s">
        <v>1056</v>
      </c>
      <c r="D699" s="0" t="s">
        <v>1057</v>
      </c>
      <c r="E699" s="0" t="s">
        <v>7378</v>
      </c>
      <c r="L699" s="0" t="str">
        <f aca="false">"1710"</f>
        <v>1710</v>
      </c>
      <c r="O699" s="0" t="s">
        <v>7379</v>
      </c>
      <c r="Q699" s="0" t="str">
        <f aca="false">"2."</f>
        <v>2.</v>
      </c>
      <c r="R699" s="0" t="s">
        <v>7380</v>
      </c>
      <c r="T699" s="0" t="s">
        <v>1057</v>
      </c>
      <c r="AB699" s="0" t="s">
        <v>7381</v>
      </c>
      <c r="AT699" s="0" t="s">
        <v>2601</v>
      </c>
      <c r="AU699" s="0" t="s">
        <v>2613</v>
      </c>
    </row>
    <row r="700" customFormat="false" ht="12.8" hidden="false" customHeight="false" outlineLevel="0" collapsed="false">
      <c r="B700" s="0" t="s">
        <v>7382</v>
      </c>
      <c r="C700" s="0" t="s">
        <v>1056</v>
      </c>
      <c r="D700" s="0" t="s">
        <v>1057</v>
      </c>
      <c r="E700" s="0" t="s">
        <v>7383</v>
      </c>
      <c r="L700" s="0" t="str">
        <f aca="false">"1712"</f>
        <v>1712</v>
      </c>
      <c r="O700" s="0" t="s">
        <v>7384</v>
      </c>
      <c r="R700" s="0" t="s">
        <v>7385</v>
      </c>
      <c r="T700" s="0" t="s">
        <v>1057</v>
      </c>
      <c r="AB700" s="0" t="s">
        <v>7386</v>
      </c>
      <c r="AT700" s="0" t="s">
        <v>2601</v>
      </c>
      <c r="AU700" s="0" t="s">
        <v>2613</v>
      </c>
    </row>
    <row r="701" customFormat="false" ht="12.8" hidden="false" customHeight="false" outlineLevel="0" collapsed="false">
      <c r="B701" s="0" t="s">
        <v>7387</v>
      </c>
      <c r="C701" s="0" t="s">
        <v>1056</v>
      </c>
      <c r="D701" s="0" t="s">
        <v>1057</v>
      </c>
      <c r="E701" s="0" t="s">
        <v>7388</v>
      </c>
      <c r="L701" s="0" t="str">
        <f aca="false">"1712"</f>
        <v>1712</v>
      </c>
      <c r="O701" s="0" t="s">
        <v>7389</v>
      </c>
      <c r="Q701" s="0" t="s">
        <v>7390</v>
      </c>
      <c r="R701" s="0" t="s">
        <v>7391</v>
      </c>
      <c r="T701" s="0" t="s">
        <v>1057</v>
      </c>
      <c r="AB701" s="0" t="s">
        <v>7392</v>
      </c>
      <c r="AT701" s="0" t="s">
        <v>2601</v>
      </c>
      <c r="AU701" s="0" t="s">
        <v>2613</v>
      </c>
      <c r="AY701" s="0" t="s">
        <v>7393</v>
      </c>
      <c r="CA701" s="0" t="s">
        <v>7394</v>
      </c>
    </row>
    <row r="702" customFormat="false" ht="12.8" hidden="false" customHeight="false" outlineLevel="0" collapsed="false">
      <c r="B702" s="0" t="s">
        <v>7395</v>
      </c>
      <c r="C702" s="0" t="s">
        <v>1056</v>
      </c>
      <c r="D702" s="0" t="s">
        <v>1057</v>
      </c>
      <c r="E702" s="0" t="s">
        <v>7396</v>
      </c>
      <c r="L702" s="0" t="str">
        <f aca="false">"1712"</f>
        <v>1712</v>
      </c>
      <c r="O702" s="0" t="s">
        <v>7397</v>
      </c>
      <c r="R702" s="0" t="s">
        <v>7398</v>
      </c>
      <c r="T702" s="0" t="s">
        <v>1057</v>
      </c>
      <c r="AB702" s="0" t="s">
        <v>7399</v>
      </c>
      <c r="AT702" s="0" t="s">
        <v>2601</v>
      </c>
      <c r="AU702" s="0" t="s">
        <v>2613</v>
      </c>
      <c r="AY702" s="0" t="s">
        <v>7400</v>
      </c>
      <c r="CA702" s="0" t="s">
        <v>7394</v>
      </c>
    </row>
    <row r="703" customFormat="false" ht="22.5" hidden="false" customHeight="false" outlineLevel="0" collapsed="false">
      <c r="B703" s="0" t="s">
        <v>7401</v>
      </c>
      <c r="C703" s="0" t="s">
        <v>1056</v>
      </c>
      <c r="D703" s="0" t="s">
        <v>1057</v>
      </c>
      <c r="E703" s="0" t="s">
        <v>7402</v>
      </c>
      <c r="L703" s="0" t="str">
        <f aca="false">"1712"</f>
        <v>1712</v>
      </c>
      <c r="R703" s="1" t="s">
        <v>7403</v>
      </c>
      <c r="T703" s="0" t="s">
        <v>1057</v>
      </c>
      <c r="AB703" s="0" t="s">
        <v>7404</v>
      </c>
      <c r="AT703" s="0" t="s">
        <v>2601</v>
      </c>
      <c r="AU703" s="0" t="s">
        <v>2613</v>
      </c>
      <c r="AY703" s="0" t="s">
        <v>7405</v>
      </c>
      <c r="CA703" s="0" t="s">
        <v>7394</v>
      </c>
    </row>
    <row r="704" customFormat="false" ht="12.8" hidden="false" customHeight="false" outlineLevel="0" collapsed="false">
      <c r="B704" s="0" t="s">
        <v>7406</v>
      </c>
      <c r="C704" s="0" t="s">
        <v>1056</v>
      </c>
      <c r="D704" s="0" t="s">
        <v>1057</v>
      </c>
      <c r="E704" s="0" t="s">
        <v>7407</v>
      </c>
      <c r="L704" s="0" t="str">
        <f aca="false">"1712"</f>
        <v>1712</v>
      </c>
      <c r="R704" s="0" t="s">
        <v>7408</v>
      </c>
      <c r="T704" s="0" t="s">
        <v>1057</v>
      </c>
      <c r="AB704" s="0" t="s">
        <v>7409</v>
      </c>
      <c r="AT704" s="0" t="s">
        <v>2601</v>
      </c>
      <c r="AU704" s="0" t="s">
        <v>2613</v>
      </c>
      <c r="CA704" s="0" t="s">
        <v>7394</v>
      </c>
    </row>
    <row r="705" customFormat="false" ht="12.8" hidden="false" customHeight="false" outlineLevel="0" collapsed="false">
      <c r="B705" s="0" t="s">
        <v>7410</v>
      </c>
      <c r="C705" s="0" t="s">
        <v>1056</v>
      </c>
      <c r="D705" s="0" t="s">
        <v>1057</v>
      </c>
      <c r="E705" s="0" t="s">
        <v>7411</v>
      </c>
      <c r="L705" s="0" t="str">
        <f aca="false">"1712"</f>
        <v>1712</v>
      </c>
      <c r="O705" s="0" t="s">
        <v>7412</v>
      </c>
      <c r="R705" s="0" t="s">
        <v>7413</v>
      </c>
      <c r="T705" s="0" t="s">
        <v>1057</v>
      </c>
      <c r="AB705" s="0" t="s">
        <v>7414</v>
      </c>
      <c r="AT705" s="0" t="s">
        <v>2601</v>
      </c>
      <c r="AU705" s="0" t="s">
        <v>2613</v>
      </c>
      <c r="AY705" s="0" t="s">
        <v>7415</v>
      </c>
      <c r="CA705" s="0" t="s">
        <v>7394</v>
      </c>
    </row>
    <row r="706" customFormat="false" ht="12.8" hidden="false" customHeight="false" outlineLevel="0" collapsed="false">
      <c r="B706" s="0" t="s">
        <v>7416</v>
      </c>
      <c r="C706" s="0" t="s">
        <v>1056</v>
      </c>
      <c r="D706" s="0" t="s">
        <v>1057</v>
      </c>
      <c r="E706" s="0" t="s">
        <v>7417</v>
      </c>
      <c r="L706" s="0" t="str">
        <f aca="false">"1712"</f>
        <v>1712</v>
      </c>
      <c r="O706" s="0" t="s">
        <v>7418</v>
      </c>
      <c r="R706" s="0" t="s">
        <v>7419</v>
      </c>
      <c r="T706" s="0" t="s">
        <v>1057</v>
      </c>
      <c r="AB706" s="0" t="s">
        <v>7420</v>
      </c>
      <c r="AT706" s="0" t="s">
        <v>2601</v>
      </c>
      <c r="AU706" s="0" t="s">
        <v>2613</v>
      </c>
      <c r="AY706" s="0" t="s">
        <v>7421</v>
      </c>
      <c r="CA706" s="0" t="s">
        <v>7394</v>
      </c>
    </row>
    <row r="707" customFormat="false" ht="12.8" hidden="false" customHeight="false" outlineLevel="0" collapsed="false">
      <c r="B707" s="0" t="s">
        <v>7422</v>
      </c>
      <c r="C707" s="0" t="s">
        <v>1056</v>
      </c>
      <c r="D707" s="0" t="s">
        <v>1057</v>
      </c>
      <c r="E707" s="0" t="s">
        <v>7423</v>
      </c>
      <c r="L707" s="0" t="str">
        <f aca="false">"1712"</f>
        <v>1712</v>
      </c>
      <c r="O707" s="0" t="s">
        <v>7424</v>
      </c>
      <c r="R707" s="0" t="s">
        <v>7425</v>
      </c>
      <c r="T707" s="0" t="s">
        <v>1057</v>
      </c>
      <c r="AB707" s="0" t="s">
        <v>7426</v>
      </c>
      <c r="AT707" s="0" t="s">
        <v>2601</v>
      </c>
      <c r="AU707" s="0" t="s">
        <v>2613</v>
      </c>
      <c r="AY707" s="0" t="s">
        <v>7427</v>
      </c>
      <c r="CA707" s="0" t="s">
        <v>7394</v>
      </c>
    </row>
    <row r="708" customFormat="false" ht="12.8" hidden="false" customHeight="false" outlineLevel="0" collapsed="false">
      <c r="B708" s="0" t="s">
        <v>7428</v>
      </c>
      <c r="C708" s="0" t="s">
        <v>1056</v>
      </c>
      <c r="D708" s="0" t="s">
        <v>1057</v>
      </c>
      <c r="E708" s="0" t="s">
        <v>7429</v>
      </c>
      <c r="L708" s="0" t="str">
        <f aca="false">"1712"</f>
        <v>1712</v>
      </c>
      <c r="O708" s="0" t="s">
        <v>7430</v>
      </c>
      <c r="R708" s="0" t="s">
        <v>7431</v>
      </c>
      <c r="T708" s="0" t="s">
        <v>1057</v>
      </c>
      <c r="AB708" s="0" t="s">
        <v>7432</v>
      </c>
      <c r="AT708" s="0" t="s">
        <v>2601</v>
      </c>
      <c r="AU708" s="0" t="s">
        <v>2613</v>
      </c>
      <c r="AY708" s="0" t="s">
        <v>7433</v>
      </c>
      <c r="CA708" s="0" t="s">
        <v>7394</v>
      </c>
    </row>
    <row r="709" customFormat="false" ht="12.8" hidden="false" customHeight="false" outlineLevel="0" collapsed="false">
      <c r="B709" s="0" t="s">
        <v>7434</v>
      </c>
      <c r="C709" s="0" t="s">
        <v>1056</v>
      </c>
      <c r="D709" s="0" t="s">
        <v>1057</v>
      </c>
      <c r="E709" s="0" t="s">
        <v>7435</v>
      </c>
      <c r="L709" s="0" t="str">
        <f aca="false">"1712"</f>
        <v>1712</v>
      </c>
      <c r="O709" s="0" t="s">
        <v>7436</v>
      </c>
      <c r="R709" s="0" t="s">
        <v>7437</v>
      </c>
      <c r="T709" s="0" t="s">
        <v>7438</v>
      </c>
      <c r="AB709" s="0" t="s">
        <v>7439</v>
      </c>
      <c r="AT709" s="0" t="s">
        <v>2601</v>
      </c>
      <c r="AU709" s="0" t="s">
        <v>2613</v>
      </c>
      <c r="AY709" s="0" t="s">
        <v>7440</v>
      </c>
      <c r="CA709" s="0" t="s">
        <v>7394</v>
      </c>
    </row>
    <row r="710" customFormat="false" ht="12.8" hidden="false" customHeight="false" outlineLevel="0" collapsed="false">
      <c r="B710" s="0" t="s">
        <v>7441</v>
      </c>
      <c r="C710" s="0" t="s">
        <v>1056</v>
      </c>
      <c r="D710" s="0" t="s">
        <v>1057</v>
      </c>
      <c r="E710" s="0" t="s">
        <v>7442</v>
      </c>
      <c r="L710" s="0" t="str">
        <f aca="false">"1712"</f>
        <v>1712</v>
      </c>
      <c r="O710" s="0" t="s">
        <v>7443</v>
      </c>
      <c r="Q710" s="0" t="str">
        <f aca="false">"2."</f>
        <v>2.</v>
      </c>
      <c r="R710" s="0" t="s">
        <v>7444</v>
      </c>
      <c r="T710" s="0" t="s">
        <v>1057</v>
      </c>
      <c r="AB710" s="0" t="s">
        <v>7445</v>
      </c>
      <c r="AT710" s="0" t="s">
        <v>2601</v>
      </c>
      <c r="AU710" s="0" t="s">
        <v>2613</v>
      </c>
    </row>
    <row r="711" customFormat="false" ht="12.8" hidden="false" customHeight="false" outlineLevel="0" collapsed="false">
      <c r="B711" s="0" t="s">
        <v>7410</v>
      </c>
      <c r="C711" s="0" t="s">
        <v>2846</v>
      </c>
      <c r="D711" s="0" t="s">
        <v>2847</v>
      </c>
      <c r="E711" s="0" t="s">
        <v>7446</v>
      </c>
      <c r="L711" s="0" t="str">
        <f aca="false">"1712"</f>
        <v>1712</v>
      </c>
      <c r="O711" s="0" t="s">
        <v>7447</v>
      </c>
      <c r="R711" s="0" t="s">
        <v>7448</v>
      </c>
      <c r="T711" s="0" t="s">
        <v>1057</v>
      </c>
      <c r="AB711" s="0" t="s">
        <v>7449</v>
      </c>
      <c r="AT711" s="0" t="s">
        <v>2601</v>
      </c>
      <c r="AU711" s="0" t="s">
        <v>2613</v>
      </c>
      <c r="AY711" s="0" t="s">
        <v>7450</v>
      </c>
      <c r="CA711" s="0" t="s">
        <v>7394</v>
      </c>
    </row>
    <row r="712" customFormat="false" ht="12.8" hidden="false" customHeight="false" outlineLevel="0" collapsed="false">
      <c r="B712" s="0" t="s">
        <v>7451</v>
      </c>
      <c r="C712" s="0" t="s">
        <v>1056</v>
      </c>
      <c r="D712" s="0" t="s">
        <v>1057</v>
      </c>
      <c r="E712" s="0" t="s">
        <v>7452</v>
      </c>
      <c r="L712" s="0" t="str">
        <f aca="false">"1712"</f>
        <v>1712</v>
      </c>
      <c r="O712" s="0" t="s">
        <v>7453</v>
      </c>
      <c r="R712" s="0" t="s">
        <v>7454</v>
      </c>
      <c r="T712" s="0" t="s">
        <v>1057</v>
      </c>
      <c r="AB712" s="0" t="s">
        <v>7455</v>
      </c>
      <c r="AT712" s="0" t="s">
        <v>2601</v>
      </c>
      <c r="AU712" s="0" t="s">
        <v>2613</v>
      </c>
      <c r="AY712" s="0" t="s">
        <v>7456</v>
      </c>
      <c r="CA712" s="0" t="s">
        <v>7394</v>
      </c>
    </row>
    <row r="713" customFormat="false" ht="12.8" hidden="false" customHeight="false" outlineLevel="0" collapsed="false">
      <c r="B713" s="0" t="s">
        <v>7457</v>
      </c>
      <c r="C713" s="0" t="s">
        <v>1056</v>
      </c>
      <c r="D713" s="0" t="s">
        <v>1057</v>
      </c>
      <c r="E713" s="0" t="s">
        <v>7458</v>
      </c>
      <c r="L713" s="0" t="str">
        <f aca="false">"1712"</f>
        <v>1712</v>
      </c>
      <c r="O713" s="0" t="s">
        <v>7459</v>
      </c>
      <c r="R713" s="0" t="s">
        <v>7460</v>
      </c>
      <c r="T713" s="0" t="s">
        <v>1057</v>
      </c>
      <c r="AB713" s="0" t="s">
        <v>7461</v>
      </c>
      <c r="AT713" s="0" t="s">
        <v>2601</v>
      </c>
      <c r="AU713" s="0" t="s">
        <v>2613</v>
      </c>
      <c r="CA713" s="0" t="s">
        <v>7394</v>
      </c>
    </row>
    <row r="714" customFormat="false" ht="12.8" hidden="false" customHeight="false" outlineLevel="0" collapsed="false">
      <c r="B714" s="0" t="s">
        <v>7462</v>
      </c>
      <c r="C714" s="0" t="s">
        <v>1056</v>
      </c>
      <c r="D714" s="0" t="s">
        <v>1057</v>
      </c>
      <c r="E714" s="0" t="s">
        <v>7463</v>
      </c>
      <c r="L714" s="0" t="str">
        <f aca="false">"1712"</f>
        <v>1712</v>
      </c>
      <c r="O714" s="0" t="s">
        <v>7464</v>
      </c>
      <c r="R714" s="0" t="s">
        <v>7465</v>
      </c>
      <c r="T714" s="0" t="s">
        <v>1057</v>
      </c>
      <c r="AB714" s="0" t="s">
        <v>7466</v>
      </c>
      <c r="AT714" s="0" t="s">
        <v>2601</v>
      </c>
      <c r="AU714" s="0" t="s">
        <v>2613</v>
      </c>
      <c r="CA714" s="0" t="s">
        <v>7394</v>
      </c>
    </row>
    <row r="715" customFormat="false" ht="12.8" hidden="false" customHeight="false" outlineLevel="0" collapsed="false">
      <c r="B715" s="0" t="s">
        <v>7467</v>
      </c>
      <c r="C715" s="0" t="s">
        <v>1056</v>
      </c>
      <c r="D715" s="0" t="s">
        <v>1057</v>
      </c>
      <c r="E715" s="0" t="s">
        <v>7468</v>
      </c>
      <c r="L715" s="0" t="str">
        <f aca="false">"1712"</f>
        <v>1712</v>
      </c>
      <c r="O715" s="0" t="s">
        <v>7469</v>
      </c>
      <c r="R715" s="0" t="s">
        <v>7470</v>
      </c>
      <c r="T715" s="0" t="s">
        <v>1057</v>
      </c>
      <c r="AB715" s="0" t="s">
        <v>7471</v>
      </c>
      <c r="AT715" s="0" t="s">
        <v>2601</v>
      </c>
      <c r="AU715" s="0" t="s">
        <v>2613</v>
      </c>
      <c r="AY715" s="0" t="s">
        <v>7472</v>
      </c>
      <c r="CA715" s="0" t="s">
        <v>7394</v>
      </c>
    </row>
    <row r="716" customFormat="false" ht="12.8" hidden="false" customHeight="false" outlineLevel="0" collapsed="false">
      <c r="B716" s="0" t="s">
        <v>7473</v>
      </c>
      <c r="C716" s="0" t="s">
        <v>1056</v>
      </c>
      <c r="D716" s="0" t="s">
        <v>1057</v>
      </c>
      <c r="E716" s="0" t="s">
        <v>7474</v>
      </c>
      <c r="L716" s="0" t="str">
        <f aca="false">"1712"</f>
        <v>1712</v>
      </c>
      <c r="O716" s="0" t="s">
        <v>7475</v>
      </c>
      <c r="R716" s="0" t="s">
        <v>7476</v>
      </c>
      <c r="T716" s="0" t="s">
        <v>1057</v>
      </c>
      <c r="AB716" s="0" t="s">
        <v>7477</v>
      </c>
      <c r="AT716" s="0" t="s">
        <v>2601</v>
      </c>
      <c r="AU716" s="0" t="s">
        <v>2613</v>
      </c>
      <c r="AY716" s="0" t="s">
        <v>7478</v>
      </c>
      <c r="CA716" s="0" t="s">
        <v>7394</v>
      </c>
    </row>
    <row r="717" customFormat="false" ht="12.8" hidden="false" customHeight="false" outlineLevel="0" collapsed="false">
      <c r="B717" s="0" t="s">
        <v>7479</v>
      </c>
      <c r="C717" s="0" t="s">
        <v>1056</v>
      </c>
      <c r="D717" s="0" t="s">
        <v>1057</v>
      </c>
      <c r="E717" s="0" t="s">
        <v>7480</v>
      </c>
      <c r="L717" s="0" t="str">
        <f aca="false">"1712"</f>
        <v>1712</v>
      </c>
      <c r="O717" s="0" t="s">
        <v>7481</v>
      </c>
      <c r="R717" s="0" t="s">
        <v>7482</v>
      </c>
      <c r="T717" s="0" t="s">
        <v>1057</v>
      </c>
      <c r="AB717" s="0" t="s">
        <v>7483</v>
      </c>
      <c r="AT717" s="0" t="s">
        <v>2601</v>
      </c>
      <c r="AU717" s="0" t="s">
        <v>2613</v>
      </c>
      <c r="CA717" s="0" t="s">
        <v>7394</v>
      </c>
    </row>
    <row r="718" customFormat="false" ht="33.1" hidden="false" customHeight="false" outlineLevel="0" collapsed="false">
      <c r="B718" s="0" t="s">
        <v>7484</v>
      </c>
      <c r="C718" s="0" t="s">
        <v>1056</v>
      </c>
      <c r="D718" s="0" t="s">
        <v>1057</v>
      </c>
      <c r="E718" s="0" t="s">
        <v>7485</v>
      </c>
      <c r="L718" s="0" t="str">
        <f aca="false">"1713"</f>
        <v>1713</v>
      </c>
      <c r="O718" s="0" t="s">
        <v>7486</v>
      </c>
      <c r="R718" s="0" t="s">
        <v>7487</v>
      </c>
      <c r="T718" s="0" t="s">
        <v>1057</v>
      </c>
      <c r="AB718" s="0" t="s">
        <v>7488</v>
      </c>
      <c r="AT718" s="0" t="s">
        <v>2601</v>
      </c>
      <c r="AU718" s="0" t="s">
        <v>2613</v>
      </c>
      <c r="AY718" s="0" t="s">
        <v>7489</v>
      </c>
      <c r="CA718" s="1" t="s">
        <v>7490</v>
      </c>
    </row>
    <row r="719" customFormat="false" ht="12.8" hidden="false" customHeight="false" outlineLevel="0" collapsed="false">
      <c r="B719" s="0" t="s">
        <v>7491</v>
      </c>
      <c r="C719" s="0" t="s">
        <v>7492</v>
      </c>
      <c r="D719" s="0" t="s">
        <v>4707</v>
      </c>
      <c r="E719" s="0" t="s">
        <v>7493</v>
      </c>
      <c r="L719" s="0" t="str">
        <f aca="false">"1713"</f>
        <v>1713</v>
      </c>
      <c r="O719" s="0" t="s">
        <v>7351</v>
      </c>
      <c r="R719" s="0" t="s">
        <v>7494</v>
      </c>
      <c r="T719" s="0" t="s">
        <v>1057</v>
      </c>
      <c r="AB719" s="0" t="s">
        <v>7495</v>
      </c>
      <c r="AT719" s="0" t="s">
        <v>2601</v>
      </c>
      <c r="AU719" s="0" t="s">
        <v>2613</v>
      </c>
      <c r="AY719" s="0" t="s">
        <v>7496</v>
      </c>
      <c r="CA719" s="0" t="s">
        <v>7394</v>
      </c>
    </row>
    <row r="720" customFormat="false" ht="33.1" hidden="false" customHeight="false" outlineLevel="0" collapsed="false">
      <c r="B720" s="0" t="s">
        <v>7497</v>
      </c>
      <c r="C720" s="0" t="s">
        <v>1056</v>
      </c>
      <c r="D720" s="0" t="s">
        <v>1057</v>
      </c>
      <c r="E720" s="0" t="s">
        <v>7498</v>
      </c>
      <c r="L720" s="0" t="str">
        <f aca="false">"1713"</f>
        <v>1713</v>
      </c>
      <c r="O720" s="0" t="s">
        <v>7499</v>
      </c>
      <c r="R720" s="1" t="s">
        <v>7500</v>
      </c>
      <c r="T720" s="0" t="s">
        <v>1057</v>
      </c>
      <c r="AB720" s="0" t="s">
        <v>7501</v>
      </c>
      <c r="AT720" s="0" t="s">
        <v>2601</v>
      </c>
      <c r="AU720" s="0" t="s">
        <v>2613</v>
      </c>
      <c r="AY720" s="0" t="s">
        <v>7502</v>
      </c>
      <c r="CA720" s="0" t="s">
        <v>7394</v>
      </c>
    </row>
    <row r="721" customFormat="false" ht="12.8" hidden="false" customHeight="false" outlineLevel="0" collapsed="false">
      <c r="B721" s="0" t="s">
        <v>7503</v>
      </c>
      <c r="C721" s="0" t="s">
        <v>1056</v>
      </c>
      <c r="D721" s="0" t="s">
        <v>1057</v>
      </c>
      <c r="E721" s="0" t="s">
        <v>7504</v>
      </c>
      <c r="L721" s="0" t="str">
        <f aca="false">"1713"</f>
        <v>1713</v>
      </c>
      <c r="O721" s="0" t="s">
        <v>7505</v>
      </c>
      <c r="R721" s="0" t="s">
        <v>7506</v>
      </c>
      <c r="T721" s="0" t="s">
        <v>1057</v>
      </c>
      <c r="AB721" s="0" t="s">
        <v>7507</v>
      </c>
      <c r="AT721" s="0" t="s">
        <v>2601</v>
      </c>
      <c r="AU721" s="0" t="s">
        <v>2613</v>
      </c>
      <c r="CA721" s="0" t="s">
        <v>7394</v>
      </c>
    </row>
    <row r="722" customFormat="false" ht="65" hidden="false" customHeight="false" outlineLevel="0" collapsed="false">
      <c r="A722" s="0" t="s">
        <v>445</v>
      </c>
      <c r="B722" s="0" t="s">
        <v>7508</v>
      </c>
      <c r="C722" s="0" t="s">
        <v>895</v>
      </c>
      <c r="D722" s="0" t="s">
        <v>896</v>
      </c>
      <c r="E722" s="0" t="s">
        <v>7509</v>
      </c>
      <c r="F722" s="0" t="s">
        <v>192</v>
      </c>
      <c r="H722" s="0" t="s">
        <v>102</v>
      </c>
      <c r="L722" s="0" t="str">
        <f aca="false">"1713"</f>
        <v>1713</v>
      </c>
      <c r="M722" s="1" t="s">
        <v>193</v>
      </c>
      <c r="O722" s="1" t="s">
        <v>7510</v>
      </c>
      <c r="T722" s="0" t="s">
        <v>1346</v>
      </c>
      <c r="AA722" s="0" t="str">
        <f aca="false">"10120467"</f>
        <v>10120467</v>
      </c>
      <c r="AB722" s="0" t="s">
        <v>7511</v>
      </c>
      <c r="AS722" s="0" t="s">
        <v>5870</v>
      </c>
      <c r="AT722" s="0" t="s">
        <v>2601</v>
      </c>
      <c r="AU722" s="0" t="s">
        <v>112</v>
      </c>
      <c r="AY722" s="0" t="s">
        <v>7512</v>
      </c>
      <c r="AZ722" s="0" t="s">
        <v>7513</v>
      </c>
      <c r="BD722" s="0" t="s">
        <v>873</v>
      </c>
      <c r="BE722" s="0" t="s">
        <v>7514</v>
      </c>
      <c r="BJ722" s="0" t="s">
        <v>118</v>
      </c>
      <c r="BX722" s="0" t="s">
        <v>7515</v>
      </c>
      <c r="CF722" s="1" t="s">
        <v>7516</v>
      </c>
      <c r="CG722" s="0" t="s">
        <v>123</v>
      </c>
      <c r="CH722" s="0" t="s">
        <v>124</v>
      </c>
      <c r="CI722" s="0" t="s">
        <v>7515</v>
      </c>
      <c r="CJ722" s="0" t="s">
        <v>7517</v>
      </c>
      <c r="CL722" s="0" t="s">
        <v>7518</v>
      </c>
      <c r="CM722" s="0" t="s">
        <v>7518</v>
      </c>
      <c r="CO722" s="0" t="s">
        <v>7519</v>
      </c>
      <c r="CR722" s="0" t="s">
        <v>7520</v>
      </c>
    </row>
    <row r="723" customFormat="false" ht="12.8" hidden="false" customHeight="false" outlineLevel="0" collapsed="false">
      <c r="B723" s="0" t="s">
        <v>7521</v>
      </c>
      <c r="C723" s="0" t="s">
        <v>1056</v>
      </c>
      <c r="D723" s="0" t="s">
        <v>1057</v>
      </c>
      <c r="E723" s="0" t="s">
        <v>7522</v>
      </c>
      <c r="L723" s="0" t="str">
        <f aca="false">"1713"</f>
        <v>1713</v>
      </c>
      <c r="O723" s="0" t="s">
        <v>7418</v>
      </c>
      <c r="R723" s="0" t="s">
        <v>7523</v>
      </c>
      <c r="T723" s="0" t="s">
        <v>2847</v>
      </c>
      <c r="AB723" s="0" t="s">
        <v>7524</v>
      </c>
      <c r="AT723" s="0" t="s">
        <v>2601</v>
      </c>
      <c r="AU723" s="0" t="s">
        <v>2613</v>
      </c>
      <c r="AY723" s="0" t="s">
        <v>7525</v>
      </c>
      <c r="CA723" s="0" t="s">
        <v>7394</v>
      </c>
    </row>
    <row r="724" customFormat="false" ht="22.5" hidden="false" customHeight="false" outlineLevel="0" collapsed="false">
      <c r="B724" s="0" t="s">
        <v>7526</v>
      </c>
      <c r="C724" s="0" t="s">
        <v>1056</v>
      </c>
      <c r="D724" s="0" t="s">
        <v>1057</v>
      </c>
      <c r="E724" s="0" t="s">
        <v>7527</v>
      </c>
      <c r="L724" s="0" t="str">
        <f aca="false">"1713"</f>
        <v>1713</v>
      </c>
      <c r="O724" s="0" t="s">
        <v>7528</v>
      </c>
      <c r="R724" s="1" t="s">
        <v>7529</v>
      </c>
      <c r="T724" s="0" t="s">
        <v>1057</v>
      </c>
      <c r="AB724" s="0" t="s">
        <v>7530</v>
      </c>
      <c r="AT724" s="0" t="s">
        <v>2601</v>
      </c>
      <c r="AU724" s="0" t="s">
        <v>2613</v>
      </c>
      <c r="AY724" s="0" t="s">
        <v>7531</v>
      </c>
      <c r="CA724" s="0" t="s">
        <v>7394</v>
      </c>
    </row>
    <row r="725" customFormat="false" ht="22.5" hidden="false" customHeight="false" outlineLevel="0" collapsed="false">
      <c r="B725" s="0" t="s">
        <v>7532</v>
      </c>
      <c r="C725" s="0" t="s">
        <v>1056</v>
      </c>
      <c r="D725" s="0" t="s">
        <v>1057</v>
      </c>
      <c r="E725" s="0" t="s">
        <v>7533</v>
      </c>
      <c r="L725" s="0" t="str">
        <f aca="false">"1713"</f>
        <v>1713</v>
      </c>
      <c r="O725" s="0" t="s">
        <v>7534</v>
      </c>
      <c r="R725" s="0" t="s">
        <v>7535</v>
      </c>
      <c r="T725" s="1" t="s">
        <v>7536</v>
      </c>
      <c r="AB725" s="0" t="s">
        <v>7537</v>
      </c>
      <c r="AT725" s="0" t="s">
        <v>2601</v>
      </c>
      <c r="AU725" s="0" t="s">
        <v>2613</v>
      </c>
      <c r="AY725" s="0" t="s">
        <v>7538</v>
      </c>
      <c r="CA725" s="0" t="s">
        <v>7394</v>
      </c>
    </row>
    <row r="726" customFormat="false" ht="12.8" hidden="false" customHeight="false" outlineLevel="0" collapsed="false">
      <c r="B726" s="0" t="s">
        <v>7539</v>
      </c>
      <c r="C726" s="0" t="s">
        <v>1056</v>
      </c>
      <c r="D726" s="0" t="s">
        <v>1057</v>
      </c>
      <c r="E726" s="0" t="s">
        <v>7540</v>
      </c>
      <c r="L726" s="0" t="str">
        <f aca="false">"1713"</f>
        <v>1713</v>
      </c>
      <c r="O726" s="0" t="s">
        <v>7541</v>
      </c>
      <c r="R726" s="0" t="s">
        <v>7542</v>
      </c>
      <c r="T726" s="0" t="s">
        <v>1057</v>
      </c>
      <c r="AB726" s="0" t="s">
        <v>7543</v>
      </c>
      <c r="AT726" s="0" t="s">
        <v>2601</v>
      </c>
      <c r="AU726" s="0" t="s">
        <v>2613</v>
      </c>
      <c r="AY726" s="0" t="s">
        <v>7544</v>
      </c>
      <c r="CA726" s="0" t="s">
        <v>7394</v>
      </c>
    </row>
    <row r="727" customFormat="false" ht="22.5" hidden="false" customHeight="false" outlineLevel="0" collapsed="false">
      <c r="B727" s="0" t="s">
        <v>7545</v>
      </c>
      <c r="C727" s="0" t="s">
        <v>2846</v>
      </c>
      <c r="D727" s="0" t="s">
        <v>2847</v>
      </c>
      <c r="E727" s="0" t="s">
        <v>7546</v>
      </c>
      <c r="L727" s="0" t="str">
        <f aca="false">"1713"</f>
        <v>1713</v>
      </c>
      <c r="O727" s="0" t="s">
        <v>7547</v>
      </c>
      <c r="R727" s="1" t="s">
        <v>7548</v>
      </c>
      <c r="T727" s="0" t="s">
        <v>1057</v>
      </c>
      <c r="AB727" s="0" t="s">
        <v>7549</v>
      </c>
      <c r="AT727" s="0" t="s">
        <v>2601</v>
      </c>
      <c r="AU727" s="0" t="s">
        <v>2613</v>
      </c>
      <c r="AY727" s="0" t="s">
        <v>7550</v>
      </c>
      <c r="CA727" s="0" t="s">
        <v>7394</v>
      </c>
    </row>
    <row r="728" customFormat="false" ht="12.8" hidden="false" customHeight="false" outlineLevel="0" collapsed="false">
      <c r="B728" s="0" t="s">
        <v>7551</v>
      </c>
      <c r="C728" s="0" t="s">
        <v>1056</v>
      </c>
      <c r="D728" s="0" t="s">
        <v>1057</v>
      </c>
      <c r="E728" s="0" t="s">
        <v>7552</v>
      </c>
      <c r="L728" s="0" t="str">
        <f aca="false">"1713"</f>
        <v>1713</v>
      </c>
      <c r="O728" s="0" t="s">
        <v>7553</v>
      </c>
      <c r="Q728" s="0" t="str">
        <f aca="false">"2."</f>
        <v>2.</v>
      </c>
      <c r="R728" s="0" t="s">
        <v>7554</v>
      </c>
      <c r="T728" s="0" t="s">
        <v>7555</v>
      </c>
      <c r="AB728" s="0" t="s">
        <v>7556</v>
      </c>
      <c r="AT728" s="0" t="s">
        <v>2601</v>
      </c>
      <c r="AU728" s="0" t="s">
        <v>2613</v>
      </c>
      <c r="AY728" s="0" t="s">
        <v>7557</v>
      </c>
      <c r="CA728" s="0" t="s">
        <v>7394</v>
      </c>
    </row>
    <row r="729" customFormat="false" ht="12.8" hidden="false" customHeight="false" outlineLevel="0" collapsed="false">
      <c r="B729" s="0" t="s">
        <v>7558</v>
      </c>
      <c r="C729" s="0" t="s">
        <v>1056</v>
      </c>
      <c r="D729" s="0" t="s">
        <v>1057</v>
      </c>
      <c r="E729" s="0" t="s">
        <v>7559</v>
      </c>
      <c r="L729" s="0" t="str">
        <f aca="false">"1713"</f>
        <v>1713</v>
      </c>
      <c r="O729" s="0" t="s">
        <v>7560</v>
      </c>
      <c r="Q729" s="0" t="str">
        <f aca="false">"2."</f>
        <v>2.</v>
      </c>
      <c r="R729" s="0" t="s">
        <v>7561</v>
      </c>
      <c r="T729" s="0" t="s">
        <v>1057</v>
      </c>
      <c r="AB729" s="0" t="s">
        <v>7562</v>
      </c>
      <c r="AT729" s="0" t="s">
        <v>2601</v>
      </c>
      <c r="AU729" s="0" t="s">
        <v>2613</v>
      </c>
      <c r="AY729" s="0" t="s">
        <v>7563</v>
      </c>
      <c r="CA729" s="0" t="s">
        <v>7394</v>
      </c>
    </row>
    <row r="730" customFormat="false" ht="22.5" hidden="false" customHeight="false" outlineLevel="0" collapsed="false">
      <c r="B730" s="0" t="s">
        <v>7564</v>
      </c>
      <c r="C730" s="0" t="s">
        <v>1056</v>
      </c>
      <c r="D730" s="0" t="s">
        <v>1057</v>
      </c>
      <c r="E730" s="0" t="s">
        <v>7565</v>
      </c>
      <c r="L730" s="0" t="str">
        <f aca="false">"1713"</f>
        <v>1713</v>
      </c>
      <c r="O730" s="0" t="s">
        <v>7566</v>
      </c>
      <c r="R730" s="1" t="s">
        <v>7567</v>
      </c>
      <c r="T730" s="0" t="s">
        <v>2847</v>
      </c>
      <c r="AB730" s="0" t="s">
        <v>7568</v>
      </c>
      <c r="AT730" s="0" t="s">
        <v>2601</v>
      </c>
      <c r="AU730" s="0" t="s">
        <v>2613</v>
      </c>
      <c r="AY730" s="0" t="s">
        <v>7569</v>
      </c>
      <c r="CA730" s="0" t="s">
        <v>7394</v>
      </c>
    </row>
    <row r="731" customFormat="false" ht="12.8" hidden="false" customHeight="false" outlineLevel="0" collapsed="false">
      <c r="B731" s="0" t="s">
        <v>7570</v>
      </c>
      <c r="C731" s="0" t="s">
        <v>7571</v>
      </c>
      <c r="D731" s="0" t="s">
        <v>2847</v>
      </c>
      <c r="E731" s="0" t="s">
        <v>7572</v>
      </c>
      <c r="L731" s="0" t="str">
        <f aca="false">"1713"</f>
        <v>1713</v>
      </c>
      <c r="O731" s="0" t="s">
        <v>7573</v>
      </c>
      <c r="R731" s="0" t="s">
        <v>7574</v>
      </c>
      <c r="T731" s="0" t="s">
        <v>6621</v>
      </c>
      <c r="AB731" s="0" t="s">
        <v>7575</v>
      </c>
      <c r="AT731" s="0" t="s">
        <v>2601</v>
      </c>
      <c r="AU731" s="0" t="s">
        <v>2613</v>
      </c>
      <c r="AY731" s="0" t="s">
        <v>7576</v>
      </c>
      <c r="CA731" s="0" t="s">
        <v>7394</v>
      </c>
    </row>
    <row r="732" customFormat="false" ht="12.8" hidden="false" customHeight="false" outlineLevel="0" collapsed="false">
      <c r="B732" s="0" t="s">
        <v>7577</v>
      </c>
      <c r="C732" s="0" t="s">
        <v>1056</v>
      </c>
      <c r="D732" s="0" t="s">
        <v>1057</v>
      </c>
      <c r="E732" s="0" t="s">
        <v>7578</v>
      </c>
      <c r="L732" s="0" t="str">
        <f aca="false">"1713"</f>
        <v>1713</v>
      </c>
      <c r="O732" s="0" t="s">
        <v>7579</v>
      </c>
      <c r="R732" s="0" t="s">
        <v>7580</v>
      </c>
      <c r="T732" s="0" t="s">
        <v>1057</v>
      </c>
      <c r="AB732" s="0" t="s">
        <v>7581</v>
      </c>
      <c r="AT732" s="0" t="s">
        <v>2601</v>
      </c>
      <c r="AU732" s="0" t="s">
        <v>2613</v>
      </c>
      <c r="CA732" s="0" t="s">
        <v>7394</v>
      </c>
    </row>
    <row r="733" customFormat="false" ht="12.8" hidden="false" customHeight="false" outlineLevel="0" collapsed="false">
      <c r="B733" s="0" t="s">
        <v>7582</v>
      </c>
      <c r="C733" s="0" t="s">
        <v>1056</v>
      </c>
      <c r="D733" s="0" t="s">
        <v>1057</v>
      </c>
      <c r="E733" s="0" t="s">
        <v>7583</v>
      </c>
      <c r="L733" s="0" t="str">
        <f aca="false">"1713"</f>
        <v>1713</v>
      </c>
      <c r="O733" s="0" t="s">
        <v>7584</v>
      </c>
      <c r="R733" s="0" t="s">
        <v>7585</v>
      </c>
      <c r="T733" s="0" t="s">
        <v>1057</v>
      </c>
      <c r="AB733" s="0" t="s">
        <v>7586</v>
      </c>
      <c r="AT733" s="0" t="s">
        <v>2601</v>
      </c>
      <c r="AU733" s="0" t="s">
        <v>2613</v>
      </c>
      <c r="CA733" s="0" t="s">
        <v>7394</v>
      </c>
    </row>
    <row r="734" customFormat="false" ht="12.8" hidden="false" customHeight="false" outlineLevel="0" collapsed="false">
      <c r="B734" s="0" t="s">
        <v>7587</v>
      </c>
      <c r="C734" s="0" t="s">
        <v>1056</v>
      </c>
      <c r="D734" s="0" t="s">
        <v>1057</v>
      </c>
      <c r="E734" s="0" t="s">
        <v>7588</v>
      </c>
      <c r="L734" s="0" t="str">
        <f aca="false">"1713"</f>
        <v>1713</v>
      </c>
      <c r="O734" s="0" t="s">
        <v>7589</v>
      </c>
      <c r="R734" s="0" t="s">
        <v>7590</v>
      </c>
      <c r="T734" s="0" t="s">
        <v>1057</v>
      </c>
      <c r="AB734" s="0" t="s">
        <v>7591</v>
      </c>
      <c r="AT734" s="0" t="s">
        <v>2601</v>
      </c>
      <c r="AU734" s="0" t="s">
        <v>2613</v>
      </c>
      <c r="CA734" s="0" t="s">
        <v>7394</v>
      </c>
    </row>
    <row r="735" customFormat="false" ht="12.8" hidden="false" customHeight="false" outlineLevel="0" collapsed="false">
      <c r="B735" s="0" t="s">
        <v>7592</v>
      </c>
      <c r="C735" s="0" t="s">
        <v>1056</v>
      </c>
      <c r="D735" s="0" t="s">
        <v>1057</v>
      </c>
      <c r="E735" s="0" t="s">
        <v>7593</v>
      </c>
      <c r="L735" s="0" t="str">
        <f aca="false">"1713"</f>
        <v>1713</v>
      </c>
      <c r="O735" s="0" t="s">
        <v>6558</v>
      </c>
      <c r="R735" s="0" t="s">
        <v>7594</v>
      </c>
      <c r="T735" s="0" t="s">
        <v>1057</v>
      </c>
      <c r="AB735" s="0" t="s">
        <v>7595</v>
      </c>
      <c r="AT735" s="0" t="s">
        <v>2601</v>
      </c>
      <c r="AU735" s="0" t="s">
        <v>2613</v>
      </c>
      <c r="AY735" s="0" t="s">
        <v>7596</v>
      </c>
      <c r="CA735" s="0" t="s">
        <v>7394</v>
      </c>
    </row>
    <row r="736" customFormat="false" ht="12.8" hidden="false" customHeight="false" outlineLevel="0" collapsed="false">
      <c r="B736" s="0" t="s">
        <v>7564</v>
      </c>
      <c r="C736" s="0" t="s">
        <v>1056</v>
      </c>
      <c r="D736" s="0" t="s">
        <v>1057</v>
      </c>
      <c r="E736" s="0" t="s">
        <v>7597</v>
      </c>
      <c r="L736" s="0" t="str">
        <f aca="false">"1713"</f>
        <v>1713</v>
      </c>
      <c r="O736" s="0" t="s">
        <v>7598</v>
      </c>
      <c r="R736" s="0" t="s">
        <v>7599</v>
      </c>
      <c r="T736" s="0" t="s">
        <v>7600</v>
      </c>
      <c r="AB736" s="0" t="s">
        <v>7601</v>
      </c>
      <c r="AT736" s="0" t="s">
        <v>2601</v>
      </c>
      <c r="AU736" s="0" t="s">
        <v>2613</v>
      </c>
      <c r="AY736" s="0" t="s">
        <v>7602</v>
      </c>
      <c r="CA736" s="0" t="s">
        <v>7394</v>
      </c>
    </row>
    <row r="737" customFormat="false" ht="12.8" hidden="false" customHeight="false" outlineLevel="0" collapsed="false">
      <c r="A737" s="0" t="s">
        <v>445</v>
      </c>
      <c r="B737" s="0" t="s">
        <v>7603</v>
      </c>
      <c r="C737" s="0" t="s">
        <v>1056</v>
      </c>
      <c r="D737" s="0" t="s">
        <v>1057</v>
      </c>
      <c r="E737" s="0" t="s">
        <v>7604</v>
      </c>
      <c r="L737" s="0" t="str">
        <f aca="false">"1713"</f>
        <v>1713</v>
      </c>
      <c r="R737" s="0" t="s">
        <v>7605</v>
      </c>
      <c r="T737" s="0" t="s">
        <v>7600</v>
      </c>
      <c r="AB737" s="0" t="s">
        <v>7606</v>
      </c>
      <c r="AC737" s="0" t="s">
        <v>7607</v>
      </c>
      <c r="AS737" s="0" t="s">
        <v>7608</v>
      </c>
      <c r="AT737" s="0" t="s">
        <v>2601</v>
      </c>
      <c r="AU737" s="0" t="s">
        <v>2457</v>
      </c>
      <c r="AY737" s="0" t="s">
        <v>7609</v>
      </c>
      <c r="AZ737" s="0" t="s">
        <v>7610</v>
      </c>
      <c r="CB737" s="0" t="str">
        <f aca="false">"08.01.1713"</f>
        <v>08.01.1713</v>
      </c>
    </row>
    <row r="738" customFormat="false" ht="12.8" hidden="false" customHeight="false" outlineLevel="0" collapsed="false">
      <c r="A738" s="0" t="s">
        <v>445</v>
      </c>
      <c r="B738" s="0" t="s">
        <v>7611</v>
      </c>
      <c r="C738" s="0" t="s">
        <v>3951</v>
      </c>
      <c r="D738" s="0" t="s">
        <v>3952</v>
      </c>
      <c r="E738" s="0" t="s">
        <v>7612</v>
      </c>
      <c r="L738" s="0" t="str">
        <f aca="false">"1714"</f>
        <v>1714</v>
      </c>
      <c r="M738" s="0" t="s">
        <v>448</v>
      </c>
      <c r="O738" s="0" t="s">
        <v>7613</v>
      </c>
      <c r="R738" s="0" t="s">
        <v>7614</v>
      </c>
      <c r="T738" s="0" t="s">
        <v>3952</v>
      </c>
      <c r="AB738" s="0" t="s">
        <v>7615</v>
      </c>
      <c r="AS738" s="0" t="s">
        <v>3944</v>
      </c>
      <c r="AT738" s="0" t="s">
        <v>2601</v>
      </c>
      <c r="AU738" s="0" t="s">
        <v>2457</v>
      </c>
      <c r="AY738" s="0" t="s">
        <v>7616</v>
      </c>
      <c r="AZ738" s="0" t="s">
        <v>7617</v>
      </c>
      <c r="BX738" s="0" t="s">
        <v>7618</v>
      </c>
      <c r="CH738" s="0" t="s">
        <v>625</v>
      </c>
      <c r="CI738" s="0" t="s">
        <v>7618</v>
      </c>
    </row>
    <row r="739" customFormat="false" ht="12.8" hidden="false" customHeight="false" outlineLevel="0" collapsed="false">
      <c r="A739" s="0" t="s">
        <v>445</v>
      </c>
      <c r="B739" s="0" t="s">
        <v>7619</v>
      </c>
      <c r="C739" s="0" t="s">
        <v>895</v>
      </c>
      <c r="D739" s="0" t="s">
        <v>896</v>
      </c>
      <c r="E739" s="0" t="s">
        <v>7620</v>
      </c>
      <c r="L739" s="0" t="str">
        <f aca="false">"1722"</f>
        <v>1722</v>
      </c>
      <c r="M739" s="0" t="s">
        <v>448</v>
      </c>
      <c r="O739" s="0" t="s">
        <v>7621</v>
      </c>
      <c r="R739" s="0" t="s">
        <v>7622</v>
      </c>
      <c r="T739" s="0" t="s">
        <v>7623</v>
      </c>
      <c r="AA739" s="0" t="str">
        <f aca="false">"11024275"</f>
        <v>11024275</v>
      </c>
      <c r="AB739" s="0" t="s">
        <v>7624</v>
      </c>
      <c r="AC739" s="0" t="s">
        <v>7625</v>
      </c>
      <c r="AT739" s="0" t="s">
        <v>2601</v>
      </c>
      <c r="AU739" s="0" t="s">
        <v>2457</v>
      </c>
      <c r="AY739" s="0" t="s">
        <v>7626</v>
      </c>
      <c r="AZ739" s="0" t="s">
        <v>7627</v>
      </c>
      <c r="BC739" s="0" t="str">
        <f aca="false">"526219343"</f>
        <v>526219343</v>
      </c>
      <c r="BX739" s="0" t="s">
        <v>7628</v>
      </c>
      <c r="CB739" s="0" t="str">
        <f aca="false">"04.12.1721"</f>
        <v>04.12.1721</v>
      </c>
      <c r="CI739" s="0" t="s">
        <v>7628</v>
      </c>
    </row>
    <row r="740" customFormat="false" ht="22.5" hidden="false" customHeight="false" outlineLevel="0" collapsed="false">
      <c r="A740" s="0" t="s">
        <v>445</v>
      </c>
      <c r="B740" s="0" t="s">
        <v>7629</v>
      </c>
      <c r="C740" s="0" t="s">
        <v>895</v>
      </c>
      <c r="D740" s="0" t="s">
        <v>896</v>
      </c>
      <c r="E740" s="0" t="s">
        <v>7630</v>
      </c>
      <c r="L740" s="0" t="str">
        <f aca="false">"1740"</f>
        <v>1740</v>
      </c>
      <c r="M740" s="0" t="s">
        <v>448</v>
      </c>
      <c r="O740" s="0" t="s">
        <v>7631</v>
      </c>
      <c r="R740" s="1" t="s">
        <v>7632</v>
      </c>
      <c r="T740" s="1" t="s">
        <v>7633</v>
      </c>
      <c r="AA740" s="0" t="str">
        <f aca="false">"10982949"</f>
        <v>10982949</v>
      </c>
      <c r="AB740" s="0" t="s">
        <v>7634</v>
      </c>
      <c r="AC740" s="0" t="s">
        <v>7635</v>
      </c>
      <c r="AS740" s="0" t="s">
        <v>7636</v>
      </c>
      <c r="AT740" s="0" t="s">
        <v>2601</v>
      </c>
      <c r="AU740" s="0" t="s">
        <v>2457</v>
      </c>
      <c r="AY740" s="0" t="s">
        <v>7637</v>
      </c>
      <c r="BC740" s="0" t="str">
        <f aca="false">"164263977"</f>
        <v>164263977</v>
      </c>
      <c r="BX740" s="0" t="s">
        <v>7638</v>
      </c>
      <c r="CB740" s="0" t="str">
        <f aca="false">"06.03.1740"</f>
        <v>06.03.1740</v>
      </c>
      <c r="CI740" s="0" t="s">
        <v>7638</v>
      </c>
    </row>
    <row r="741" customFormat="false" ht="12.8" hidden="false" customHeight="false" outlineLevel="0" collapsed="false">
      <c r="A741" s="0" t="s">
        <v>445</v>
      </c>
      <c r="B741" s="0" t="s">
        <v>7639</v>
      </c>
      <c r="C741" s="0" t="s">
        <v>242</v>
      </c>
      <c r="D741" s="0" t="s">
        <v>243</v>
      </c>
      <c r="E741" s="0" t="s">
        <v>7640</v>
      </c>
      <c r="L741" s="0" t="str">
        <f aca="false">"1742"</f>
        <v>1742</v>
      </c>
      <c r="M741" s="0" t="s">
        <v>448</v>
      </c>
      <c r="O741" s="0" t="s">
        <v>7641</v>
      </c>
      <c r="R741" s="0" t="s">
        <v>7642</v>
      </c>
      <c r="T741" s="0" t="s">
        <v>930</v>
      </c>
      <c r="AA741" s="0" t="str">
        <f aca="false">"10373039"</f>
        <v>10373039</v>
      </c>
      <c r="AB741" s="0" t="s">
        <v>7643</v>
      </c>
      <c r="AS741" s="0" t="s">
        <v>6630</v>
      </c>
      <c r="AT741" s="0" t="s">
        <v>2601</v>
      </c>
      <c r="AU741" s="0" t="s">
        <v>2457</v>
      </c>
      <c r="AY741" s="0" t="s">
        <v>7644</v>
      </c>
      <c r="AZ741" s="0" t="s">
        <v>7645</v>
      </c>
      <c r="BC741" s="0" t="str">
        <f aca="false">"330837419"</f>
        <v>330837419</v>
      </c>
      <c r="BX741" s="0" t="s">
        <v>7646</v>
      </c>
      <c r="CB741" s="0" t="str">
        <f aca="false">"15.07.1742"</f>
        <v>15.07.1742</v>
      </c>
      <c r="CI741" s="0" t="s">
        <v>7646</v>
      </c>
    </row>
    <row r="742" customFormat="false" ht="12.8" hidden="false" customHeight="false" outlineLevel="0" collapsed="false">
      <c r="A742" s="0" t="s">
        <v>445</v>
      </c>
      <c r="C742" s="0" t="s">
        <v>895</v>
      </c>
      <c r="D742" s="0" t="s">
        <v>896</v>
      </c>
      <c r="E742" s="0" t="s">
        <v>7647</v>
      </c>
      <c r="L742" s="0" t="str">
        <f aca="false">"1742"</f>
        <v>1742</v>
      </c>
      <c r="M742" s="0" t="s">
        <v>448</v>
      </c>
      <c r="O742" s="0" t="s">
        <v>7648</v>
      </c>
      <c r="R742" s="0" t="s">
        <v>7649</v>
      </c>
      <c r="T742" s="0" t="s">
        <v>398</v>
      </c>
      <c r="AA742" s="0" t="str">
        <f aca="false">"90011562"</f>
        <v>90011562</v>
      </c>
      <c r="AB742" s="0" t="s">
        <v>7650</v>
      </c>
      <c r="AS742" s="0" t="s">
        <v>4363</v>
      </c>
      <c r="AT742" s="0" t="s">
        <v>2601</v>
      </c>
      <c r="AU742" s="0" t="s">
        <v>2457</v>
      </c>
      <c r="AY742" s="0" t="s">
        <v>7651</v>
      </c>
      <c r="BC742" s="0" t="str">
        <f aca="false">"641285922"</f>
        <v>641285922</v>
      </c>
      <c r="BX742" s="0" t="s">
        <v>7652</v>
      </c>
      <c r="CB742" s="0" t="str">
        <f aca="false">"08.07.1742"</f>
        <v>08.07.1742</v>
      </c>
      <c r="CI742" s="0" t="s">
        <v>7652</v>
      </c>
    </row>
    <row r="743" customFormat="false" ht="12.8" hidden="false" customHeight="false" outlineLevel="0" collapsed="false">
      <c r="A743" s="0" t="s">
        <v>445</v>
      </c>
      <c r="B743" s="0" t="s">
        <v>7653</v>
      </c>
      <c r="C743" s="0" t="s">
        <v>397</v>
      </c>
      <c r="D743" s="0" t="s">
        <v>398</v>
      </c>
      <c r="E743" s="0" t="s">
        <v>7654</v>
      </c>
      <c r="L743" s="0" t="str">
        <f aca="false">"1742"</f>
        <v>1742</v>
      </c>
      <c r="M743" s="0" t="s">
        <v>448</v>
      </c>
      <c r="O743" s="0" t="s">
        <v>7655</v>
      </c>
      <c r="R743" s="0" t="s">
        <v>7656</v>
      </c>
      <c r="T743" s="0" t="s">
        <v>1113</v>
      </c>
      <c r="AA743" s="0" t="str">
        <f aca="false">"10009892"</f>
        <v>10009892</v>
      </c>
      <c r="AB743" s="0" t="s">
        <v>7657</v>
      </c>
      <c r="AS743" s="0" t="s">
        <v>4543</v>
      </c>
      <c r="AT743" s="0" t="s">
        <v>2601</v>
      </c>
      <c r="AU743" s="0" t="s">
        <v>2457</v>
      </c>
      <c r="AY743" s="0" t="s">
        <v>7658</v>
      </c>
      <c r="BC743" s="0" t="str">
        <f aca="false">"363599533"</f>
        <v>363599533</v>
      </c>
      <c r="BX743" s="0" t="s">
        <v>7659</v>
      </c>
      <c r="CI743" s="0" t="s">
        <v>7659</v>
      </c>
    </row>
    <row r="744" customFormat="false" ht="12.8" hidden="false" customHeight="false" outlineLevel="0" collapsed="false">
      <c r="A744" s="0" t="s">
        <v>445</v>
      </c>
      <c r="B744" s="0" t="s">
        <v>7660</v>
      </c>
      <c r="C744" s="0" t="s">
        <v>1685</v>
      </c>
      <c r="D744" s="0" t="s">
        <v>1686</v>
      </c>
      <c r="E744" s="0" t="s">
        <v>7661</v>
      </c>
      <c r="L744" s="0" t="str">
        <f aca="false">"1742"</f>
        <v>1742</v>
      </c>
      <c r="M744" s="0" t="s">
        <v>448</v>
      </c>
      <c r="O744" s="0" t="s">
        <v>7662</v>
      </c>
      <c r="R744" s="0" t="s">
        <v>7642</v>
      </c>
      <c r="T744" s="0" t="s">
        <v>930</v>
      </c>
      <c r="AA744" s="0" t="str">
        <f aca="false">"10059520"</f>
        <v>10059520</v>
      </c>
      <c r="AB744" s="0" t="s">
        <v>7663</v>
      </c>
      <c r="AS744" s="0" t="s">
        <v>6041</v>
      </c>
      <c r="AT744" s="0" t="s">
        <v>2601</v>
      </c>
      <c r="AU744" s="0" t="s">
        <v>2457</v>
      </c>
      <c r="AY744" s="0" t="s">
        <v>7664</v>
      </c>
      <c r="BX744" s="0" t="s">
        <v>7665</v>
      </c>
      <c r="CI744" s="0" t="s">
        <v>7665</v>
      </c>
    </row>
    <row r="745" customFormat="false" ht="22.5" hidden="false" customHeight="false" outlineLevel="0" collapsed="false">
      <c r="A745" s="0" t="s">
        <v>445</v>
      </c>
      <c r="B745" s="0" t="s">
        <v>7666</v>
      </c>
      <c r="C745" s="0" t="s">
        <v>1685</v>
      </c>
      <c r="D745" s="0" t="s">
        <v>1686</v>
      </c>
      <c r="E745" s="0" t="s">
        <v>7667</v>
      </c>
      <c r="F745" s="0" t="s">
        <v>192</v>
      </c>
      <c r="H745" s="0" t="s">
        <v>102</v>
      </c>
      <c r="L745" s="0" t="str">
        <f aca="false">"1743"</f>
        <v>1743</v>
      </c>
      <c r="M745" s="1" t="s">
        <v>898</v>
      </c>
      <c r="O745" s="1" t="s">
        <v>7668</v>
      </c>
      <c r="T745" s="0" t="s">
        <v>398</v>
      </c>
      <c r="AA745" s="0" t="str">
        <f aca="false">"10837035"</f>
        <v>10837035</v>
      </c>
      <c r="AB745" s="0" t="s">
        <v>7669</v>
      </c>
      <c r="AS745" s="0" t="s">
        <v>4557</v>
      </c>
      <c r="AT745" s="0" t="s">
        <v>2601</v>
      </c>
      <c r="AU745" s="0" t="s">
        <v>872</v>
      </c>
      <c r="AY745" s="0" t="s">
        <v>7670</v>
      </c>
      <c r="AZ745" s="0" t="s">
        <v>7671</v>
      </c>
      <c r="BD745" s="0" t="s">
        <v>873</v>
      </c>
      <c r="BE745" s="0" t="s">
        <v>7672</v>
      </c>
      <c r="BJ745" s="0" t="s">
        <v>118</v>
      </c>
      <c r="BX745" s="0" t="s">
        <v>7673</v>
      </c>
      <c r="CC745" s="0" t="s">
        <v>7674</v>
      </c>
      <c r="CI745" s="0" t="s">
        <v>7673</v>
      </c>
      <c r="CJ745" s="0" t="s">
        <v>7675</v>
      </c>
      <c r="CO745" s="0" t="s">
        <v>7676</v>
      </c>
      <c r="CR745" s="0" t="s">
        <v>7677</v>
      </c>
    </row>
    <row r="746" customFormat="false" ht="12.8" hidden="false" customHeight="false" outlineLevel="0" collapsed="false">
      <c r="A746" s="0" t="s">
        <v>445</v>
      </c>
      <c r="B746" s="0" t="s">
        <v>7678</v>
      </c>
      <c r="C746" s="0" t="s">
        <v>242</v>
      </c>
      <c r="D746" s="0" t="s">
        <v>243</v>
      </c>
      <c r="E746" s="0" t="s">
        <v>7679</v>
      </c>
      <c r="L746" s="0" t="str">
        <f aca="false">"1746"</f>
        <v>1746</v>
      </c>
      <c r="M746" s="0" t="s">
        <v>448</v>
      </c>
      <c r="O746" s="0" t="s">
        <v>7680</v>
      </c>
      <c r="R746" s="0" t="s">
        <v>7681</v>
      </c>
      <c r="T746" s="0" t="s">
        <v>7682</v>
      </c>
      <c r="AA746" s="0" t="str">
        <f aca="false">"11640677"</f>
        <v>11640677</v>
      </c>
      <c r="AB746" s="0" t="s">
        <v>7683</v>
      </c>
      <c r="AS746" s="0" t="s">
        <v>7684</v>
      </c>
      <c r="AT746" s="0" t="s">
        <v>2601</v>
      </c>
      <c r="AU746" s="0" t="s">
        <v>2457</v>
      </c>
      <c r="AY746" s="0" t="s">
        <v>7685</v>
      </c>
      <c r="AZ746" s="0" t="s">
        <v>7686</v>
      </c>
      <c r="BC746" s="0" t="str">
        <f aca="false">"360409970"</f>
        <v>360409970</v>
      </c>
      <c r="BX746" s="0" t="s">
        <v>7687</v>
      </c>
      <c r="CB746" s="0" t="str">
        <f aca="false">"16.01.1746"</f>
        <v>16.01.1746</v>
      </c>
      <c r="CI746" s="0" t="s">
        <v>7687</v>
      </c>
    </row>
    <row r="747" customFormat="false" ht="12.8" hidden="false" customHeight="false" outlineLevel="0" collapsed="false">
      <c r="A747" s="0" t="s">
        <v>445</v>
      </c>
      <c r="B747" s="0" t="s">
        <v>7688</v>
      </c>
      <c r="C747" s="0" t="s">
        <v>895</v>
      </c>
      <c r="D747" s="0" t="s">
        <v>896</v>
      </c>
      <c r="E747" s="0" t="s">
        <v>7689</v>
      </c>
      <c r="L747" s="0" t="str">
        <f aca="false">"1746"</f>
        <v>1746</v>
      </c>
      <c r="M747" s="0" t="s">
        <v>448</v>
      </c>
      <c r="O747" s="0" t="s">
        <v>7690</v>
      </c>
      <c r="R747" s="0" t="s">
        <v>7691</v>
      </c>
      <c r="T747" s="0" t="s">
        <v>6308</v>
      </c>
      <c r="AA747" s="0" t="str">
        <f aca="false">"90219430"</f>
        <v>90219430</v>
      </c>
      <c r="AB747" s="0" t="s">
        <v>7692</v>
      </c>
      <c r="AS747" s="0" t="s">
        <v>7693</v>
      </c>
      <c r="AT747" s="0" t="s">
        <v>2601</v>
      </c>
      <c r="AU747" s="0" t="s">
        <v>2457</v>
      </c>
      <c r="AY747" s="0" t="s">
        <v>7694</v>
      </c>
      <c r="AZ747" s="0" t="s">
        <v>7695</v>
      </c>
      <c r="BC747" s="0" t="s">
        <v>7696</v>
      </c>
      <c r="BX747" s="0" t="s">
        <v>7697</v>
      </c>
      <c r="CB747" s="0" t="str">
        <f aca="false">"20.01.1746"</f>
        <v>20.01.1746</v>
      </c>
      <c r="CI747" s="0" t="s">
        <v>7697</v>
      </c>
    </row>
    <row r="748" customFormat="false" ht="12.8" hidden="false" customHeight="false" outlineLevel="0" collapsed="false">
      <c r="A748" s="0" t="s">
        <v>445</v>
      </c>
      <c r="B748" s="0" t="s">
        <v>7698</v>
      </c>
      <c r="C748" s="0" t="s">
        <v>1685</v>
      </c>
      <c r="D748" s="0" t="s">
        <v>1686</v>
      </c>
      <c r="E748" s="0" t="s">
        <v>7699</v>
      </c>
      <c r="L748" s="0" t="str">
        <f aca="false">"1746"</f>
        <v>1746</v>
      </c>
      <c r="M748" s="0" t="s">
        <v>448</v>
      </c>
      <c r="O748" s="0" t="s">
        <v>7700</v>
      </c>
      <c r="R748" s="0" t="s">
        <v>7701</v>
      </c>
      <c r="T748" s="0" t="s">
        <v>398</v>
      </c>
      <c r="AA748" s="0" t="str">
        <f aca="false">"10835431"</f>
        <v>10835431</v>
      </c>
      <c r="AB748" s="0" t="s">
        <v>7702</v>
      </c>
      <c r="AS748" s="0" t="s">
        <v>4377</v>
      </c>
      <c r="AT748" s="0" t="s">
        <v>2601</v>
      </c>
      <c r="AU748" s="0" t="s">
        <v>2457</v>
      </c>
      <c r="AY748" s="0" t="s">
        <v>7703</v>
      </c>
      <c r="BX748" s="0" t="s">
        <v>7704</v>
      </c>
      <c r="CI748" s="0" t="s">
        <v>7704</v>
      </c>
    </row>
    <row r="749" customFormat="false" ht="12.8" hidden="false" customHeight="false" outlineLevel="0" collapsed="false">
      <c r="A749" s="0" t="s">
        <v>445</v>
      </c>
      <c r="B749" s="0" t="s">
        <v>7705</v>
      </c>
      <c r="C749" s="0" t="s">
        <v>1213</v>
      </c>
      <c r="D749" s="0" t="s">
        <v>1214</v>
      </c>
      <c r="E749" s="0" t="s">
        <v>7706</v>
      </c>
      <c r="L749" s="0" t="str">
        <f aca="false">"1746"</f>
        <v>1746</v>
      </c>
      <c r="M749" s="0" t="s">
        <v>448</v>
      </c>
      <c r="O749" s="0" t="s">
        <v>5314</v>
      </c>
      <c r="T749" s="0" t="s">
        <v>7707</v>
      </c>
      <c r="AG749" s="0" t="s">
        <v>7708</v>
      </c>
      <c r="AH749" s="0" t="s">
        <v>7709</v>
      </c>
      <c r="AI749" s="0" t="s">
        <v>7710</v>
      </c>
      <c r="AJ749" s="0" t="s">
        <v>7711</v>
      </c>
      <c r="AT749" s="0" t="s">
        <v>2601</v>
      </c>
      <c r="AU749" s="0" t="s">
        <v>2457</v>
      </c>
      <c r="AY749" s="0" t="s">
        <v>7712</v>
      </c>
    </row>
    <row r="750" customFormat="false" ht="12.8" hidden="false" customHeight="false" outlineLevel="0" collapsed="false">
      <c r="A750" s="0" t="s">
        <v>445</v>
      </c>
      <c r="B750" s="0" t="s">
        <v>7713</v>
      </c>
      <c r="C750" s="0" t="s">
        <v>397</v>
      </c>
      <c r="D750" s="0" t="s">
        <v>398</v>
      </c>
      <c r="E750" s="0" t="s">
        <v>7714</v>
      </c>
      <c r="L750" s="0" t="str">
        <f aca="false">"1746"</f>
        <v>1746</v>
      </c>
      <c r="M750" s="0" t="s">
        <v>448</v>
      </c>
      <c r="O750" s="0" t="s">
        <v>7715</v>
      </c>
      <c r="R750" s="0" t="s">
        <v>7642</v>
      </c>
      <c r="T750" s="0" t="s">
        <v>930</v>
      </c>
      <c r="AA750" s="0" t="str">
        <f aca="false">"11912928"</f>
        <v>11912928</v>
      </c>
      <c r="AB750" s="0" t="s">
        <v>7716</v>
      </c>
      <c r="AS750" s="0" t="s">
        <v>5977</v>
      </c>
      <c r="AT750" s="0" t="s">
        <v>2601</v>
      </c>
      <c r="AU750" s="0" t="s">
        <v>2457</v>
      </c>
      <c r="AY750" s="0" t="s">
        <v>7717</v>
      </c>
      <c r="BC750" s="0" t="str">
        <f aca="false">"454980515"</f>
        <v>454980515</v>
      </c>
      <c r="BX750" s="0" t="s">
        <v>7718</v>
      </c>
      <c r="CI750" s="0" t="s">
        <v>7718</v>
      </c>
    </row>
    <row r="751" customFormat="false" ht="12.8" hidden="false" customHeight="false" outlineLevel="0" collapsed="false">
      <c r="A751" s="0" t="s">
        <v>445</v>
      </c>
      <c r="B751" s="0" t="s">
        <v>7719</v>
      </c>
      <c r="C751" s="0" t="s">
        <v>1685</v>
      </c>
      <c r="D751" s="0" t="s">
        <v>1686</v>
      </c>
      <c r="E751" s="0" t="s">
        <v>7720</v>
      </c>
      <c r="L751" s="0" t="str">
        <f aca="false">"1746"</f>
        <v>1746</v>
      </c>
      <c r="M751" s="0" t="s">
        <v>448</v>
      </c>
      <c r="O751" s="0" t="s">
        <v>7721</v>
      </c>
      <c r="R751" s="0" t="s">
        <v>7722</v>
      </c>
      <c r="T751" s="0" t="s">
        <v>398</v>
      </c>
      <c r="AA751" s="0" t="str">
        <f aca="false">"10836985"</f>
        <v>10836985</v>
      </c>
      <c r="AB751" s="0" t="s">
        <v>7723</v>
      </c>
      <c r="AS751" s="0" t="s">
        <v>4251</v>
      </c>
      <c r="AT751" s="0" t="s">
        <v>2601</v>
      </c>
      <c r="AU751" s="0" t="s">
        <v>2457</v>
      </c>
      <c r="AY751" s="0" t="s">
        <v>7724</v>
      </c>
      <c r="BX751" s="0" t="s">
        <v>7725</v>
      </c>
      <c r="CI751" s="0" t="s">
        <v>7725</v>
      </c>
    </row>
    <row r="752" customFormat="false" ht="12.8" hidden="false" customHeight="false" outlineLevel="0" collapsed="false">
      <c r="A752" s="0" t="s">
        <v>445</v>
      </c>
      <c r="B752" s="0" t="s">
        <v>7726</v>
      </c>
      <c r="C752" s="0" t="s">
        <v>242</v>
      </c>
      <c r="D752" s="0" t="s">
        <v>243</v>
      </c>
      <c r="E752" s="0" t="s">
        <v>7727</v>
      </c>
      <c r="L752" s="0" t="str">
        <f aca="false">"1746"</f>
        <v>1746</v>
      </c>
      <c r="M752" s="0" t="s">
        <v>448</v>
      </c>
      <c r="O752" s="0" t="s">
        <v>7728</v>
      </c>
      <c r="R752" s="0" t="s">
        <v>7681</v>
      </c>
      <c r="T752" s="0" t="s">
        <v>7682</v>
      </c>
      <c r="AA752" s="0" t="str">
        <f aca="false">"11464615"</f>
        <v>11464615</v>
      </c>
      <c r="AB752" s="0" t="s">
        <v>7729</v>
      </c>
      <c r="AS752" s="0" t="s">
        <v>4251</v>
      </c>
      <c r="AT752" s="0" t="s">
        <v>2601</v>
      </c>
      <c r="AU752" s="0" t="s">
        <v>2457</v>
      </c>
      <c r="AY752" s="0" t="s">
        <v>7730</v>
      </c>
      <c r="BC752" s="0" t="str">
        <f aca="false">"360409075"</f>
        <v>360409075</v>
      </c>
      <c r="BX752" s="0" t="s">
        <v>7731</v>
      </c>
      <c r="CI752" s="0" t="s">
        <v>7731</v>
      </c>
    </row>
    <row r="753" customFormat="false" ht="12.8" hidden="false" customHeight="false" outlineLevel="0" collapsed="false">
      <c r="A753" s="0" t="s">
        <v>445</v>
      </c>
      <c r="B753" s="0" t="s">
        <v>7732</v>
      </c>
      <c r="C753" s="0" t="s">
        <v>397</v>
      </c>
      <c r="D753" s="0" t="s">
        <v>398</v>
      </c>
      <c r="E753" s="0" t="s">
        <v>7733</v>
      </c>
      <c r="L753" s="0" t="str">
        <f aca="false">"1746"</f>
        <v>1746</v>
      </c>
      <c r="M753" s="0" t="s">
        <v>448</v>
      </c>
      <c r="O753" s="0" t="s">
        <v>7662</v>
      </c>
      <c r="R753" s="0" t="s">
        <v>7642</v>
      </c>
      <c r="T753" s="0" t="s">
        <v>930</v>
      </c>
      <c r="AA753" s="0" t="str">
        <f aca="false">"11898682"</f>
        <v>11898682</v>
      </c>
      <c r="AB753" s="0" t="s">
        <v>7734</v>
      </c>
      <c r="AS753" s="0" t="s">
        <v>7735</v>
      </c>
      <c r="AT753" s="0" t="s">
        <v>2601</v>
      </c>
      <c r="AU753" s="0" t="s">
        <v>2457</v>
      </c>
      <c r="AY753" s="0" t="s">
        <v>7736</v>
      </c>
      <c r="AZ753" s="0" t="s">
        <v>7737</v>
      </c>
      <c r="BC753" s="0" t="str">
        <f aca="false">"454099797"</f>
        <v>454099797</v>
      </c>
      <c r="BX753" s="0" t="s">
        <v>7738</v>
      </c>
      <c r="CB753" s="0" t="str">
        <f aca="false">"12.01.1746"</f>
        <v>12.01.1746</v>
      </c>
      <c r="CI753" s="0" t="s">
        <v>7738</v>
      </c>
    </row>
    <row r="754" customFormat="false" ht="12.8" hidden="false" customHeight="false" outlineLevel="0" collapsed="false">
      <c r="B754" s="0" t="s">
        <v>7739</v>
      </c>
      <c r="C754" s="0" t="s">
        <v>1056</v>
      </c>
      <c r="D754" s="0" t="s">
        <v>1057</v>
      </c>
      <c r="E754" s="0" t="s">
        <v>7740</v>
      </c>
      <c r="L754" s="0" t="str">
        <f aca="false">"1749"</f>
        <v>1749</v>
      </c>
      <c r="O754" s="0" t="s">
        <v>7741</v>
      </c>
      <c r="R754" s="0" t="s">
        <v>7742</v>
      </c>
      <c r="T754" s="0" t="s">
        <v>1057</v>
      </c>
      <c r="AB754" s="0" t="s">
        <v>7743</v>
      </c>
      <c r="AT754" s="0" t="s">
        <v>2601</v>
      </c>
      <c r="AU754" s="0" t="s">
        <v>2613</v>
      </c>
      <c r="AY754" s="0" t="s">
        <v>7744</v>
      </c>
      <c r="CA754" s="0" t="s">
        <v>7745</v>
      </c>
    </row>
    <row r="755" customFormat="false" ht="12.8" hidden="false" customHeight="false" outlineLevel="0" collapsed="false">
      <c r="B755" s="0" t="s">
        <v>7746</v>
      </c>
      <c r="C755" s="0" t="s">
        <v>1056</v>
      </c>
      <c r="D755" s="0" t="s">
        <v>1057</v>
      </c>
      <c r="E755" s="0" t="s">
        <v>7747</v>
      </c>
      <c r="L755" s="0" t="str">
        <f aca="false">"1749"</f>
        <v>1749</v>
      </c>
      <c r="O755" s="0" t="s">
        <v>7748</v>
      </c>
      <c r="R755" s="0" t="s">
        <v>7749</v>
      </c>
      <c r="T755" s="0" t="s">
        <v>7750</v>
      </c>
      <c r="AB755" s="0" t="s">
        <v>7751</v>
      </c>
      <c r="AT755" s="0" t="s">
        <v>2601</v>
      </c>
      <c r="AU755" s="0" t="s">
        <v>2613</v>
      </c>
      <c r="AY755" s="0" t="s">
        <v>7752</v>
      </c>
      <c r="CA755" s="0" t="s">
        <v>7745</v>
      </c>
    </row>
    <row r="756" customFormat="false" ht="12.8" hidden="false" customHeight="false" outlineLevel="0" collapsed="false">
      <c r="B756" s="0" t="s">
        <v>7753</v>
      </c>
      <c r="C756" s="0" t="s">
        <v>1056</v>
      </c>
      <c r="D756" s="0" t="s">
        <v>1057</v>
      </c>
      <c r="E756" s="0" t="s">
        <v>7754</v>
      </c>
      <c r="L756" s="0" t="str">
        <f aca="false">"1749"</f>
        <v>1749</v>
      </c>
      <c r="O756" s="0" t="s">
        <v>7755</v>
      </c>
      <c r="R756" s="0" t="s">
        <v>7756</v>
      </c>
      <c r="T756" s="0" t="s">
        <v>1057</v>
      </c>
      <c r="AB756" s="0" t="s">
        <v>7757</v>
      </c>
      <c r="AT756" s="0" t="s">
        <v>2601</v>
      </c>
      <c r="AU756" s="0" t="s">
        <v>2613</v>
      </c>
      <c r="AY756" s="0" t="s">
        <v>7758</v>
      </c>
      <c r="CA756" s="0" t="s">
        <v>7745</v>
      </c>
    </row>
    <row r="757" customFormat="false" ht="33.1" hidden="false" customHeight="false" outlineLevel="0" collapsed="false">
      <c r="B757" s="0" t="s">
        <v>7759</v>
      </c>
      <c r="C757" s="0" t="s">
        <v>1056</v>
      </c>
      <c r="D757" s="0" t="s">
        <v>1057</v>
      </c>
      <c r="E757" s="0" t="s">
        <v>7760</v>
      </c>
      <c r="L757" s="0" t="str">
        <f aca="false">"1749"</f>
        <v>1749</v>
      </c>
      <c r="O757" s="0" t="s">
        <v>7761</v>
      </c>
      <c r="R757" s="1" t="s">
        <v>7762</v>
      </c>
      <c r="T757" s="0" t="s">
        <v>1057</v>
      </c>
      <c r="AB757" s="0" t="s">
        <v>7763</v>
      </c>
      <c r="AT757" s="0" t="s">
        <v>2601</v>
      </c>
      <c r="AU757" s="0" t="s">
        <v>2613</v>
      </c>
      <c r="AY757" s="0" t="s">
        <v>7764</v>
      </c>
      <c r="CA757" s="0" t="s">
        <v>7745</v>
      </c>
    </row>
    <row r="758" customFormat="false" ht="12.8" hidden="false" customHeight="false" outlineLevel="0" collapsed="false">
      <c r="B758" s="0" t="s">
        <v>7765</v>
      </c>
      <c r="C758" s="0" t="s">
        <v>1056</v>
      </c>
      <c r="D758" s="0" t="s">
        <v>1057</v>
      </c>
      <c r="E758" s="0" t="s">
        <v>7766</v>
      </c>
      <c r="L758" s="0" t="str">
        <f aca="false">"1749"</f>
        <v>1749</v>
      </c>
      <c r="O758" s="0" t="s">
        <v>7767</v>
      </c>
      <c r="R758" s="0" t="s">
        <v>7768</v>
      </c>
      <c r="T758" s="0" t="s">
        <v>1057</v>
      </c>
      <c r="AB758" s="0" t="s">
        <v>7769</v>
      </c>
      <c r="AT758" s="0" t="s">
        <v>2601</v>
      </c>
      <c r="AU758" s="0" t="s">
        <v>2613</v>
      </c>
      <c r="AY758" s="0" t="s">
        <v>7770</v>
      </c>
      <c r="CA758" s="0" t="s">
        <v>7745</v>
      </c>
    </row>
    <row r="759" customFormat="false" ht="43.75" hidden="false" customHeight="false" outlineLevel="0" collapsed="false">
      <c r="B759" s="0" t="s">
        <v>7771</v>
      </c>
      <c r="C759" s="0" t="s">
        <v>1056</v>
      </c>
      <c r="D759" s="0" t="s">
        <v>1057</v>
      </c>
      <c r="E759" s="0" t="s">
        <v>7772</v>
      </c>
      <c r="L759" s="0" t="str">
        <f aca="false">"1749"</f>
        <v>1749</v>
      </c>
      <c r="O759" s="0" t="s">
        <v>7773</v>
      </c>
      <c r="R759" s="1" t="s">
        <v>7774</v>
      </c>
      <c r="T759" s="0" t="s">
        <v>1057</v>
      </c>
      <c r="AB759" s="0" t="s">
        <v>7775</v>
      </c>
      <c r="AT759" s="0" t="s">
        <v>2601</v>
      </c>
      <c r="AU759" s="0" t="s">
        <v>2613</v>
      </c>
      <c r="AY759" s="0" t="s">
        <v>7776</v>
      </c>
      <c r="CA759" s="0" t="s">
        <v>7745</v>
      </c>
    </row>
    <row r="760" customFormat="false" ht="12.8" hidden="false" customHeight="false" outlineLevel="0" collapsed="false">
      <c r="B760" s="0" t="s">
        <v>7777</v>
      </c>
      <c r="C760" s="0" t="s">
        <v>1056</v>
      </c>
      <c r="D760" s="0" t="s">
        <v>1057</v>
      </c>
      <c r="E760" s="0" t="s">
        <v>7778</v>
      </c>
      <c r="L760" s="0" t="str">
        <f aca="false">"1749"</f>
        <v>1749</v>
      </c>
      <c r="O760" s="0" t="s">
        <v>7779</v>
      </c>
      <c r="R760" s="0" t="s">
        <v>7780</v>
      </c>
      <c r="T760" s="0" t="s">
        <v>7781</v>
      </c>
      <c r="AB760" s="0" t="s">
        <v>7782</v>
      </c>
      <c r="AT760" s="0" t="s">
        <v>2601</v>
      </c>
      <c r="AU760" s="0" t="s">
        <v>2613</v>
      </c>
      <c r="AY760" s="0" t="s">
        <v>7783</v>
      </c>
      <c r="CA760" s="0" t="s">
        <v>7745</v>
      </c>
    </row>
    <row r="761" customFormat="false" ht="12.8" hidden="false" customHeight="false" outlineLevel="0" collapsed="false">
      <c r="B761" s="0" t="s">
        <v>7777</v>
      </c>
      <c r="C761" s="0" t="s">
        <v>1056</v>
      </c>
      <c r="D761" s="0" t="s">
        <v>1057</v>
      </c>
      <c r="E761" s="0" t="s">
        <v>7784</v>
      </c>
      <c r="L761" s="0" t="str">
        <f aca="false">"1749"</f>
        <v>1749</v>
      </c>
      <c r="O761" s="0" t="s">
        <v>7779</v>
      </c>
      <c r="R761" s="0" t="s">
        <v>7785</v>
      </c>
      <c r="T761" s="0" t="s">
        <v>6621</v>
      </c>
      <c r="AB761" s="0" t="s">
        <v>7786</v>
      </c>
      <c r="AT761" s="0" t="s">
        <v>2601</v>
      </c>
      <c r="AU761" s="0" t="s">
        <v>2613</v>
      </c>
      <c r="AY761" s="0" t="s">
        <v>7787</v>
      </c>
      <c r="CA761" s="0" t="s">
        <v>7745</v>
      </c>
    </row>
    <row r="762" customFormat="false" ht="33.1" hidden="false" customHeight="false" outlineLevel="0" collapsed="false">
      <c r="B762" s="0" t="s">
        <v>7788</v>
      </c>
      <c r="C762" s="0" t="s">
        <v>1056</v>
      </c>
      <c r="D762" s="0" t="s">
        <v>1057</v>
      </c>
      <c r="E762" s="0" t="s">
        <v>7789</v>
      </c>
      <c r="L762" s="0" t="str">
        <f aca="false">"1749"</f>
        <v>1749</v>
      </c>
      <c r="O762" s="0" t="s">
        <v>7790</v>
      </c>
      <c r="R762" s="1" t="s">
        <v>7791</v>
      </c>
      <c r="T762" s="0" t="s">
        <v>1057</v>
      </c>
      <c r="AB762" s="0" t="s">
        <v>7792</v>
      </c>
      <c r="AT762" s="0" t="s">
        <v>2601</v>
      </c>
      <c r="AU762" s="0" t="s">
        <v>2613</v>
      </c>
      <c r="AY762" s="0" t="s">
        <v>7793</v>
      </c>
      <c r="CA762" s="0" t="s">
        <v>7745</v>
      </c>
    </row>
    <row r="763" customFormat="false" ht="12.8" hidden="false" customHeight="false" outlineLevel="0" collapsed="false">
      <c r="B763" s="0" t="s">
        <v>7794</v>
      </c>
      <c r="C763" s="0" t="s">
        <v>1056</v>
      </c>
      <c r="D763" s="0" t="s">
        <v>1057</v>
      </c>
      <c r="E763" s="0" t="s">
        <v>7795</v>
      </c>
      <c r="L763" s="0" t="str">
        <f aca="false">"1749"</f>
        <v>1749</v>
      </c>
      <c r="O763" s="0" t="s">
        <v>7796</v>
      </c>
      <c r="R763" s="0" t="s">
        <v>7797</v>
      </c>
      <c r="T763" s="0" t="s">
        <v>1057</v>
      </c>
      <c r="AB763" s="0" t="s">
        <v>7798</v>
      </c>
      <c r="AT763" s="0" t="s">
        <v>2601</v>
      </c>
      <c r="AU763" s="0" t="s">
        <v>2613</v>
      </c>
      <c r="AY763" s="0" t="s">
        <v>7799</v>
      </c>
      <c r="CA763" s="0" t="s">
        <v>7745</v>
      </c>
    </row>
    <row r="764" customFormat="false" ht="12.8" hidden="false" customHeight="false" outlineLevel="0" collapsed="false">
      <c r="B764" s="0" t="s">
        <v>7800</v>
      </c>
      <c r="C764" s="0" t="s">
        <v>1056</v>
      </c>
      <c r="D764" s="0" t="s">
        <v>1057</v>
      </c>
      <c r="E764" s="0" t="s">
        <v>7801</v>
      </c>
      <c r="L764" s="0" t="str">
        <f aca="false">"1749"</f>
        <v>1749</v>
      </c>
      <c r="O764" s="0" t="s">
        <v>7802</v>
      </c>
      <c r="R764" s="0" t="s">
        <v>7803</v>
      </c>
      <c r="T764" s="0" t="s">
        <v>1057</v>
      </c>
      <c r="AB764" s="0" t="s">
        <v>7804</v>
      </c>
      <c r="AT764" s="0" t="s">
        <v>2601</v>
      </c>
      <c r="AU764" s="0" t="s">
        <v>2613</v>
      </c>
      <c r="AY764" s="0" t="s">
        <v>7805</v>
      </c>
      <c r="CA764" s="0" t="s">
        <v>7745</v>
      </c>
    </row>
    <row r="765" customFormat="false" ht="12.8" hidden="false" customHeight="false" outlineLevel="0" collapsed="false">
      <c r="B765" s="0" t="s">
        <v>7806</v>
      </c>
      <c r="C765" s="0" t="s">
        <v>1056</v>
      </c>
      <c r="D765" s="0" t="s">
        <v>1057</v>
      </c>
      <c r="E765" s="0" t="s">
        <v>7807</v>
      </c>
      <c r="L765" s="0" t="str">
        <f aca="false">"1749"</f>
        <v>1749</v>
      </c>
      <c r="O765" s="0" t="s">
        <v>7808</v>
      </c>
      <c r="R765" s="0" t="s">
        <v>7809</v>
      </c>
      <c r="T765" s="0" t="s">
        <v>2847</v>
      </c>
      <c r="AB765" s="0" t="s">
        <v>7798</v>
      </c>
      <c r="AT765" s="0" t="s">
        <v>2601</v>
      </c>
      <c r="AU765" s="0" t="s">
        <v>2613</v>
      </c>
      <c r="AY765" s="0" t="s">
        <v>7810</v>
      </c>
      <c r="CA765" s="0" t="s">
        <v>7745</v>
      </c>
    </row>
    <row r="766" customFormat="false" ht="12.8" hidden="false" customHeight="false" outlineLevel="0" collapsed="false">
      <c r="B766" s="0" t="s">
        <v>7811</v>
      </c>
      <c r="C766" s="0" t="s">
        <v>1056</v>
      </c>
      <c r="D766" s="0" t="s">
        <v>1057</v>
      </c>
      <c r="E766" s="0" t="s">
        <v>7812</v>
      </c>
      <c r="L766" s="0" t="str">
        <f aca="false">"1749"</f>
        <v>1749</v>
      </c>
      <c r="O766" s="0" t="s">
        <v>7813</v>
      </c>
      <c r="R766" s="0" t="s">
        <v>7814</v>
      </c>
      <c r="T766" s="0" t="s">
        <v>1057</v>
      </c>
      <c r="AB766" s="0" t="s">
        <v>7815</v>
      </c>
      <c r="AT766" s="0" t="s">
        <v>2601</v>
      </c>
      <c r="AU766" s="0" t="s">
        <v>2613</v>
      </c>
      <c r="AY766" s="0" t="s">
        <v>7816</v>
      </c>
      <c r="CA766" s="0" t="s">
        <v>7745</v>
      </c>
    </row>
    <row r="767" customFormat="false" ht="12.8" hidden="false" customHeight="false" outlineLevel="0" collapsed="false">
      <c r="B767" s="0" t="s">
        <v>7817</v>
      </c>
      <c r="C767" s="0" t="s">
        <v>1056</v>
      </c>
      <c r="D767" s="0" t="s">
        <v>1057</v>
      </c>
      <c r="E767" s="0" t="s">
        <v>7818</v>
      </c>
      <c r="L767" s="0" t="str">
        <f aca="false">"1749"</f>
        <v>1749</v>
      </c>
      <c r="O767" s="0" t="s">
        <v>7819</v>
      </c>
      <c r="R767" s="0" t="s">
        <v>7820</v>
      </c>
      <c r="T767" s="0" t="s">
        <v>1057</v>
      </c>
      <c r="AB767" s="0" t="s">
        <v>7821</v>
      </c>
      <c r="AT767" s="0" t="s">
        <v>2601</v>
      </c>
      <c r="AU767" s="0" t="s">
        <v>2613</v>
      </c>
      <c r="AY767" s="0" t="s">
        <v>7822</v>
      </c>
      <c r="CA767" s="0" t="s">
        <v>7745</v>
      </c>
    </row>
    <row r="768" customFormat="false" ht="12.8" hidden="false" customHeight="false" outlineLevel="0" collapsed="false">
      <c r="B768" s="0" t="s">
        <v>7823</v>
      </c>
      <c r="C768" s="0" t="s">
        <v>1056</v>
      </c>
      <c r="D768" s="0" t="s">
        <v>1057</v>
      </c>
      <c r="E768" s="0" t="s">
        <v>7824</v>
      </c>
      <c r="L768" s="0" t="str">
        <f aca="false">"1749"</f>
        <v>1749</v>
      </c>
      <c r="O768" s="0" t="s">
        <v>7825</v>
      </c>
      <c r="R768" s="0" t="s">
        <v>7826</v>
      </c>
      <c r="T768" s="0" t="s">
        <v>1057</v>
      </c>
      <c r="AB768" s="0" t="s">
        <v>7827</v>
      </c>
      <c r="AT768" s="0" t="s">
        <v>2601</v>
      </c>
      <c r="AU768" s="0" t="s">
        <v>2613</v>
      </c>
      <c r="AY768" s="0" t="s">
        <v>7828</v>
      </c>
      <c r="CA768" s="0" t="s">
        <v>7745</v>
      </c>
    </row>
    <row r="769" customFormat="false" ht="12.8" hidden="false" customHeight="false" outlineLevel="0" collapsed="false">
      <c r="B769" s="0" t="s">
        <v>7829</v>
      </c>
      <c r="C769" s="0" t="s">
        <v>1056</v>
      </c>
      <c r="D769" s="0" t="s">
        <v>1057</v>
      </c>
      <c r="E769" s="0" t="s">
        <v>7830</v>
      </c>
      <c r="L769" s="0" t="str">
        <f aca="false">"1749"</f>
        <v>1749</v>
      </c>
      <c r="O769" s="0" t="s">
        <v>7831</v>
      </c>
      <c r="R769" s="0" t="s">
        <v>7832</v>
      </c>
      <c r="T769" s="0" t="s">
        <v>1057</v>
      </c>
      <c r="AB769" s="0" t="s">
        <v>7833</v>
      </c>
      <c r="AT769" s="0" t="s">
        <v>2601</v>
      </c>
      <c r="AU769" s="0" t="s">
        <v>2613</v>
      </c>
      <c r="AY769" s="0" t="s">
        <v>7834</v>
      </c>
      <c r="CA769" s="0" t="s">
        <v>7745</v>
      </c>
    </row>
    <row r="770" customFormat="false" ht="12.8" hidden="false" customHeight="false" outlineLevel="0" collapsed="false">
      <c r="B770" s="0" t="s">
        <v>7835</v>
      </c>
      <c r="C770" s="0" t="s">
        <v>1056</v>
      </c>
      <c r="D770" s="0" t="s">
        <v>1057</v>
      </c>
      <c r="E770" s="0" t="s">
        <v>7836</v>
      </c>
      <c r="L770" s="0" t="str">
        <f aca="false">"1749"</f>
        <v>1749</v>
      </c>
      <c r="O770" s="0" t="s">
        <v>7837</v>
      </c>
      <c r="R770" s="0" t="s">
        <v>7838</v>
      </c>
      <c r="T770" s="0" t="s">
        <v>1057</v>
      </c>
      <c r="AB770" s="0" t="s">
        <v>7839</v>
      </c>
      <c r="AT770" s="0" t="s">
        <v>2601</v>
      </c>
      <c r="AU770" s="0" t="s">
        <v>2613</v>
      </c>
      <c r="AY770" s="0" t="s">
        <v>7840</v>
      </c>
      <c r="CA770" s="0" t="s">
        <v>7745</v>
      </c>
    </row>
    <row r="771" customFormat="false" ht="12.8" hidden="false" customHeight="false" outlineLevel="0" collapsed="false">
      <c r="B771" s="0" t="s">
        <v>7841</v>
      </c>
      <c r="C771" s="0" t="s">
        <v>1056</v>
      </c>
      <c r="D771" s="0" t="s">
        <v>1057</v>
      </c>
      <c r="E771" s="0" t="s">
        <v>7842</v>
      </c>
      <c r="L771" s="0" t="str">
        <f aca="false">"1749"</f>
        <v>1749</v>
      </c>
      <c r="O771" s="0" t="s">
        <v>7843</v>
      </c>
      <c r="R771" s="0" t="s">
        <v>7844</v>
      </c>
      <c r="T771" s="0" t="s">
        <v>7845</v>
      </c>
      <c r="AB771" s="0" t="s">
        <v>7846</v>
      </c>
      <c r="AT771" s="0" t="s">
        <v>2601</v>
      </c>
      <c r="AU771" s="0" t="s">
        <v>2613</v>
      </c>
      <c r="AY771" s="0" t="s">
        <v>7847</v>
      </c>
      <c r="CA771" s="0" t="s">
        <v>7745</v>
      </c>
    </row>
    <row r="772" customFormat="false" ht="33.1" hidden="false" customHeight="false" outlineLevel="0" collapsed="false">
      <c r="B772" s="0" t="s">
        <v>7848</v>
      </c>
      <c r="C772" s="0" t="s">
        <v>1056</v>
      </c>
      <c r="D772" s="0" t="s">
        <v>1057</v>
      </c>
      <c r="E772" s="0" t="s">
        <v>7849</v>
      </c>
      <c r="L772" s="0" t="str">
        <f aca="false">"1749"</f>
        <v>1749</v>
      </c>
      <c r="O772" s="0" t="s">
        <v>7850</v>
      </c>
      <c r="R772" s="1" t="s">
        <v>7851</v>
      </c>
      <c r="T772" s="0" t="s">
        <v>4707</v>
      </c>
      <c r="AB772" s="0" t="s">
        <v>7852</v>
      </c>
      <c r="AT772" s="0" t="s">
        <v>2601</v>
      </c>
      <c r="AU772" s="0" t="s">
        <v>2613</v>
      </c>
      <c r="AY772" s="0" t="s">
        <v>7853</v>
      </c>
      <c r="CA772" s="0" t="s">
        <v>7745</v>
      </c>
    </row>
    <row r="773" customFormat="false" ht="22.5" hidden="false" customHeight="false" outlineLevel="0" collapsed="false">
      <c r="B773" s="0" t="s">
        <v>7854</v>
      </c>
      <c r="C773" s="0" t="s">
        <v>1056</v>
      </c>
      <c r="D773" s="0" t="s">
        <v>1057</v>
      </c>
      <c r="E773" s="0" t="s">
        <v>7855</v>
      </c>
      <c r="L773" s="0" t="str">
        <f aca="false">"1749"</f>
        <v>1749</v>
      </c>
      <c r="O773" s="0" t="s">
        <v>7856</v>
      </c>
      <c r="R773" s="1" t="s">
        <v>7857</v>
      </c>
      <c r="T773" s="0" t="s">
        <v>1057</v>
      </c>
      <c r="AB773" s="0" t="s">
        <v>7858</v>
      </c>
      <c r="AT773" s="0" t="s">
        <v>2601</v>
      </c>
      <c r="AU773" s="0" t="s">
        <v>2613</v>
      </c>
      <c r="AY773" s="0" t="s">
        <v>7859</v>
      </c>
      <c r="CA773" s="0" t="s">
        <v>7745</v>
      </c>
    </row>
    <row r="774" customFormat="false" ht="22.5" hidden="false" customHeight="false" outlineLevel="0" collapsed="false">
      <c r="A774" s="0" t="s">
        <v>445</v>
      </c>
      <c r="B774" s="0" t="s">
        <v>7860</v>
      </c>
      <c r="C774" s="0" t="s">
        <v>895</v>
      </c>
      <c r="D774" s="0" t="s">
        <v>896</v>
      </c>
      <c r="E774" s="0" t="s">
        <v>7861</v>
      </c>
      <c r="F774" s="0" t="s">
        <v>192</v>
      </c>
      <c r="H774" s="0" t="s">
        <v>102</v>
      </c>
      <c r="L774" s="0" t="str">
        <f aca="false">"1750"</f>
        <v>1750</v>
      </c>
      <c r="M774" s="1" t="s">
        <v>898</v>
      </c>
      <c r="O774" s="1" t="s">
        <v>7862</v>
      </c>
      <c r="T774" s="0" t="s">
        <v>1150</v>
      </c>
      <c r="AA774" s="0" t="str">
        <f aca="false">"10977740"</f>
        <v>10977740</v>
      </c>
      <c r="AB774" s="0" t="s">
        <v>7863</v>
      </c>
      <c r="AS774" s="0" t="s">
        <v>6136</v>
      </c>
      <c r="AT774" s="0" t="s">
        <v>2601</v>
      </c>
      <c r="AU774" s="0" t="s">
        <v>872</v>
      </c>
      <c r="AY774" s="0" t="s">
        <v>7864</v>
      </c>
      <c r="BC774" s="0" t="str">
        <f aca="false">"644835516"</f>
        <v>644835516</v>
      </c>
      <c r="BD774" s="0" t="s">
        <v>873</v>
      </c>
      <c r="BE774" s="0" t="s">
        <v>7865</v>
      </c>
      <c r="BJ774" s="0" t="s">
        <v>118</v>
      </c>
      <c r="BX774" s="0" t="s">
        <v>7866</v>
      </c>
      <c r="CI774" s="0" t="s">
        <v>7866</v>
      </c>
      <c r="CJ774" s="0" t="s">
        <v>7867</v>
      </c>
      <c r="CO774" s="0" t="s">
        <v>7860</v>
      </c>
      <c r="CR774" s="0" t="s">
        <v>7868</v>
      </c>
    </row>
    <row r="775" customFormat="false" ht="22.5" hidden="false" customHeight="false" outlineLevel="0" collapsed="false">
      <c r="A775" s="0" t="s">
        <v>445</v>
      </c>
      <c r="B775" s="0" t="s">
        <v>7869</v>
      </c>
      <c r="C775" s="0" t="s">
        <v>1685</v>
      </c>
      <c r="D775" s="0" t="s">
        <v>1686</v>
      </c>
      <c r="E775" s="0" t="s">
        <v>7870</v>
      </c>
      <c r="L775" s="0" t="str">
        <f aca="false">"1751"</f>
        <v>1751</v>
      </c>
      <c r="O775" s="1" t="s">
        <v>7871</v>
      </c>
      <c r="R775" s="0" t="s">
        <v>7872</v>
      </c>
      <c r="T775" s="0" t="s">
        <v>398</v>
      </c>
      <c r="AA775" s="0" t="str">
        <f aca="false">"11334614"</f>
        <v>11334614</v>
      </c>
      <c r="AB775" s="0" t="s">
        <v>7873</v>
      </c>
      <c r="AS775" s="0" t="s">
        <v>4363</v>
      </c>
      <c r="AT775" s="0" t="s">
        <v>2601</v>
      </c>
      <c r="AU775" s="0" t="s">
        <v>2457</v>
      </c>
      <c r="AY775" s="0" t="s">
        <v>7874</v>
      </c>
      <c r="BX775" s="0" t="s">
        <v>7875</v>
      </c>
      <c r="CB775" s="0" t="str">
        <f aca="false">"17.01.1746"</f>
        <v>17.01.1746</v>
      </c>
      <c r="CI775" s="0" t="s">
        <v>7875</v>
      </c>
    </row>
    <row r="776" customFormat="false" ht="12.8" hidden="false" customHeight="false" outlineLevel="0" collapsed="false">
      <c r="B776" s="0" t="s">
        <v>7876</v>
      </c>
      <c r="C776" s="0" t="s">
        <v>1056</v>
      </c>
      <c r="D776" s="0" t="s">
        <v>1057</v>
      </c>
      <c r="E776" s="0" t="s">
        <v>7877</v>
      </c>
      <c r="L776" s="0" t="str">
        <f aca="false">"1751"</f>
        <v>1751</v>
      </c>
      <c r="O776" s="0" t="s">
        <v>7878</v>
      </c>
      <c r="R776" s="0" t="s">
        <v>7879</v>
      </c>
      <c r="T776" s="0" t="s">
        <v>1057</v>
      </c>
      <c r="AB776" s="0" t="s">
        <v>7880</v>
      </c>
      <c r="AT776" s="0" t="s">
        <v>2601</v>
      </c>
      <c r="AU776" s="0" t="s">
        <v>2613</v>
      </c>
      <c r="AY776" s="0" t="s">
        <v>7881</v>
      </c>
      <c r="CA776" s="0" t="s">
        <v>7745</v>
      </c>
    </row>
    <row r="777" customFormat="false" ht="12.8" hidden="false" customHeight="false" outlineLevel="0" collapsed="false">
      <c r="A777" s="0" t="s">
        <v>445</v>
      </c>
      <c r="B777" s="0" t="s">
        <v>7882</v>
      </c>
      <c r="C777" s="0" t="s">
        <v>1685</v>
      </c>
      <c r="D777" s="0" t="s">
        <v>1686</v>
      </c>
      <c r="E777" s="0" t="s">
        <v>7883</v>
      </c>
      <c r="L777" s="0" t="str">
        <f aca="false">"1755"</f>
        <v>1755</v>
      </c>
      <c r="M777" s="0" t="s">
        <v>448</v>
      </c>
      <c r="O777" s="0" t="s">
        <v>7884</v>
      </c>
      <c r="R777" s="0" t="s">
        <v>7885</v>
      </c>
      <c r="T777" s="0" t="s">
        <v>243</v>
      </c>
      <c r="AA777" s="0" t="str">
        <f aca="false">"11214341"</f>
        <v>11214341</v>
      </c>
      <c r="AB777" s="0" t="s">
        <v>7886</v>
      </c>
      <c r="AR777" s="0" t="s">
        <v>2794</v>
      </c>
      <c r="AT777" s="0" t="s">
        <v>2601</v>
      </c>
      <c r="AU777" s="0" t="s">
        <v>2457</v>
      </c>
      <c r="AY777" s="0" t="s">
        <v>7887</v>
      </c>
      <c r="AZ777" s="0" t="s">
        <v>7888</v>
      </c>
      <c r="BX777" s="0" t="s">
        <v>7889</v>
      </c>
      <c r="CB777" s="0" t="str">
        <f aca="false">"29.09.1755"</f>
        <v>29.09.1755</v>
      </c>
      <c r="CI777" s="0" t="s">
        <v>7889</v>
      </c>
    </row>
    <row r="778" customFormat="false" ht="12.8" hidden="false" customHeight="false" outlineLevel="0" collapsed="false">
      <c r="A778" s="0" t="s">
        <v>445</v>
      </c>
      <c r="B778" s="0" t="s">
        <v>7890</v>
      </c>
      <c r="C778" s="0" t="s">
        <v>895</v>
      </c>
      <c r="D778" s="0" t="s">
        <v>896</v>
      </c>
      <c r="E778" s="0" t="s">
        <v>7891</v>
      </c>
      <c r="L778" s="0" t="str">
        <f aca="false">"1755"</f>
        <v>1755</v>
      </c>
      <c r="O778" s="0" t="s">
        <v>7892</v>
      </c>
      <c r="R778" s="0" t="s">
        <v>7893</v>
      </c>
      <c r="T778" s="0" t="s">
        <v>532</v>
      </c>
      <c r="AA778" s="0" t="str">
        <f aca="false">"10121293"</f>
        <v>10121293</v>
      </c>
      <c r="AB778" s="0" t="s">
        <v>7894</v>
      </c>
      <c r="AS778" s="0" t="s">
        <v>4557</v>
      </c>
      <c r="AT778" s="0" t="s">
        <v>2601</v>
      </c>
      <c r="AU778" s="0" t="s">
        <v>2457</v>
      </c>
      <c r="AY778" s="0" t="s">
        <v>7895</v>
      </c>
      <c r="BC778" s="0" t="str">
        <f aca="false">"300816480"</f>
        <v>300816480</v>
      </c>
      <c r="BX778" s="0" t="s">
        <v>7896</v>
      </c>
      <c r="CB778" s="0" t="str">
        <f aca="false">"29.09.1755"</f>
        <v>29.09.1755</v>
      </c>
      <c r="CI778" s="0" t="s">
        <v>7896</v>
      </c>
    </row>
    <row r="779" customFormat="false" ht="12.8" hidden="false" customHeight="false" outlineLevel="0" collapsed="false">
      <c r="A779" s="0" t="s">
        <v>445</v>
      </c>
      <c r="B779" s="0" t="s">
        <v>7897</v>
      </c>
      <c r="C779" s="0" t="s">
        <v>1685</v>
      </c>
      <c r="D779" s="0" t="s">
        <v>1686</v>
      </c>
      <c r="E779" s="0" t="s">
        <v>7898</v>
      </c>
      <c r="L779" s="0" t="str">
        <f aca="false">"1755"</f>
        <v>1755</v>
      </c>
      <c r="O779" s="0" t="s">
        <v>6101</v>
      </c>
      <c r="R779" s="0" t="s">
        <v>7899</v>
      </c>
      <c r="T779" s="0" t="s">
        <v>1113</v>
      </c>
      <c r="AA779" s="0" t="str">
        <f aca="false">"11113871"</f>
        <v>11113871</v>
      </c>
      <c r="AB779" s="0" t="s">
        <v>7900</v>
      </c>
      <c r="AS779" s="0" t="s">
        <v>6662</v>
      </c>
      <c r="AT779" s="0" t="s">
        <v>2601</v>
      </c>
      <c r="AU779" s="0" t="s">
        <v>2457</v>
      </c>
      <c r="AY779" s="0" t="s">
        <v>7901</v>
      </c>
      <c r="BX779" s="0" t="s">
        <v>7902</v>
      </c>
      <c r="CI779" s="0" t="s">
        <v>7902</v>
      </c>
      <c r="CP779" s="0" t="s">
        <v>7903</v>
      </c>
    </row>
    <row r="780" customFormat="false" ht="12.8" hidden="false" customHeight="false" outlineLevel="0" collapsed="false">
      <c r="A780" s="0" t="s">
        <v>445</v>
      </c>
      <c r="B780" s="0" t="s">
        <v>7904</v>
      </c>
      <c r="C780" s="0" t="s">
        <v>7905</v>
      </c>
      <c r="D780" s="0" t="s">
        <v>1150</v>
      </c>
      <c r="E780" s="0" t="s">
        <v>7906</v>
      </c>
      <c r="L780" s="0" t="str">
        <f aca="false">"1755"</f>
        <v>1755</v>
      </c>
      <c r="O780" s="0" t="s">
        <v>7907</v>
      </c>
      <c r="R780" s="0" t="s">
        <v>7908</v>
      </c>
      <c r="T780" s="0" t="s">
        <v>1150</v>
      </c>
      <c r="AS780" s="0" t="s">
        <v>7909</v>
      </c>
      <c r="AT780" s="0" t="s">
        <v>2601</v>
      </c>
      <c r="AU780" s="0" t="s">
        <v>2457</v>
      </c>
      <c r="AY780" s="0" t="s">
        <v>7910</v>
      </c>
      <c r="AZ780" s="0" t="s">
        <v>7911</v>
      </c>
      <c r="BC780" s="2" t="s">
        <v>7912</v>
      </c>
    </row>
    <row r="781" customFormat="false" ht="22.5" hidden="false" customHeight="false" outlineLevel="0" collapsed="false">
      <c r="A781" s="0" t="s">
        <v>445</v>
      </c>
      <c r="B781" s="0" t="s">
        <v>7913</v>
      </c>
      <c r="C781" s="0" t="s">
        <v>895</v>
      </c>
      <c r="D781" s="0" t="s">
        <v>896</v>
      </c>
      <c r="E781" s="0" t="s">
        <v>7914</v>
      </c>
      <c r="L781" s="0" t="str">
        <f aca="false">"1755"</f>
        <v>1755</v>
      </c>
      <c r="M781" s="0" t="s">
        <v>448</v>
      </c>
      <c r="O781" s="0" t="s">
        <v>7915</v>
      </c>
      <c r="Q781" s="0" t="str">
        <f aca="false">"2."</f>
        <v>2.</v>
      </c>
      <c r="R781" s="1" t="s">
        <v>7916</v>
      </c>
      <c r="T781" s="0" t="s">
        <v>6479</v>
      </c>
      <c r="AA781" s="0" t="str">
        <f aca="false">"90006666"</f>
        <v>90006666</v>
      </c>
      <c r="AB781" s="0" t="s">
        <v>7917</v>
      </c>
      <c r="AS781" s="0" t="s">
        <v>4251</v>
      </c>
      <c r="AT781" s="0" t="s">
        <v>2601</v>
      </c>
      <c r="AU781" s="0" t="s">
        <v>2457</v>
      </c>
      <c r="AY781" s="0" t="s">
        <v>7918</v>
      </c>
      <c r="AZ781" s="0" t="s">
        <v>7919</v>
      </c>
      <c r="BC781" s="0" t="str">
        <f aca="false">"231470541"</f>
        <v>231470541</v>
      </c>
      <c r="BX781" s="0" t="s">
        <v>7920</v>
      </c>
      <c r="CI781" s="0" t="s">
        <v>7920</v>
      </c>
    </row>
    <row r="782" customFormat="false" ht="12.8" hidden="false" customHeight="false" outlineLevel="0" collapsed="false">
      <c r="A782" s="0" t="s">
        <v>445</v>
      </c>
      <c r="B782" s="0" t="s">
        <v>7921</v>
      </c>
      <c r="C782" s="0" t="s">
        <v>4766</v>
      </c>
      <c r="D782" s="0" t="s">
        <v>247</v>
      </c>
      <c r="E782" s="0" t="s">
        <v>7922</v>
      </c>
      <c r="L782" s="0" t="str">
        <f aca="false">"1755"</f>
        <v>1755</v>
      </c>
      <c r="M782" s="0" t="s">
        <v>448</v>
      </c>
      <c r="O782" s="0" t="s">
        <v>7923</v>
      </c>
      <c r="R782" s="0" t="s">
        <v>7924</v>
      </c>
      <c r="T782" s="0" t="s">
        <v>4139</v>
      </c>
      <c r="AB782" s="0" t="s">
        <v>7925</v>
      </c>
      <c r="AP782" s="0" t="s">
        <v>7926</v>
      </c>
      <c r="AQ782" s="0" t="s">
        <v>7927</v>
      </c>
      <c r="AS782" s="0" t="s">
        <v>4557</v>
      </c>
      <c r="AT782" s="0" t="s">
        <v>2601</v>
      </c>
      <c r="AU782" s="0" t="s">
        <v>2457</v>
      </c>
      <c r="AY782" s="0" t="s">
        <v>7928</v>
      </c>
      <c r="AZ782" s="0" t="s">
        <v>7929</v>
      </c>
      <c r="BX782" s="0" t="s">
        <v>7930</v>
      </c>
      <c r="CC782" s="0" t="s">
        <v>7931</v>
      </c>
      <c r="CI782" s="0" t="s">
        <v>7930</v>
      </c>
    </row>
    <row r="783" customFormat="false" ht="22.5" hidden="false" customHeight="false" outlineLevel="0" collapsed="false">
      <c r="A783" s="0" t="s">
        <v>445</v>
      </c>
      <c r="B783" s="0" t="s">
        <v>7926</v>
      </c>
      <c r="C783" s="0" t="s">
        <v>4766</v>
      </c>
      <c r="D783" s="0" t="s">
        <v>247</v>
      </c>
      <c r="E783" s="0" t="s">
        <v>7922</v>
      </c>
      <c r="L783" s="0" t="str">
        <f aca="false">"1755"</f>
        <v>1755</v>
      </c>
      <c r="R783" s="0" t="s">
        <v>7924</v>
      </c>
      <c r="T783" s="0" t="s">
        <v>4139</v>
      </c>
      <c r="AA783" s="0" t="s">
        <v>7932</v>
      </c>
      <c r="AB783" s="0" t="s">
        <v>7933</v>
      </c>
      <c r="AS783" s="0" t="s">
        <v>7934</v>
      </c>
      <c r="AT783" s="0" t="s">
        <v>2601</v>
      </c>
      <c r="AU783" s="0" t="s">
        <v>2457</v>
      </c>
      <c r="AY783" s="0" t="s">
        <v>7935</v>
      </c>
      <c r="AZ783" s="0" t="s">
        <v>7936</v>
      </c>
      <c r="BX783" s="0" t="s">
        <v>7937</v>
      </c>
      <c r="CI783" s="0" t="s">
        <v>7937</v>
      </c>
      <c r="CP783" s="1" t="s">
        <v>7938</v>
      </c>
    </row>
    <row r="784" customFormat="false" ht="12.8" hidden="false" customHeight="false" outlineLevel="0" collapsed="false">
      <c r="B784" s="0" t="s">
        <v>7939</v>
      </c>
      <c r="C784" s="0" t="s">
        <v>4766</v>
      </c>
      <c r="D784" s="0" t="s">
        <v>247</v>
      </c>
      <c r="E784" s="0" t="s">
        <v>7922</v>
      </c>
      <c r="L784" s="0" t="str">
        <f aca="false">"1755"</f>
        <v>1755</v>
      </c>
      <c r="O784" s="0" t="s">
        <v>7940</v>
      </c>
      <c r="R784" s="0" t="s">
        <v>7924</v>
      </c>
      <c r="T784" s="0" t="s">
        <v>4139</v>
      </c>
      <c r="AB784" s="0" t="s">
        <v>7941</v>
      </c>
      <c r="AP784" s="0" t="s">
        <v>7926</v>
      </c>
      <c r="AQ784" s="0" t="s">
        <v>7942</v>
      </c>
      <c r="AS784" s="0" t="s">
        <v>4557</v>
      </c>
      <c r="AT784" s="0" t="s">
        <v>2601</v>
      </c>
      <c r="AU784" s="0" t="s">
        <v>2457</v>
      </c>
      <c r="AZ784" s="0" t="s">
        <v>7943</v>
      </c>
      <c r="BX784" s="0" t="s">
        <v>7944</v>
      </c>
      <c r="CB784" s="0" t="str">
        <f aca="false">"28.09.1755"</f>
        <v>28.09.1755</v>
      </c>
      <c r="CI784" s="0" t="s">
        <v>7944</v>
      </c>
    </row>
    <row r="785" customFormat="false" ht="12.8" hidden="false" customHeight="false" outlineLevel="0" collapsed="false">
      <c r="A785" s="0" t="s">
        <v>445</v>
      </c>
      <c r="B785" s="0" t="s">
        <v>7945</v>
      </c>
      <c r="C785" s="0" t="s">
        <v>3941</v>
      </c>
      <c r="D785" s="0" t="s">
        <v>3070</v>
      </c>
      <c r="E785" s="0" t="s">
        <v>7946</v>
      </c>
      <c r="L785" s="0" t="str">
        <f aca="false">"1755"</f>
        <v>1755</v>
      </c>
      <c r="M785" s="0" t="s">
        <v>1993</v>
      </c>
      <c r="O785" s="0" t="s">
        <v>7947</v>
      </c>
      <c r="R785" s="0" t="s">
        <v>7948</v>
      </c>
      <c r="T785" s="0" t="s">
        <v>398</v>
      </c>
      <c r="AA785" s="0" t="str">
        <f aca="false">"12988146"</f>
        <v>12988146</v>
      </c>
      <c r="AB785" s="0" t="s">
        <v>7949</v>
      </c>
      <c r="AS785" s="0" t="s">
        <v>7950</v>
      </c>
      <c r="AT785" s="0" t="s">
        <v>2601</v>
      </c>
      <c r="AU785" s="0" t="s">
        <v>2457</v>
      </c>
      <c r="AY785" s="0" t="s">
        <v>7951</v>
      </c>
      <c r="BC785" s="0" t="s">
        <v>7952</v>
      </c>
      <c r="BX785" s="0" t="s">
        <v>7953</v>
      </c>
      <c r="CI785" s="0" t="s">
        <v>7953</v>
      </c>
    </row>
    <row r="786" customFormat="false" ht="12.8" hidden="false" customHeight="false" outlineLevel="0" collapsed="false">
      <c r="A786" s="0" t="s">
        <v>445</v>
      </c>
      <c r="B786" s="0" t="s">
        <v>7954</v>
      </c>
      <c r="C786" s="0" t="s">
        <v>5035</v>
      </c>
      <c r="D786" s="0" t="s">
        <v>1416</v>
      </c>
      <c r="E786" s="0" t="s">
        <v>7955</v>
      </c>
      <c r="L786" s="0" t="str">
        <f aca="false">"1755"</f>
        <v>1755</v>
      </c>
      <c r="O786" s="0" t="s">
        <v>7956</v>
      </c>
      <c r="R786" s="0" t="s">
        <v>7957</v>
      </c>
      <c r="T786" s="0" t="s">
        <v>1150</v>
      </c>
      <c r="AQ786" s="0" t="str">
        <f aca="false">"337606870"</f>
        <v>337606870</v>
      </c>
      <c r="AS786" s="0" t="s">
        <v>5977</v>
      </c>
      <c r="AT786" s="0" t="s">
        <v>2601</v>
      </c>
      <c r="AU786" s="0" t="s">
        <v>2457</v>
      </c>
      <c r="AY786" s="0" t="s">
        <v>7958</v>
      </c>
      <c r="AZ786" s="0" t="s">
        <v>7959</v>
      </c>
    </row>
    <row r="787" customFormat="false" ht="12.8" hidden="false" customHeight="false" outlineLevel="0" collapsed="false">
      <c r="A787" s="0" t="s">
        <v>445</v>
      </c>
      <c r="B787" s="0" t="s">
        <v>7913</v>
      </c>
      <c r="C787" s="0" t="s">
        <v>3941</v>
      </c>
      <c r="D787" s="0" t="s">
        <v>3070</v>
      </c>
      <c r="E787" s="0" t="s">
        <v>7960</v>
      </c>
      <c r="L787" s="0" t="str">
        <f aca="false">"1755"</f>
        <v>1755</v>
      </c>
      <c r="M787" s="0" t="s">
        <v>1993</v>
      </c>
      <c r="O787" s="0" t="s">
        <v>7961</v>
      </c>
      <c r="R787" s="0" t="s">
        <v>7962</v>
      </c>
      <c r="T787" s="0" t="s">
        <v>7963</v>
      </c>
      <c r="AA787" s="0" t="str">
        <f aca="false">"12981419"</f>
        <v>12981419</v>
      </c>
      <c r="AB787" s="0" t="s">
        <v>7964</v>
      </c>
      <c r="AS787" s="0" t="str">
        <f aca="false">"30"</f>
        <v>30</v>
      </c>
      <c r="AT787" s="0" t="s">
        <v>2601</v>
      </c>
      <c r="AU787" s="0" t="s">
        <v>2457</v>
      </c>
      <c r="AZ787" s="0" t="s">
        <v>7965</v>
      </c>
      <c r="BX787" s="0" t="s">
        <v>7966</v>
      </c>
      <c r="CI787" s="0" t="s">
        <v>7966</v>
      </c>
    </row>
    <row r="788" customFormat="false" ht="12.8" hidden="false" customHeight="false" outlineLevel="0" collapsed="false">
      <c r="B788" s="0" t="s">
        <v>7967</v>
      </c>
      <c r="C788" s="0" t="s">
        <v>397</v>
      </c>
      <c r="D788" s="0" t="s">
        <v>398</v>
      </c>
      <c r="E788" s="0" t="s">
        <v>7968</v>
      </c>
      <c r="L788" s="0" t="str">
        <f aca="false">"1755"</f>
        <v>1755</v>
      </c>
      <c r="M788" s="0" t="s">
        <v>448</v>
      </c>
      <c r="O788" s="0" t="s">
        <v>7969</v>
      </c>
      <c r="R788" s="0" t="s">
        <v>7970</v>
      </c>
      <c r="T788" s="0" t="s">
        <v>7971</v>
      </c>
      <c r="AA788" s="0" t="str">
        <f aca="false">"11728884"</f>
        <v>11728884</v>
      </c>
      <c r="AB788" s="0" t="s">
        <v>7972</v>
      </c>
      <c r="AS788" s="0" t="s">
        <v>7973</v>
      </c>
      <c r="AT788" s="0" t="s">
        <v>2601</v>
      </c>
      <c r="AU788" s="0" t="s">
        <v>2457</v>
      </c>
      <c r="AY788" s="0" t="s">
        <v>7974</v>
      </c>
      <c r="BX788" s="0" t="s">
        <v>7975</v>
      </c>
      <c r="CB788" s="0" t="str">
        <f aca="false">"12.10.1755"</f>
        <v>12.10.1755</v>
      </c>
      <c r="CI788" s="0" t="s">
        <v>7975</v>
      </c>
    </row>
    <row r="789" customFormat="false" ht="12.8" hidden="false" customHeight="false" outlineLevel="0" collapsed="false">
      <c r="A789" s="0" t="s">
        <v>445</v>
      </c>
      <c r="B789" s="0" t="s">
        <v>7976</v>
      </c>
      <c r="C789" s="0" t="s">
        <v>895</v>
      </c>
      <c r="D789" s="0" t="s">
        <v>896</v>
      </c>
      <c r="E789" s="0" t="s">
        <v>7977</v>
      </c>
      <c r="L789" s="0" t="str">
        <f aca="false">"1755"</f>
        <v>1755</v>
      </c>
      <c r="M789" s="0" t="s">
        <v>448</v>
      </c>
      <c r="O789" s="0" t="s">
        <v>7978</v>
      </c>
      <c r="R789" s="0" t="s">
        <v>7979</v>
      </c>
      <c r="T789" s="0" t="s">
        <v>1985</v>
      </c>
      <c r="AA789" s="0" t="str">
        <f aca="false">"10926402"</f>
        <v>10926402</v>
      </c>
      <c r="AB789" s="0" t="s">
        <v>7980</v>
      </c>
      <c r="AG789" s="0" t="s">
        <v>2663</v>
      </c>
      <c r="AH789" s="0" t="s">
        <v>1985</v>
      </c>
      <c r="AI789" s="0" t="s">
        <v>7981</v>
      </c>
      <c r="AM789" s="0" t="s">
        <v>7982</v>
      </c>
      <c r="AS789" s="0" t="s">
        <v>7983</v>
      </c>
      <c r="AT789" s="0" t="s">
        <v>2601</v>
      </c>
      <c r="AU789" s="0" t="s">
        <v>2457</v>
      </c>
      <c r="AY789" s="0" t="s">
        <v>7984</v>
      </c>
      <c r="BX789" s="0" t="s">
        <v>7985</v>
      </c>
      <c r="CI789" s="0" t="s">
        <v>7985</v>
      </c>
    </row>
    <row r="790" customFormat="false" ht="43.75" hidden="false" customHeight="false" outlineLevel="0" collapsed="false">
      <c r="A790" s="0" t="s">
        <v>445</v>
      </c>
      <c r="B790" s="0" t="s">
        <v>7986</v>
      </c>
      <c r="C790" s="0" t="s">
        <v>1783</v>
      </c>
      <c r="D790" s="0" t="s">
        <v>1150</v>
      </c>
      <c r="E790" s="0" t="s">
        <v>7987</v>
      </c>
      <c r="F790" s="1" t="s">
        <v>201</v>
      </c>
      <c r="H790" s="0" t="s">
        <v>102</v>
      </c>
      <c r="L790" s="0" t="str">
        <f aca="false">"1756"</f>
        <v>1756</v>
      </c>
      <c r="M790" s="1" t="s">
        <v>7988</v>
      </c>
      <c r="O790" s="1" t="s">
        <v>7989</v>
      </c>
      <c r="T790" s="0" t="s">
        <v>1150</v>
      </c>
      <c r="AA790" s="0" t="str">
        <f aca="false">"13079158"</f>
        <v>13079158</v>
      </c>
      <c r="AB790" s="0" t="s">
        <v>7990</v>
      </c>
      <c r="AT790" s="0" t="s">
        <v>2601</v>
      </c>
      <c r="AU790" s="0" t="s">
        <v>112</v>
      </c>
      <c r="AY790" s="0" t="s">
        <v>7991</v>
      </c>
      <c r="AZ790" s="0" t="s">
        <v>7992</v>
      </c>
      <c r="BC790" s="0" t="str">
        <f aca="false">"880312467"</f>
        <v>880312467</v>
      </c>
      <c r="BD790" s="1" t="s">
        <v>7993</v>
      </c>
      <c r="BE790" s="1" t="s">
        <v>7994</v>
      </c>
      <c r="BJ790" s="0" t="s">
        <v>118</v>
      </c>
      <c r="BX790" s="0" t="s">
        <v>7995</v>
      </c>
      <c r="CF790" s="0" t="s">
        <v>7996</v>
      </c>
      <c r="CG790" s="0" t="s">
        <v>123</v>
      </c>
      <c r="CH790" s="0" t="s">
        <v>145</v>
      </c>
      <c r="CI790" s="0" t="s">
        <v>7995</v>
      </c>
      <c r="CJ790" s="0" t="s">
        <v>7997</v>
      </c>
      <c r="CL790" s="0" t="s">
        <v>7998</v>
      </c>
      <c r="CM790" s="0" t="s">
        <v>7998</v>
      </c>
      <c r="CO790" s="0" t="s">
        <v>7986</v>
      </c>
      <c r="CR790" s="0" t="s">
        <v>7999</v>
      </c>
    </row>
    <row r="791" customFormat="false" ht="12.8" hidden="false" customHeight="false" outlineLevel="0" collapsed="false">
      <c r="A791" s="0" t="s">
        <v>445</v>
      </c>
      <c r="B791" s="0" t="s">
        <v>8000</v>
      </c>
      <c r="C791" s="0" t="s">
        <v>1213</v>
      </c>
      <c r="D791" s="0" t="s">
        <v>1214</v>
      </c>
      <c r="E791" s="0" t="s">
        <v>8001</v>
      </c>
      <c r="L791" s="0" t="str">
        <f aca="false">"1756"</f>
        <v>1756</v>
      </c>
      <c r="O791" s="0" t="s">
        <v>8002</v>
      </c>
      <c r="R791" s="0" t="s">
        <v>8003</v>
      </c>
      <c r="T791" s="0" t="s">
        <v>8004</v>
      </c>
      <c r="AG791" s="0" t="s">
        <v>8005</v>
      </c>
      <c r="AH791" s="0" t="s">
        <v>8006</v>
      </c>
      <c r="AI791" s="0" t="s">
        <v>8007</v>
      </c>
      <c r="AS791" s="0" t="s">
        <v>4543</v>
      </c>
      <c r="AT791" s="0" t="s">
        <v>2601</v>
      </c>
      <c r="AU791" s="0" t="s">
        <v>892</v>
      </c>
      <c r="AY791" s="0" t="s">
        <v>8008</v>
      </c>
      <c r="BC791" s="0" t="str">
        <f aca="false">"591735156"</f>
        <v>591735156</v>
      </c>
    </row>
    <row r="792" customFormat="false" ht="12.8" hidden="false" customHeight="false" outlineLevel="0" collapsed="false">
      <c r="A792" s="0" t="s">
        <v>445</v>
      </c>
      <c r="B792" s="0" t="s">
        <v>8009</v>
      </c>
      <c r="C792" s="0" t="s">
        <v>3655</v>
      </c>
      <c r="D792" s="0" t="s">
        <v>3656</v>
      </c>
      <c r="E792" s="0" t="s">
        <v>8010</v>
      </c>
      <c r="L792" s="0" t="str">
        <f aca="false">"1757"</f>
        <v>1757</v>
      </c>
      <c r="O792" s="0" t="s">
        <v>8011</v>
      </c>
      <c r="R792" s="0" t="s">
        <v>8012</v>
      </c>
      <c r="T792" s="0" t="s">
        <v>3656</v>
      </c>
      <c r="AA792" s="0" t="s">
        <v>8013</v>
      </c>
      <c r="AT792" s="0" t="s">
        <v>2601</v>
      </c>
      <c r="AU792" s="0" t="s">
        <v>2457</v>
      </c>
      <c r="AY792" s="0" t="s">
        <v>8014</v>
      </c>
    </row>
    <row r="793" customFormat="false" ht="22.5" hidden="false" customHeight="false" outlineLevel="0" collapsed="false">
      <c r="A793" s="0" t="s">
        <v>445</v>
      </c>
      <c r="B793" s="0" t="s">
        <v>8015</v>
      </c>
      <c r="C793" s="0" t="s">
        <v>3941</v>
      </c>
      <c r="D793" s="0" t="s">
        <v>3070</v>
      </c>
      <c r="E793" s="0" t="s">
        <v>8016</v>
      </c>
      <c r="L793" s="0" t="str">
        <f aca="false">"1758"</f>
        <v>1758</v>
      </c>
      <c r="O793" s="1" t="s">
        <v>8017</v>
      </c>
      <c r="R793" s="0" t="s">
        <v>8018</v>
      </c>
      <c r="T793" s="0" t="s">
        <v>8019</v>
      </c>
      <c r="AS793" s="0" t="s">
        <v>8020</v>
      </c>
      <c r="AT793" s="0" t="s">
        <v>2601</v>
      </c>
      <c r="AU793" s="0" t="s">
        <v>2457</v>
      </c>
      <c r="AY793" s="0" t="s">
        <v>8021</v>
      </c>
      <c r="AZ793" s="0" t="s">
        <v>8022</v>
      </c>
      <c r="BC793" s="0" t="str">
        <f aca="false">"324350007"</f>
        <v>324350007</v>
      </c>
    </row>
    <row r="794" customFormat="false" ht="33.1" hidden="false" customHeight="false" outlineLevel="0" collapsed="false">
      <c r="B794" s="0" t="s">
        <v>8023</v>
      </c>
      <c r="C794" s="0" t="s">
        <v>8024</v>
      </c>
      <c r="D794" s="0" t="s">
        <v>8025</v>
      </c>
      <c r="E794" s="0" t="s">
        <v>8026</v>
      </c>
      <c r="L794" s="0" t="str">
        <f aca="false">"1758"</f>
        <v>1758</v>
      </c>
      <c r="O794" s="1" t="s">
        <v>8027</v>
      </c>
      <c r="Q794" s="0" t="str">
        <f aca="false">"9."</f>
        <v>9.</v>
      </c>
      <c r="R794" s="0" t="s">
        <v>8028</v>
      </c>
      <c r="T794" s="1" t="s">
        <v>8029</v>
      </c>
      <c r="AB794" s="0" t="s">
        <v>8030</v>
      </c>
      <c r="AT794" s="0" t="s">
        <v>2601</v>
      </c>
      <c r="AU794" s="0" t="s">
        <v>2613</v>
      </c>
      <c r="AY794" s="0" t="s">
        <v>8031</v>
      </c>
      <c r="CA794" s="0" t="s">
        <v>7370</v>
      </c>
    </row>
    <row r="795" customFormat="false" ht="33.1" hidden="false" customHeight="false" outlineLevel="0" collapsed="false">
      <c r="A795" s="0" t="s">
        <v>445</v>
      </c>
      <c r="B795" s="0" t="s">
        <v>8032</v>
      </c>
      <c r="C795" s="0" t="s">
        <v>1213</v>
      </c>
      <c r="D795" s="0" t="s">
        <v>1214</v>
      </c>
      <c r="E795" s="0" t="s">
        <v>8033</v>
      </c>
      <c r="F795" s="0" t="s">
        <v>192</v>
      </c>
      <c r="H795" s="0" t="s">
        <v>102</v>
      </c>
      <c r="L795" s="0" t="str">
        <f aca="false">"1758"</f>
        <v>1758</v>
      </c>
      <c r="M795" s="1" t="s">
        <v>8034</v>
      </c>
      <c r="O795" s="1" t="s">
        <v>8035</v>
      </c>
      <c r="T795" s="0" t="s">
        <v>4139</v>
      </c>
      <c r="AA795" s="0" t="str">
        <f aca="false">"14718154"</f>
        <v>14718154</v>
      </c>
      <c r="AB795" s="0" t="s">
        <v>8036</v>
      </c>
      <c r="AT795" s="0" t="s">
        <v>2601</v>
      </c>
      <c r="AU795" s="0" t="s">
        <v>872</v>
      </c>
      <c r="AY795" s="0" t="s">
        <v>8037</v>
      </c>
      <c r="AZ795" s="0" t="s">
        <v>8038</v>
      </c>
      <c r="BD795" s="0" t="s">
        <v>873</v>
      </c>
      <c r="BE795" s="0" t="s">
        <v>8039</v>
      </c>
      <c r="BJ795" s="0" t="s">
        <v>118</v>
      </c>
      <c r="BU795" s="0" t="s">
        <v>8040</v>
      </c>
      <c r="BV795" s="0" t="s">
        <v>8041</v>
      </c>
      <c r="BX795" s="0" t="s">
        <v>8042</v>
      </c>
      <c r="BY795" s="0" t="s">
        <v>8043</v>
      </c>
      <c r="BZ795" s="0" t="s">
        <v>8044</v>
      </c>
      <c r="CC795" s="0" t="s">
        <v>8041</v>
      </c>
      <c r="CI795" s="0" t="s">
        <v>8042</v>
      </c>
      <c r="CQ795" s="0" t="s">
        <v>8045</v>
      </c>
      <c r="CR795" s="0" t="s">
        <v>8046</v>
      </c>
    </row>
    <row r="796" customFormat="false" ht="128.75" hidden="false" customHeight="false" outlineLevel="0" collapsed="false">
      <c r="A796" s="0" t="s">
        <v>445</v>
      </c>
      <c r="B796" s="0" t="s">
        <v>8047</v>
      </c>
      <c r="C796" s="0" t="s">
        <v>1685</v>
      </c>
      <c r="D796" s="0" t="s">
        <v>1686</v>
      </c>
      <c r="E796" s="0" t="s">
        <v>8043</v>
      </c>
      <c r="F796" s="0" t="s">
        <v>192</v>
      </c>
      <c r="H796" s="0" t="s">
        <v>102</v>
      </c>
      <c r="L796" s="0" t="str">
        <f aca="false">"1758"</f>
        <v>1758</v>
      </c>
      <c r="M796" s="1" t="s">
        <v>8048</v>
      </c>
      <c r="O796" s="1" t="s">
        <v>8049</v>
      </c>
      <c r="R796" s="0" t="s">
        <v>8050</v>
      </c>
      <c r="T796" s="0" t="s">
        <v>1346</v>
      </c>
      <c r="AA796" s="0" t="str">
        <f aca="false">"11310065"</f>
        <v>11310065</v>
      </c>
      <c r="AB796" s="0" t="s">
        <v>8051</v>
      </c>
      <c r="AP796" s="0" t="s">
        <v>8052</v>
      </c>
      <c r="AQ796" s="0" t="s">
        <v>8053</v>
      </c>
      <c r="AS796" s="0" t="s">
        <v>4363</v>
      </c>
      <c r="AT796" s="0" t="s">
        <v>2601</v>
      </c>
      <c r="AU796" s="0" t="s">
        <v>112</v>
      </c>
      <c r="AY796" s="0" t="s">
        <v>8054</v>
      </c>
      <c r="AZ796" s="0" t="s">
        <v>8055</v>
      </c>
      <c r="BD796" s="0" t="s">
        <v>873</v>
      </c>
      <c r="BE796" s="0" t="s">
        <v>8056</v>
      </c>
      <c r="BF796" s="0" t="s">
        <v>142</v>
      </c>
      <c r="BJ796" s="0" t="s">
        <v>118</v>
      </c>
      <c r="BU796" s="1" t="s">
        <v>8057</v>
      </c>
      <c r="BX796" s="0" t="s">
        <v>8058</v>
      </c>
      <c r="BY796" s="0" t="s">
        <v>8033</v>
      </c>
      <c r="BZ796" s="0" t="s">
        <v>8044</v>
      </c>
      <c r="CF796" s="1" t="s">
        <v>8059</v>
      </c>
      <c r="CG796" s="0" t="s">
        <v>123</v>
      </c>
      <c r="CH796" s="0" t="s">
        <v>625</v>
      </c>
      <c r="CI796" s="0" t="s">
        <v>8058</v>
      </c>
      <c r="CJ796" s="0" t="s">
        <v>8060</v>
      </c>
      <c r="CL796" s="0" t="s">
        <v>8061</v>
      </c>
      <c r="CM796" s="0" t="s">
        <v>8061</v>
      </c>
      <c r="CO796" s="0" t="s">
        <v>8062</v>
      </c>
      <c r="CQ796" s="0" t="s">
        <v>8063</v>
      </c>
      <c r="CR796" s="0" t="s">
        <v>8064</v>
      </c>
    </row>
    <row r="797" customFormat="false" ht="33.1" hidden="false" customHeight="false" outlineLevel="0" collapsed="false">
      <c r="A797" s="0" t="s">
        <v>445</v>
      </c>
      <c r="B797" s="0" t="s">
        <v>8052</v>
      </c>
      <c r="C797" s="0" t="s">
        <v>1685</v>
      </c>
      <c r="D797" s="0" t="s">
        <v>1686</v>
      </c>
      <c r="E797" s="0" t="s">
        <v>8065</v>
      </c>
      <c r="F797" s="0" t="s">
        <v>192</v>
      </c>
      <c r="H797" s="0" t="s">
        <v>102</v>
      </c>
      <c r="L797" s="0" t="str">
        <f aca="false">"1758"</f>
        <v>1758</v>
      </c>
      <c r="M797" s="1" t="s">
        <v>193</v>
      </c>
      <c r="O797" s="1" t="s">
        <v>8066</v>
      </c>
      <c r="T797" s="0" t="s">
        <v>1346</v>
      </c>
      <c r="AA797" s="0" t="str">
        <f aca="false">"11310065"</f>
        <v>11310065</v>
      </c>
      <c r="AB797" s="0" t="s">
        <v>8051</v>
      </c>
      <c r="AS797" s="0" t="s">
        <v>5771</v>
      </c>
      <c r="AT797" s="0" t="s">
        <v>2601</v>
      </c>
      <c r="AU797" s="0" t="s">
        <v>112</v>
      </c>
      <c r="BX797" s="0" t="s">
        <v>8067</v>
      </c>
      <c r="CI797" s="0" t="s">
        <v>8067</v>
      </c>
      <c r="CP797" s="1" t="s">
        <v>8068</v>
      </c>
      <c r="CR797" s="0" t="s">
        <v>8069</v>
      </c>
    </row>
    <row r="798" customFormat="false" ht="12.8" hidden="false" customHeight="false" outlineLevel="0" collapsed="false">
      <c r="B798" s="0" t="s">
        <v>8023</v>
      </c>
      <c r="C798" s="0" t="s">
        <v>397</v>
      </c>
      <c r="D798" s="0" t="s">
        <v>398</v>
      </c>
      <c r="E798" s="0" t="str">
        <f aca="false">"168219"</f>
        <v>168219</v>
      </c>
      <c r="L798" s="0" t="str">
        <f aca="false">"1758"</f>
        <v>1758</v>
      </c>
      <c r="O798" s="0" t="s">
        <v>8070</v>
      </c>
      <c r="R798" s="0" t="s">
        <v>8071</v>
      </c>
      <c r="T798" s="0" t="s">
        <v>1057</v>
      </c>
      <c r="AT798" s="0" t="s">
        <v>2601</v>
      </c>
      <c r="AU798" s="0" t="s">
        <v>2613</v>
      </c>
      <c r="AY798" s="0" t="s">
        <v>8072</v>
      </c>
      <c r="CA798" s="0" t="s">
        <v>7370</v>
      </c>
    </row>
    <row r="799" customFormat="false" ht="12.8" hidden="false" customHeight="false" outlineLevel="0" collapsed="false">
      <c r="A799" s="0" t="s">
        <v>445</v>
      </c>
      <c r="B799" s="0" t="s">
        <v>8073</v>
      </c>
      <c r="C799" s="0" t="s">
        <v>8074</v>
      </c>
      <c r="D799" s="0" t="s">
        <v>8075</v>
      </c>
      <c r="E799" s="0" t="s">
        <v>8076</v>
      </c>
      <c r="L799" s="0" t="str">
        <f aca="false">"1758"</f>
        <v>1758</v>
      </c>
      <c r="M799" s="0" t="s">
        <v>448</v>
      </c>
      <c r="O799" s="0" t="s">
        <v>8070</v>
      </c>
      <c r="Q799" s="0" t="str">
        <f aca="false">"9."</f>
        <v>9.</v>
      </c>
      <c r="R799" s="0" t="s">
        <v>8077</v>
      </c>
      <c r="T799" s="0" t="s">
        <v>8025</v>
      </c>
      <c r="AS799" s="0" t="s">
        <v>4363</v>
      </c>
      <c r="AT799" s="0" t="s">
        <v>2601</v>
      </c>
      <c r="AU799" s="0" t="s">
        <v>2457</v>
      </c>
      <c r="AY799" s="0" t="s">
        <v>8078</v>
      </c>
      <c r="AZ799" s="0" t="s">
        <v>8079</v>
      </c>
      <c r="BU799" s="0" t="s">
        <v>8080</v>
      </c>
      <c r="CJ799" s="0" t="s">
        <v>8081</v>
      </c>
      <c r="CO799" s="0" t="s">
        <v>8082</v>
      </c>
    </row>
    <row r="800" customFormat="false" ht="12.8" hidden="false" customHeight="false" outlineLevel="0" collapsed="false">
      <c r="A800" s="0" t="s">
        <v>445</v>
      </c>
      <c r="B800" s="0" t="s">
        <v>8083</v>
      </c>
      <c r="C800" s="0" t="s">
        <v>1685</v>
      </c>
      <c r="D800" s="0" t="s">
        <v>1686</v>
      </c>
      <c r="E800" s="0" t="s">
        <v>8084</v>
      </c>
      <c r="L800" s="0" t="str">
        <f aca="false">"1762"</f>
        <v>1762</v>
      </c>
      <c r="M800" s="0" t="s">
        <v>448</v>
      </c>
      <c r="O800" s="0" t="s">
        <v>8085</v>
      </c>
      <c r="R800" s="0" t="s">
        <v>7948</v>
      </c>
      <c r="T800" s="0" t="s">
        <v>398</v>
      </c>
      <c r="AA800" s="0" t="str">
        <f aca="false">"90251113"</f>
        <v>90251113</v>
      </c>
      <c r="AB800" s="0" t="s">
        <v>8086</v>
      </c>
      <c r="AS800" s="0" t="s">
        <v>4363</v>
      </c>
      <c r="AT800" s="0" t="s">
        <v>2601</v>
      </c>
      <c r="AU800" s="0" t="s">
        <v>2457</v>
      </c>
      <c r="AY800" s="0" t="s">
        <v>8087</v>
      </c>
      <c r="BC800" s="0" t="str">
        <f aca="false">"326867244"</f>
        <v>326867244</v>
      </c>
      <c r="BX800" s="0" t="s">
        <v>8088</v>
      </c>
      <c r="CI800" s="0" t="s">
        <v>8088</v>
      </c>
    </row>
    <row r="801" customFormat="false" ht="12.8" hidden="false" customHeight="false" outlineLevel="0" collapsed="false">
      <c r="A801" s="0" t="s">
        <v>445</v>
      </c>
      <c r="B801" s="0" t="s">
        <v>8089</v>
      </c>
      <c r="C801" s="0" t="s">
        <v>1685</v>
      </c>
      <c r="D801" s="0" t="s">
        <v>1686</v>
      </c>
      <c r="E801" s="0" t="s">
        <v>8090</v>
      </c>
      <c r="L801" s="0" t="str">
        <f aca="false">"1762"</f>
        <v>1762</v>
      </c>
      <c r="M801" s="0" t="s">
        <v>448</v>
      </c>
      <c r="O801" s="0" t="s">
        <v>8091</v>
      </c>
      <c r="R801" s="0" t="s">
        <v>8092</v>
      </c>
      <c r="T801" s="0" t="s">
        <v>398</v>
      </c>
      <c r="AA801" s="0" t="s">
        <v>8093</v>
      </c>
      <c r="AB801" s="0" t="s">
        <v>8094</v>
      </c>
      <c r="AS801" s="0" t="s">
        <v>2794</v>
      </c>
      <c r="AT801" s="0" t="s">
        <v>2601</v>
      </c>
      <c r="AU801" s="0" t="s">
        <v>2457</v>
      </c>
      <c r="BX801" s="0" t="s">
        <v>8095</v>
      </c>
      <c r="CI801" s="0" t="s">
        <v>8095</v>
      </c>
    </row>
    <row r="802" customFormat="false" ht="12.8" hidden="false" customHeight="false" outlineLevel="0" collapsed="false">
      <c r="A802" s="0" t="s">
        <v>445</v>
      </c>
      <c r="B802" s="0" t="s">
        <v>8096</v>
      </c>
      <c r="C802" s="0" t="s">
        <v>1685</v>
      </c>
      <c r="D802" s="0" t="s">
        <v>1686</v>
      </c>
      <c r="E802" s="0" t="s">
        <v>8097</v>
      </c>
      <c r="L802" s="0" t="str">
        <f aca="false">"1762"</f>
        <v>1762</v>
      </c>
      <c r="M802" s="0" t="s">
        <v>448</v>
      </c>
      <c r="O802" s="0" t="s">
        <v>7648</v>
      </c>
      <c r="R802" s="0" t="s">
        <v>8098</v>
      </c>
      <c r="T802" s="0" t="s">
        <v>398</v>
      </c>
      <c r="AA802" s="0" t="str">
        <f aca="false">"11321369"</f>
        <v>11321369</v>
      </c>
      <c r="AB802" s="0" t="s">
        <v>8099</v>
      </c>
      <c r="AS802" s="0" t="s">
        <v>4363</v>
      </c>
      <c r="AT802" s="0" t="s">
        <v>2601</v>
      </c>
      <c r="AU802" s="0" t="s">
        <v>2457</v>
      </c>
      <c r="BX802" s="0" t="s">
        <v>8100</v>
      </c>
      <c r="CI802" s="0" t="s">
        <v>8100</v>
      </c>
    </row>
    <row r="803" customFormat="false" ht="22.5" hidden="false" customHeight="false" outlineLevel="0" collapsed="false">
      <c r="A803" s="0" t="s">
        <v>445</v>
      </c>
      <c r="B803" s="0" t="s">
        <v>8101</v>
      </c>
      <c r="C803" s="0" t="s">
        <v>397</v>
      </c>
      <c r="D803" s="0" t="s">
        <v>398</v>
      </c>
      <c r="E803" s="0" t="s">
        <v>8102</v>
      </c>
      <c r="F803" s="0" t="s">
        <v>192</v>
      </c>
      <c r="H803" s="0" t="s">
        <v>102</v>
      </c>
      <c r="L803" s="0" t="str">
        <f aca="false">"1762"</f>
        <v>1762</v>
      </c>
      <c r="M803" s="0" t="s">
        <v>448</v>
      </c>
      <c r="O803" s="0" t="s">
        <v>8103</v>
      </c>
      <c r="T803" s="0" t="s">
        <v>398</v>
      </c>
      <c r="AA803" s="0" t="str">
        <f aca="false">"90272587"</f>
        <v>90272587</v>
      </c>
      <c r="AB803" s="0" t="s">
        <v>8104</v>
      </c>
      <c r="AG803" s="0" t="s">
        <v>242</v>
      </c>
      <c r="AH803" s="0" t="s">
        <v>243</v>
      </c>
      <c r="AI803" s="0" t="s">
        <v>8105</v>
      </c>
      <c r="AS803" s="0" t="s">
        <v>4363</v>
      </c>
      <c r="AT803" s="0" t="s">
        <v>3623</v>
      </c>
      <c r="AU803" s="0" t="s">
        <v>112</v>
      </c>
      <c r="AY803" s="0" t="s">
        <v>8106</v>
      </c>
      <c r="AZ803" s="0" t="s">
        <v>8107</v>
      </c>
      <c r="BC803" s="0" t="str">
        <f aca="false">"767886453"</f>
        <v>767886453</v>
      </c>
      <c r="BU803" s="1" t="s">
        <v>8108</v>
      </c>
      <c r="BX803" s="0" t="s">
        <v>8109</v>
      </c>
      <c r="CF803" s="1" t="s">
        <v>8110</v>
      </c>
      <c r="CG803" s="0" t="s">
        <v>123</v>
      </c>
      <c r="CH803" s="0" t="s">
        <v>1265</v>
      </c>
      <c r="CI803" s="0" t="s">
        <v>8109</v>
      </c>
      <c r="CJ803" s="0" t="s">
        <v>8111</v>
      </c>
      <c r="CL803" s="0" t="s">
        <v>8112</v>
      </c>
      <c r="CM803" s="0" t="s">
        <v>8112</v>
      </c>
      <c r="CO803" s="0" t="s">
        <v>8113</v>
      </c>
      <c r="CR803" s="0" t="s">
        <v>8114</v>
      </c>
    </row>
    <row r="804" customFormat="false" ht="12.8" hidden="false" customHeight="false" outlineLevel="0" collapsed="false">
      <c r="A804" s="0" t="s">
        <v>445</v>
      </c>
      <c r="B804" s="0" t="s">
        <v>8115</v>
      </c>
      <c r="C804" s="0" t="s">
        <v>1685</v>
      </c>
      <c r="D804" s="0" t="s">
        <v>1686</v>
      </c>
      <c r="E804" s="0" t="s">
        <v>8116</v>
      </c>
      <c r="L804" s="0" t="str">
        <f aca="false">"1762"</f>
        <v>1762</v>
      </c>
      <c r="M804" s="0" t="s">
        <v>448</v>
      </c>
      <c r="O804" s="0" t="s">
        <v>8117</v>
      </c>
      <c r="R804" s="0" t="s">
        <v>1686</v>
      </c>
      <c r="T804" s="0" t="s">
        <v>8118</v>
      </c>
      <c r="AA804" s="0" t="str">
        <f aca="false">"11092254"</f>
        <v>11092254</v>
      </c>
      <c r="AB804" s="0" t="s">
        <v>8119</v>
      </c>
      <c r="AS804" s="0" t="s">
        <v>4251</v>
      </c>
      <c r="AT804" s="0" t="s">
        <v>2601</v>
      </c>
      <c r="AU804" s="0" t="s">
        <v>892</v>
      </c>
      <c r="AY804" s="0" t="s">
        <v>8120</v>
      </c>
      <c r="BX804" s="0" t="s">
        <v>8121</v>
      </c>
      <c r="CI804" s="0" t="s">
        <v>8121</v>
      </c>
    </row>
    <row r="805" customFormat="false" ht="22.5" hidden="false" customHeight="false" outlineLevel="0" collapsed="false">
      <c r="B805" s="0" t="s">
        <v>8122</v>
      </c>
      <c r="C805" s="0" t="s">
        <v>1056</v>
      </c>
      <c r="D805" s="0" t="s">
        <v>1057</v>
      </c>
      <c r="E805" s="0" t="s">
        <v>8123</v>
      </c>
      <c r="L805" s="0" t="str">
        <f aca="false">"1763"</f>
        <v>1763</v>
      </c>
      <c r="O805" s="0" t="s">
        <v>8124</v>
      </c>
      <c r="R805" s="0" t="s">
        <v>8125</v>
      </c>
      <c r="T805" s="1" t="s">
        <v>8126</v>
      </c>
      <c r="AB805" s="0" t="s">
        <v>8127</v>
      </c>
      <c r="AT805" s="0" t="s">
        <v>2601</v>
      </c>
      <c r="AU805" s="0" t="s">
        <v>2613</v>
      </c>
      <c r="AY805" s="0" t="s">
        <v>8128</v>
      </c>
      <c r="CA805" s="0" t="s">
        <v>8129</v>
      </c>
    </row>
    <row r="806" customFormat="false" ht="12.8" hidden="false" customHeight="false" outlineLevel="0" collapsed="false">
      <c r="B806" s="0" t="s">
        <v>8130</v>
      </c>
      <c r="C806" s="0" t="s">
        <v>2846</v>
      </c>
      <c r="D806" s="0" t="s">
        <v>2847</v>
      </c>
      <c r="E806" s="0" t="s">
        <v>8131</v>
      </c>
      <c r="L806" s="0" t="str">
        <f aca="false">"1763"</f>
        <v>1763</v>
      </c>
      <c r="O806" s="0" t="s">
        <v>8132</v>
      </c>
      <c r="R806" s="0" t="s">
        <v>8133</v>
      </c>
      <c r="T806" s="0" t="s">
        <v>1057</v>
      </c>
      <c r="AB806" s="0" t="s">
        <v>8134</v>
      </c>
      <c r="AT806" s="0" t="s">
        <v>2601</v>
      </c>
      <c r="AU806" s="0" t="s">
        <v>2613</v>
      </c>
      <c r="CA806" s="0" t="s">
        <v>8129</v>
      </c>
    </row>
    <row r="807" customFormat="false" ht="22.5" hidden="false" customHeight="false" outlineLevel="0" collapsed="false">
      <c r="A807" s="0" t="s">
        <v>445</v>
      </c>
      <c r="B807" s="0" t="s">
        <v>8135</v>
      </c>
      <c r="C807" s="0" t="s">
        <v>2696</v>
      </c>
      <c r="D807" s="1" t="s">
        <v>2697</v>
      </c>
      <c r="E807" s="0" t="s">
        <v>8136</v>
      </c>
      <c r="L807" s="0" t="str">
        <f aca="false">"1763"</f>
        <v>1763</v>
      </c>
      <c r="M807" s="0" t="s">
        <v>448</v>
      </c>
      <c r="O807" s="0" t="s">
        <v>8137</v>
      </c>
      <c r="R807" s="0" t="s">
        <v>6478</v>
      </c>
      <c r="T807" s="0" t="s">
        <v>6479</v>
      </c>
      <c r="AS807" s="0" t="s">
        <v>5977</v>
      </c>
      <c r="AT807" s="0" t="s">
        <v>2601</v>
      </c>
      <c r="AU807" s="0" t="s">
        <v>2457</v>
      </c>
      <c r="AY807" s="0" t="s">
        <v>8138</v>
      </c>
      <c r="AZ807" s="0" t="s">
        <v>8139</v>
      </c>
      <c r="BC807" s="0" t="str">
        <f aca="false">"490486428"</f>
        <v>490486428</v>
      </c>
      <c r="BX807" s="0" t="s">
        <v>8140</v>
      </c>
      <c r="CI807" s="0" t="s">
        <v>8140</v>
      </c>
    </row>
    <row r="808" customFormat="false" ht="12.8" hidden="false" customHeight="false" outlineLevel="0" collapsed="false">
      <c r="A808" s="0" t="s">
        <v>445</v>
      </c>
      <c r="B808" s="0" t="s">
        <v>8141</v>
      </c>
      <c r="C808" s="0" t="s">
        <v>1685</v>
      </c>
      <c r="D808" s="0" t="s">
        <v>1686</v>
      </c>
      <c r="E808" s="0" t="s">
        <v>8142</v>
      </c>
      <c r="L808" s="0" t="str">
        <f aca="false">"1763"</f>
        <v>1763</v>
      </c>
      <c r="M808" s="0" t="s">
        <v>448</v>
      </c>
      <c r="O808" s="0" t="s">
        <v>8143</v>
      </c>
      <c r="R808" s="0" t="s">
        <v>8144</v>
      </c>
      <c r="T808" s="0" t="s">
        <v>8145</v>
      </c>
      <c r="AA808" s="0" t="str">
        <f aca="false">"10080988"</f>
        <v>10080988</v>
      </c>
      <c r="AB808" s="0" t="s">
        <v>8146</v>
      </c>
      <c r="AS808" s="0" t="s">
        <v>8147</v>
      </c>
      <c r="AT808" s="0" t="s">
        <v>2601</v>
      </c>
      <c r="AU808" s="0" t="s">
        <v>2457</v>
      </c>
      <c r="AY808" s="0" t="s">
        <v>8148</v>
      </c>
      <c r="BX808" s="0" t="s">
        <v>8149</v>
      </c>
      <c r="CI808" s="0" t="s">
        <v>8149</v>
      </c>
    </row>
    <row r="809" customFormat="false" ht="12.8" hidden="false" customHeight="false" outlineLevel="0" collapsed="false">
      <c r="A809" s="0" t="s">
        <v>445</v>
      </c>
      <c r="B809" s="0" t="s">
        <v>8150</v>
      </c>
      <c r="C809" s="0" t="s">
        <v>397</v>
      </c>
      <c r="D809" s="0" t="s">
        <v>398</v>
      </c>
      <c r="E809" s="0" t="s">
        <v>8151</v>
      </c>
      <c r="L809" s="0" t="str">
        <f aca="false">"1763"</f>
        <v>1763</v>
      </c>
      <c r="M809" s="0" t="s">
        <v>448</v>
      </c>
      <c r="O809" s="0" t="s">
        <v>8152</v>
      </c>
      <c r="R809" s="0" t="s">
        <v>8153</v>
      </c>
      <c r="T809" s="0" t="s">
        <v>4029</v>
      </c>
      <c r="AA809" s="0" t="str">
        <f aca="false">"11929219"</f>
        <v>11929219</v>
      </c>
      <c r="AB809" s="0" t="s">
        <v>8154</v>
      </c>
      <c r="AS809" s="0" t="s">
        <v>2794</v>
      </c>
      <c r="AT809" s="0" t="s">
        <v>2601</v>
      </c>
      <c r="AU809" s="0" t="s">
        <v>2457</v>
      </c>
      <c r="AY809" s="0" t="s">
        <v>8155</v>
      </c>
      <c r="AZ809" s="0" t="s">
        <v>8156</v>
      </c>
      <c r="BC809" s="0" t="s">
        <v>8157</v>
      </c>
      <c r="BX809" s="0" t="s">
        <v>8158</v>
      </c>
      <c r="CB809" s="0" t="str">
        <f aca="false">"13.03.1763"</f>
        <v>13.03.1763</v>
      </c>
      <c r="CI809" s="0" t="s">
        <v>8158</v>
      </c>
    </row>
    <row r="810" customFormat="false" ht="12.8" hidden="false" customHeight="false" outlineLevel="0" collapsed="false">
      <c r="B810" s="0" t="s">
        <v>8159</v>
      </c>
      <c r="C810" s="0" t="s">
        <v>1056</v>
      </c>
      <c r="D810" s="0" t="s">
        <v>1057</v>
      </c>
      <c r="E810" s="0" t="s">
        <v>8160</v>
      </c>
      <c r="L810" s="0" t="str">
        <f aca="false">"1763"</f>
        <v>1763</v>
      </c>
      <c r="O810" s="0" t="s">
        <v>8161</v>
      </c>
      <c r="R810" s="0" t="s">
        <v>8162</v>
      </c>
      <c r="T810" s="0" t="s">
        <v>1057</v>
      </c>
      <c r="Y810" s="0" t="s">
        <v>8163</v>
      </c>
      <c r="AT810" s="0" t="s">
        <v>2601</v>
      </c>
      <c r="AU810" s="0" t="s">
        <v>2613</v>
      </c>
      <c r="AY810" s="0" t="s">
        <v>8164</v>
      </c>
      <c r="CA810" s="0" t="s">
        <v>8129</v>
      </c>
    </row>
    <row r="811" customFormat="false" ht="12.8" hidden="false" customHeight="false" outlineLevel="0" collapsed="false">
      <c r="A811" s="0" t="s">
        <v>445</v>
      </c>
      <c r="B811" s="0" t="s">
        <v>8165</v>
      </c>
      <c r="C811" s="0" t="s">
        <v>397</v>
      </c>
      <c r="D811" s="0" t="s">
        <v>398</v>
      </c>
      <c r="E811" s="0" t="s">
        <v>8166</v>
      </c>
      <c r="L811" s="0" t="str">
        <f aca="false">"1763"</f>
        <v>1763</v>
      </c>
      <c r="M811" s="0" t="s">
        <v>448</v>
      </c>
      <c r="O811" s="0" t="s">
        <v>8167</v>
      </c>
      <c r="R811" s="0" t="s">
        <v>8168</v>
      </c>
      <c r="T811" s="0" t="s">
        <v>1150</v>
      </c>
      <c r="AA811" s="0" t="str">
        <f aca="false">"11888903"</f>
        <v>11888903</v>
      </c>
      <c r="AB811" s="0" t="s">
        <v>8169</v>
      </c>
      <c r="AS811" s="0" t="s">
        <v>8170</v>
      </c>
      <c r="AT811" s="0" t="s">
        <v>2601</v>
      </c>
      <c r="AU811" s="0" t="s">
        <v>2457</v>
      </c>
      <c r="AY811" s="0" t="s">
        <v>8171</v>
      </c>
      <c r="AZ811" s="0" t="s">
        <v>8172</v>
      </c>
      <c r="BX811" s="0" t="s">
        <v>8173</v>
      </c>
      <c r="CB811" s="0" t="str">
        <f aca="false">"6.1.1763"</f>
        <v>6.1.1763</v>
      </c>
      <c r="CH811" s="0" t="s">
        <v>625</v>
      </c>
      <c r="CI811" s="0" t="s">
        <v>8173</v>
      </c>
      <c r="CJ811" s="0" t="s">
        <v>8174</v>
      </c>
      <c r="CO811" s="0" t="s">
        <v>8165</v>
      </c>
    </row>
    <row r="812" customFormat="false" ht="33.1" hidden="false" customHeight="false" outlineLevel="0" collapsed="false">
      <c r="B812" s="0" t="s">
        <v>8175</v>
      </c>
      <c r="C812" s="0" t="s">
        <v>1056</v>
      </c>
      <c r="D812" s="0" t="s">
        <v>1057</v>
      </c>
      <c r="E812" s="0" t="s">
        <v>8176</v>
      </c>
      <c r="L812" s="0" t="str">
        <f aca="false">"1763"</f>
        <v>1763</v>
      </c>
      <c r="O812" s="0" t="s">
        <v>8177</v>
      </c>
      <c r="Q812" s="0" t="str">
        <f aca="false">"2."</f>
        <v>2.</v>
      </c>
      <c r="R812" s="1" t="s">
        <v>8178</v>
      </c>
      <c r="T812" s="0" t="s">
        <v>8179</v>
      </c>
      <c r="AB812" s="0" t="s">
        <v>8180</v>
      </c>
      <c r="AT812" s="0" t="s">
        <v>2601</v>
      </c>
      <c r="AU812" s="0" t="s">
        <v>2613</v>
      </c>
      <c r="AY812" s="0" t="s">
        <v>8181</v>
      </c>
      <c r="CA812" s="0" t="s">
        <v>8129</v>
      </c>
    </row>
    <row r="813" customFormat="false" ht="12.8" hidden="false" customHeight="false" outlineLevel="0" collapsed="false">
      <c r="A813" s="0" t="s">
        <v>445</v>
      </c>
      <c r="B813" s="0" t="s">
        <v>8182</v>
      </c>
      <c r="C813" s="0" t="s">
        <v>2649</v>
      </c>
      <c r="D813" s="0" t="s">
        <v>2650</v>
      </c>
      <c r="E813" s="0" t="s">
        <v>8183</v>
      </c>
      <c r="L813" s="0" t="str">
        <f aca="false">"1763"</f>
        <v>1763</v>
      </c>
      <c r="M813" s="0" t="s">
        <v>448</v>
      </c>
      <c r="O813" s="0" t="s">
        <v>8184</v>
      </c>
      <c r="R813" s="0" t="s">
        <v>8185</v>
      </c>
      <c r="T813" s="0" t="s">
        <v>2650</v>
      </c>
      <c r="AS813" s="0" t="s">
        <v>4363</v>
      </c>
      <c r="AT813" s="0" t="s">
        <v>2601</v>
      </c>
      <c r="AU813" s="0" t="s">
        <v>2457</v>
      </c>
      <c r="AY813" s="0" t="s">
        <v>8186</v>
      </c>
    </row>
    <row r="814" customFormat="false" ht="12.8" hidden="false" customHeight="false" outlineLevel="0" collapsed="false">
      <c r="A814" s="0" t="s">
        <v>445</v>
      </c>
      <c r="B814" s="0" t="s">
        <v>8187</v>
      </c>
      <c r="C814" s="0" t="s">
        <v>242</v>
      </c>
      <c r="D814" s="0" t="s">
        <v>243</v>
      </c>
      <c r="E814" s="0" t="s">
        <v>8188</v>
      </c>
      <c r="L814" s="0" t="str">
        <f aca="false">"1763"</f>
        <v>1763</v>
      </c>
      <c r="M814" s="0" t="s">
        <v>448</v>
      </c>
      <c r="O814" s="0" t="s">
        <v>8189</v>
      </c>
      <c r="R814" s="0" t="s">
        <v>8190</v>
      </c>
      <c r="T814" s="0" t="s">
        <v>3670</v>
      </c>
      <c r="AA814" s="0" t="str">
        <f aca="false">"10586873"</f>
        <v>10586873</v>
      </c>
      <c r="AB814" s="0" t="s">
        <v>8191</v>
      </c>
      <c r="AS814" s="0" t="s">
        <v>8192</v>
      </c>
      <c r="AT814" s="0" t="s">
        <v>2601</v>
      </c>
      <c r="AU814" s="0" t="s">
        <v>892</v>
      </c>
      <c r="AY814" s="0" t="s">
        <v>8193</v>
      </c>
      <c r="AZ814" s="0" t="s">
        <v>8194</v>
      </c>
      <c r="BC814" s="0" t="str">
        <f aca="false">"373229267"</f>
        <v>373229267</v>
      </c>
      <c r="BX814" s="0" t="s">
        <v>8195</v>
      </c>
      <c r="CI814" s="0" t="s">
        <v>8195</v>
      </c>
    </row>
    <row r="815" customFormat="false" ht="12.8" hidden="false" customHeight="false" outlineLevel="0" collapsed="false">
      <c r="B815" s="0" t="s">
        <v>8196</v>
      </c>
      <c r="C815" s="0" t="s">
        <v>1056</v>
      </c>
      <c r="D815" s="0" t="s">
        <v>1057</v>
      </c>
      <c r="E815" s="0" t="s">
        <v>8197</v>
      </c>
      <c r="L815" s="0" t="str">
        <f aca="false">"1763"</f>
        <v>1763</v>
      </c>
      <c r="O815" s="0" t="s">
        <v>8198</v>
      </c>
      <c r="R815" s="0" t="s">
        <v>8199</v>
      </c>
      <c r="T815" s="0" t="s">
        <v>8200</v>
      </c>
      <c r="AB815" s="0" t="s">
        <v>8201</v>
      </c>
      <c r="AT815" s="0" t="s">
        <v>2601</v>
      </c>
      <c r="AU815" s="0" t="s">
        <v>2613</v>
      </c>
      <c r="AY815" s="0" t="s">
        <v>8202</v>
      </c>
      <c r="CA815" s="0" t="s">
        <v>8129</v>
      </c>
    </row>
    <row r="816" customFormat="false" ht="12.8" hidden="false" customHeight="false" outlineLevel="0" collapsed="false">
      <c r="A816" s="0" t="s">
        <v>445</v>
      </c>
      <c r="B816" s="0" t="s">
        <v>8203</v>
      </c>
      <c r="C816" s="0" t="s">
        <v>242</v>
      </c>
      <c r="D816" s="0" t="s">
        <v>243</v>
      </c>
      <c r="E816" s="0" t="s">
        <v>8204</v>
      </c>
      <c r="L816" s="0" t="str">
        <f aca="false">"1763"</f>
        <v>1763</v>
      </c>
      <c r="M816" s="0" t="s">
        <v>448</v>
      </c>
      <c r="O816" s="0" t="s">
        <v>8205</v>
      </c>
      <c r="R816" s="0" t="s">
        <v>8206</v>
      </c>
      <c r="T816" s="0" t="s">
        <v>1050</v>
      </c>
      <c r="AA816" s="0" t="str">
        <f aca="false">"10585893"</f>
        <v>10585893</v>
      </c>
      <c r="AB816" s="0" t="s">
        <v>8207</v>
      </c>
      <c r="AS816" s="0" t="s">
        <v>8208</v>
      </c>
      <c r="AT816" s="0" t="s">
        <v>2601</v>
      </c>
      <c r="AU816" s="0" t="s">
        <v>2457</v>
      </c>
      <c r="AY816" s="0" t="s">
        <v>8209</v>
      </c>
      <c r="BC816" s="0" t="str">
        <f aca="false">"433244887"</f>
        <v>433244887</v>
      </c>
      <c r="BX816" s="0" t="s">
        <v>8210</v>
      </c>
      <c r="CB816" s="0" t="str">
        <f aca="false">"21.03.1763"</f>
        <v>21.03.1763</v>
      </c>
      <c r="CI816" s="0" t="s">
        <v>8210</v>
      </c>
    </row>
    <row r="817" customFormat="false" ht="22.5" hidden="false" customHeight="false" outlineLevel="0" collapsed="false">
      <c r="A817" s="0" t="s">
        <v>445</v>
      </c>
      <c r="C817" s="0" t="s">
        <v>397</v>
      </c>
      <c r="D817" s="0" t="s">
        <v>398</v>
      </c>
      <c r="E817" s="0" t="s">
        <v>8211</v>
      </c>
      <c r="L817" s="0" t="str">
        <f aca="false">"1763"</f>
        <v>1763</v>
      </c>
      <c r="M817" s="0" t="s">
        <v>448</v>
      </c>
      <c r="O817" s="1" t="s">
        <v>8212</v>
      </c>
      <c r="R817" s="0" t="s">
        <v>8213</v>
      </c>
      <c r="T817" s="0" t="s">
        <v>1346</v>
      </c>
      <c r="AT817" s="0" t="s">
        <v>2601</v>
      </c>
      <c r="AU817" s="0" t="s">
        <v>2457</v>
      </c>
      <c r="AY817" s="0" t="s">
        <v>8214</v>
      </c>
    </row>
    <row r="818" customFormat="false" ht="12.8" hidden="false" customHeight="false" outlineLevel="0" collapsed="false">
      <c r="A818" s="0" t="s">
        <v>445</v>
      </c>
      <c r="B818" s="0" t="s">
        <v>8215</v>
      </c>
      <c r="C818" s="0" t="s">
        <v>1685</v>
      </c>
      <c r="D818" s="0" t="s">
        <v>1686</v>
      </c>
      <c r="E818" s="0" t="s">
        <v>8216</v>
      </c>
      <c r="L818" s="0" t="str">
        <f aca="false">"1763"</f>
        <v>1763</v>
      </c>
      <c r="M818" s="0" t="s">
        <v>448</v>
      </c>
      <c r="O818" s="0" t="s">
        <v>8217</v>
      </c>
      <c r="R818" s="0" t="s">
        <v>8218</v>
      </c>
      <c r="T818" s="0" t="s">
        <v>8219</v>
      </c>
      <c r="AA818" s="0" t="str">
        <f aca="false">"10405925"</f>
        <v>10405925</v>
      </c>
      <c r="AB818" s="0" t="s">
        <v>8220</v>
      </c>
      <c r="AS818" s="0" t="s">
        <v>2794</v>
      </c>
      <c r="AT818" s="0" t="s">
        <v>2601</v>
      </c>
      <c r="AU818" s="0" t="s">
        <v>2457</v>
      </c>
      <c r="AY818" s="0" t="s">
        <v>8221</v>
      </c>
      <c r="AZ818" s="0" t="s">
        <v>8222</v>
      </c>
      <c r="BC818" s="0" t="str">
        <f aca="false">"211846384"</f>
        <v>211846384</v>
      </c>
      <c r="BX818" s="0" t="s">
        <v>8223</v>
      </c>
      <c r="CB818" s="0" t="str">
        <f aca="false">"21.03.1763"</f>
        <v>21.03.1763</v>
      </c>
      <c r="CI818" s="0" t="s">
        <v>8223</v>
      </c>
    </row>
    <row r="819" customFormat="false" ht="65" hidden="false" customHeight="false" outlineLevel="0" collapsed="false">
      <c r="B819" s="0" t="s">
        <v>8224</v>
      </c>
      <c r="C819" s="0" t="s">
        <v>1056</v>
      </c>
      <c r="D819" s="0" t="s">
        <v>1057</v>
      </c>
      <c r="E819" s="0" t="s">
        <v>8225</v>
      </c>
      <c r="L819" s="0" t="str">
        <f aca="false">"1763"</f>
        <v>1763</v>
      </c>
      <c r="O819" s="0" t="s">
        <v>8226</v>
      </c>
      <c r="R819" s="1" t="s">
        <v>8227</v>
      </c>
      <c r="T819" s="0" t="s">
        <v>1057</v>
      </c>
      <c r="AB819" s="0" t="s">
        <v>8228</v>
      </c>
      <c r="AT819" s="0" t="s">
        <v>2601</v>
      </c>
      <c r="AU819" s="0" t="s">
        <v>2613</v>
      </c>
      <c r="AY819" s="0" t="s">
        <v>8229</v>
      </c>
      <c r="CA819" s="0" t="s">
        <v>8129</v>
      </c>
    </row>
    <row r="820" customFormat="false" ht="12.8" hidden="false" customHeight="false" outlineLevel="0" collapsed="false">
      <c r="B820" s="0" t="s">
        <v>8230</v>
      </c>
      <c r="C820" s="0" t="s">
        <v>1685</v>
      </c>
      <c r="D820" s="0" t="s">
        <v>1686</v>
      </c>
      <c r="E820" s="0" t="s">
        <v>8231</v>
      </c>
      <c r="L820" s="0" t="str">
        <f aca="false">"1763"</f>
        <v>1763</v>
      </c>
      <c r="M820" s="0" t="s">
        <v>448</v>
      </c>
      <c r="O820" s="0" t="s">
        <v>8232</v>
      </c>
      <c r="R820" s="0" t="s">
        <v>8233</v>
      </c>
      <c r="T820" s="0" t="s">
        <v>8234</v>
      </c>
      <c r="AA820" s="0" t="str">
        <f aca="false">"11222662"</f>
        <v>11222662</v>
      </c>
      <c r="AB820" s="0" t="s">
        <v>8235</v>
      </c>
      <c r="AS820" s="0" t="s">
        <v>5977</v>
      </c>
      <c r="AT820" s="0" t="s">
        <v>2601</v>
      </c>
      <c r="AU820" s="0" t="s">
        <v>2457</v>
      </c>
      <c r="AY820" s="0" t="s">
        <v>8236</v>
      </c>
      <c r="AZ820" s="0" t="s">
        <v>8237</v>
      </c>
      <c r="BX820" s="0" t="s">
        <v>8238</v>
      </c>
      <c r="CB820" s="0" t="str">
        <f aca="false">"15.02.1763"</f>
        <v>15.02.1763</v>
      </c>
      <c r="CI820" s="0" t="s">
        <v>8238</v>
      </c>
    </row>
    <row r="821" customFormat="false" ht="12.8" hidden="false" customHeight="false" outlineLevel="0" collapsed="false">
      <c r="B821" s="0" t="s">
        <v>8239</v>
      </c>
      <c r="C821" s="0" t="s">
        <v>2846</v>
      </c>
      <c r="D821" s="0" t="s">
        <v>2847</v>
      </c>
      <c r="E821" s="0" t="s">
        <v>8240</v>
      </c>
      <c r="L821" s="0" t="str">
        <f aca="false">"1763"</f>
        <v>1763</v>
      </c>
      <c r="O821" s="0" t="s">
        <v>8241</v>
      </c>
      <c r="R821" s="0" t="s">
        <v>8242</v>
      </c>
      <c r="T821" s="0" t="s">
        <v>1057</v>
      </c>
      <c r="AB821" s="0" t="s">
        <v>8243</v>
      </c>
      <c r="AT821" s="0" t="s">
        <v>2601</v>
      </c>
      <c r="AU821" s="0" t="s">
        <v>2613</v>
      </c>
      <c r="AY821" s="0" t="s">
        <v>8244</v>
      </c>
      <c r="CA821" s="0" t="s">
        <v>8129</v>
      </c>
    </row>
    <row r="822" customFormat="false" ht="43.75" hidden="false" customHeight="false" outlineLevel="0" collapsed="false">
      <c r="B822" s="0" t="s">
        <v>8245</v>
      </c>
      <c r="C822" s="0" t="s">
        <v>1685</v>
      </c>
      <c r="D822" s="0" t="s">
        <v>1686</v>
      </c>
      <c r="E822" s="0" t="s">
        <v>8246</v>
      </c>
      <c r="L822" s="0" t="str">
        <f aca="false">"1763"</f>
        <v>1763</v>
      </c>
      <c r="O822" s="0" t="s">
        <v>8247</v>
      </c>
      <c r="T822" s="0" t="s">
        <v>1686</v>
      </c>
      <c r="AA822" s="0" t="str">
        <f aca="false">"10075216"</f>
        <v>10075216</v>
      </c>
      <c r="AB822" s="0" t="s">
        <v>8248</v>
      </c>
      <c r="AS822" s="0" t="s">
        <v>3822</v>
      </c>
      <c r="AT822" s="0" t="s">
        <v>2601</v>
      </c>
      <c r="AU822" s="0" t="s">
        <v>2457</v>
      </c>
      <c r="AY822" s="0" t="s">
        <v>8249</v>
      </c>
      <c r="BX822" s="1" t="s">
        <v>8250</v>
      </c>
      <c r="CI822" s="1" t="s">
        <v>8250</v>
      </c>
    </row>
    <row r="823" customFormat="false" ht="12.8" hidden="false" customHeight="false" outlineLevel="0" collapsed="false">
      <c r="B823" s="0" t="s">
        <v>8251</v>
      </c>
      <c r="C823" s="0" t="s">
        <v>397</v>
      </c>
      <c r="D823" s="0" t="s">
        <v>398</v>
      </c>
      <c r="E823" s="0" t="s">
        <v>8252</v>
      </c>
      <c r="L823" s="0" t="str">
        <f aca="false">"1763"</f>
        <v>1763</v>
      </c>
      <c r="M823" s="0" t="s">
        <v>448</v>
      </c>
      <c r="O823" s="0" t="s">
        <v>8253</v>
      </c>
      <c r="R823" s="0" t="s">
        <v>8254</v>
      </c>
      <c r="T823" s="0" t="s">
        <v>1416</v>
      </c>
      <c r="AA823" s="0" t="str">
        <f aca="false">"11970324"</f>
        <v>11970324</v>
      </c>
      <c r="AB823" s="0" t="s">
        <v>8255</v>
      </c>
      <c r="AS823" s="0" t="s">
        <v>4557</v>
      </c>
      <c r="AT823" s="0" t="s">
        <v>2601</v>
      </c>
      <c r="AU823" s="0" t="s">
        <v>2457</v>
      </c>
      <c r="AY823" s="0" t="s">
        <v>8256</v>
      </c>
      <c r="BC823" s="0" t="s">
        <v>8257</v>
      </c>
      <c r="BX823" s="0" t="s">
        <v>8258</v>
      </c>
      <c r="CB823" s="0" t="str">
        <f aca="false">"06.01.1763"</f>
        <v>06.01.1763</v>
      </c>
      <c r="CI823" s="0" t="s">
        <v>8258</v>
      </c>
    </row>
    <row r="824" customFormat="false" ht="12.8" hidden="false" customHeight="false" outlineLevel="0" collapsed="false">
      <c r="A824" s="0" t="s">
        <v>445</v>
      </c>
      <c r="B824" s="0" t="s">
        <v>8259</v>
      </c>
      <c r="C824" s="0" t="s">
        <v>4747</v>
      </c>
      <c r="D824" s="0" t="s">
        <v>4139</v>
      </c>
      <c r="E824" s="0" t="s">
        <v>8260</v>
      </c>
      <c r="L824" s="0" t="str">
        <f aca="false">"1763"</f>
        <v>1763</v>
      </c>
      <c r="M824" s="0" t="s">
        <v>448</v>
      </c>
      <c r="O824" s="0" t="s">
        <v>8261</v>
      </c>
      <c r="R824" s="0" t="s">
        <v>8262</v>
      </c>
      <c r="T824" s="0" t="s">
        <v>8263</v>
      </c>
      <c r="AA824" s="0" t="str">
        <f aca="false">"12671975"</f>
        <v>12671975</v>
      </c>
      <c r="AB824" s="0" t="s">
        <v>8264</v>
      </c>
      <c r="AS824" s="0" t="s">
        <v>8265</v>
      </c>
      <c r="AT824" s="0" t="s">
        <v>2601</v>
      </c>
      <c r="AU824" s="0" t="s">
        <v>2457</v>
      </c>
      <c r="AY824" s="0" t="s">
        <v>8266</v>
      </c>
      <c r="BC824" s="0" t="s">
        <v>8267</v>
      </c>
      <c r="BX824" s="0" t="s">
        <v>8268</v>
      </c>
      <c r="CI824" s="0" t="s">
        <v>8268</v>
      </c>
    </row>
    <row r="825" customFormat="false" ht="12.8" hidden="false" customHeight="false" outlineLevel="0" collapsed="false">
      <c r="B825" s="0" t="s">
        <v>8269</v>
      </c>
      <c r="C825" s="0" t="s">
        <v>1056</v>
      </c>
      <c r="D825" s="0" t="s">
        <v>1057</v>
      </c>
      <c r="E825" s="0" t="s">
        <v>8270</v>
      </c>
      <c r="L825" s="0" t="str">
        <f aca="false">"1763"</f>
        <v>1763</v>
      </c>
      <c r="O825" s="0" t="s">
        <v>8271</v>
      </c>
      <c r="R825" s="0" t="s">
        <v>8272</v>
      </c>
      <c r="T825" s="0" t="s">
        <v>1057</v>
      </c>
      <c r="AB825" s="0" t="s">
        <v>8273</v>
      </c>
      <c r="AT825" s="0" t="s">
        <v>2601</v>
      </c>
      <c r="AU825" s="0" t="s">
        <v>2613</v>
      </c>
      <c r="AY825" s="0" t="s">
        <v>8274</v>
      </c>
      <c r="CA825" s="0" t="s">
        <v>8129</v>
      </c>
    </row>
    <row r="826" customFormat="false" ht="33.1" hidden="false" customHeight="false" outlineLevel="0" collapsed="false">
      <c r="A826" s="0" t="s">
        <v>445</v>
      </c>
      <c r="C826" s="0" t="s">
        <v>3941</v>
      </c>
      <c r="D826" s="0" t="s">
        <v>3070</v>
      </c>
      <c r="E826" s="0" t="s">
        <v>8275</v>
      </c>
      <c r="L826" s="0" t="str">
        <f aca="false">"1763"</f>
        <v>1763</v>
      </c>
      <c r="M826" s="1" t="s">
        <v>8276</v>
      </c>
      <c r="O826" s="1" t="s">
        <v>8277</v>
      </c>
      <c r="T826" s="0" t="s">
        <v>398</v>
      </c>
      <c r="AA826" s="0" t="str">
        <f aca="false">"90385039"</f>
        <v>90385039</v>
      </c>
      <c r="AS826" s="0" t="str">
        <f aca="false">"16"</f>
        <v>16</v>
      </c>
      <c r="AT826" s="0" t="s">
        <v>2601</v>
      </c>
      <c r="AU826" s="0" t="s">
        <v>892</v>
      </c>
      <c r="AZ826" s="0" t="s">
        <v>8278</v>
      </c>
      <c r="BC826" s="0" t="str">
        <f aca="false">"389921793"</f>
        <v>389921793</v>
      </c>
      <c r="BU826" s="0" t="s">
        <v>8279</v>
      </c>
      <c r="CB826" s="0" t="str">
        <f aca="false">"12.03.1763"</f>
        <v>12.03.1763</v>
      </c>
    </row>
    <row r="827" customFormat="false" ht="12.8" hidden="false" customHeight="false" outlineLevel="0" collapsed="false">
      <c r="A827" s="0" t="s">
        <v>445</v>
      </c>
      <c r="B827" s="0" t="s">
        <v>8280</v>
      </c>
      <c r="C827" s="0" t="s">
        <v>397</v>
      </c>
      <c r="D827" s="0" t="s">
        <v>398</v>
      </c>
      <c r="E827" s="0" t="s">
        <v>8281</v>
      </c>
      <c r="L827" s="0" t="str">
        <f aca="false">"1763"</f>
        <v>1763</v>
      </c>
      <c r="M827" s="0" t="s">
        <v>448</v>
      </c>
      <c r="O827" s="0" t="s">
        <v>8282</v>
      </c>
      <c r="R827" s="0" t="s">
        <v>8283</v>
      </c>
      <c r="T827" s="0" t="s">
        <v>4259</v>
      </c>
      <c r="AA827" s="0" t="str">
        <f aca="false">"11708301"</f>
        <v>11708301</v>
      </c>
      <c r="AB827" s="0" t="s">
        <v>8284</v>
      </c>
      <c r="AC827" s="0" t="s">
        <v>8285</v>
      </c>
      <c r="AS827" s="0" t="s">
        <v>4251</v>
      </c>
      <c r="AT827" s="0" t="s">
        <v>2601</v>
      </c>
      <c r="AY827" s="0" t="s">
        <v>8286</v>
      </c>
      <c r="BC827" s="0" t="str">
        <f aca="false">"304044628"</f>
        <v>304044628</v>
      </c>
      <c r="BX827" s="0" t="s">
        <v>8287</v>
      </c>
      <c r="CB827" s="0" t="str">
        <f aca="false">"21.04.1763"</f>
        <v>21.04.1763</v>
      </c>
      <c r="CI827" s="0" t="s">
        <v>8287</v>
      </c>
    </row>
    <row r="828" customFormat="false" ht="12.8" hidden="false" customHeight="false" outlineLevel="0" collapsed="false">
      <c r="A828" s="0" t="s">
        <v>445</v>
      </c>
      <c r="B828" s="0" t="s">
        <v>8288</v>
      </c>
      <c r="C828" s="0" t="s">
        <v>7356</v>
      </c>
      <c r="D828" s="0" t="s">
        <v>6409</v>
      </c>
      <c r="E828" s="0" t="s">
        <v>8289</v>
      </c>
      <c r="L828" s="0" t="str">
        <f aca="false">"1763"</f>
        <v>1763</v>
      </c>
      <c r="M828" s="0" t="s">
        <v>448</v>
      </c>
      <c r="O828" s="0" t="s">
        <v>8290</v>
      </c>
      <c r="R828" s="0" t="s">
        <v>7970</v>
      </c>
      <c r="T828" s="0" t="s">
        <v>7971</v>
      </c>
      <c r="AA828" s="0" t="str">
        <f aca="false">"13141872"</f>
        <v>13141872</v>
      </c>
      <c r="AB828" s="0" t="s">
        <v>8291</v>
      </c>
      <c r="AS828" s="0" t="s">
        <v>8292</v>
      </c>
      <c r="AT828" s="0" t="s">
        <v>3623</v>
      </c>
      <c r="AU828" s="0" t="s">
        <v>2457</v>
      </c>
      <c r="AY828" s="0" t="s">
        <v>8293</v>
      </c>
      <c r="BC828" s="0" t="str">
        <f aca="false">"312920628"</f>
        <v>312920628</v>
      </c>
      <c r="BX828" s="0" t="s">
        <v>8294</v>
      </c>
      <c r="CI828" s="0" t="s">
        <v>8294</v>
      </c>
      <c r="CJ828" s="0" t="s">
        <v>8295</v>
      </c>
      <c r="CO828" s="0" t="s">
        <v>8288</v>
      </c>
    </row>
    <row r="829" customFormat="false" ht="12.8" hidden="false" customHeight="false" outlineLevel="0" collapsed="false">
      <c r="B829" s="0" t="s">
        <v>8296</v>
      </c>
      <c r="C829" s="0" t="s">
        <v>1056</v>
      </c>
      <c r="D829" s="0" t="s">
        <v>1057</v>
      </c>
      <c r="E829" s="0" t="s">
        <v>8297</v>
      </c>
      <c r="L829" s="0" t="str">
        <f aca="false">"1763"</f>
        <v>1763</v>
      </c>
      <c r="O829" s="0" t="s">
        <v>8298</v>
      </c>
      <c r="R829" s="0" t="s">
        <v>8299</v>
      </c>
      <c r="T829" s="0" t="s">
        <v>8300</v>
      </c>
      <c r="AB829" s="0" t="s">
        <v>8301</v>
      </c>
      <c r="AT829" s="0" t="s">
        <v>2601</v>
      </c>
      <c r="AU829" s="0" t="s">
        <v>2613</v>
      </c>
      <c r="AY829" s="0" t="s">
        <v>8302</v>
      </c>
      <c r="CA829" s="0" t="s">
        <v>8129</v>
      </c>
    </row>
    <row r="830" customFormat="false" ht="12.8" hidden="false" customHeight="false" outlineLevel="0" collapsed="false">
      <c r="A830" s="0" t="s">
        <v>445</v>
      </c>
      <c r="B830" s="0" t="s">
        <v>8303</v>
      </c>
      <c r="E830" s="0" t="s">
        <v>8304</v>
      </c>
      <c r="L830" s="0" t="str">
        <f aca="false">"1763"</f>
        <v>1763</v>
      </c>
      <c r="O830" s="0" t="s">
        <v>8305</v>
      </c>
      <c r="R830" s="0" t="s">
        <v>8306</v>
      </c>
      <c r="T830" s="0" t="s">
        <v>8307</v>
      </c>
      <c r="AB830" s="0" t="s">
        <v>8308</v>
      </c>
      <c r="AS830" s="0" t="s">
        <v>4363</v>
      </c>
      <c r="AT830" s="0" t="s">
        <v>2601</v>
      </c>
      <c r="AU830" s="0" t="s">
        <v>892</v>
      </c>
      <c r="AZ830" s="0" t="s">
        <v>8309</v>
      </c>
      <c r="BC830" s="0" t="str">
        <f aca="false">"210919205"</f>
        <v>210919205</v>
      </c>
      <c r="BU830" s="0" t="s">
        <v>779</v>
      </c>
    </row>
    <row r="831" customFormat="false" ht="22.5" hidden="false" customHeight="false" outlineLevel="0" collapsed="false">
      <c r="A831" s="0" t="s">
        <v>445</v>
      </c>
      <c r="B831" s="0" t="s">
        <v>8310</v>
      </c>
      <c r="C831" s="0" t="s">
        <v>397</v>
      </c>
      <c r="D831" s="0" t="s">
        <v>398</v>
      </c>
      <c r="E831" s="0" t="s">
        <v>8311</v>
      </c>
      <c r="L831" s="0" t="str">
        <f aca="false">"1763"</f>
        <v>1763</v>
      </c>
      <c r="M831" s="0" t="s">
        <v>448</v>
      </c>
      <c r="O831" s="0" t="s">
        <v>8312</v>
      </c>
      <c r="R831" s="1" t="s">
        <v>8313</v>
      </c>
      <c r="T831" s="0" t="s">
        <v>4029</v>
      </c>
      <c r="AA831" s="0" t="str">
        <f aca="false">"11916737"</f>
        <v>11916737</v>
      </c>
      <c r="AB831" s="0" t="s">
        <v>8314</v>
      </c>
      <c r="AC831" s="0" t="s">
        <v>8315</v>
      </c>
      <c r="AS831" s="0" t="s">
        <v>5977</v>
      </c>
      <c r="AT831" s="0" t="s">
        <v>2601</v>
      </c>
      <c r="AU831" s="0" t="s">
        <v>2457</v>
      </c>
      <c r="AY831" s="0" t="s">
        <v>8316</v>
      </c>
      <c r="BC831" s="0" t="s">
        <v>8317</v>
      </c>
      <c r="BX831" s="0" t="s">
        <v>8318</v>
      </c>
      <c r="CB831" s="0" t="str">
        <f aca="false">"15.02.1763"</f>
        <v>15.02.1763</v>
      </c>
      <c r="CI831" s="0" t="s">
        <v>8318</v>
      </c>
    </row>
    <row r="832" customFormat="false" ht="12.8" hidden="false" customHeight="false" outlineLevel="0" collapsed="false">
      <c r="A832" s="0" t="s">
        <v>445</v>
      </c>
      <c r="B832" s="0" t="s">
        <v>8319</v>
      </c>
      <c r="C832" s="0" t="s">
        <v>895</v>
      </c>
      <c r="D832" s="0" t="s">
        <v>896</v>
      </c>
      <c r="E832" s="0" t="s">
        <v>8320</v>
      </c>
      <c r="L832" s="0" t="str">
        <f aca="false">"1763"</f>
        <v>1763</v>
      </c>
      <c r="M832" s="0" t="s">
        <v>448</v>
      </c>
      <c r="O832" s="0" t="s">
        <v>8321</v>
      </c>
      <c r="R832" s="0" t="s">
        <v>8322</v>
      </c>
      <c r="T832" s="0" t="s">
        <v>225</v>
      </c>
      <c r="AA832" s="0" t="str">
        <f aca="false">"10865187"</f>
        <v>10865187</v>
      </c>
      <c r="AB832" s="0" t="s">
        <v>8323</v>
      </c>
      <c r="AT832" s="0" t="s">
        <v>2601</v>
      </c>
      <c r="AU832" s="0" t="s">
        <v>2457</v>
      </c>
      <c r="AY832" s="0" t="s">
        <v>8324</v>
      </c>
      <c r="BX832" s="0" t="s">
        <v>8325</v>
      </c>
      <c r="CB832" s="0" t="str">
        <f aca="false">"17.04.1763"</f>
        <v>17.04.1763</v>
      </c>
      <c r="CI832" s="0" t="s">
        <v>8325</v>
      </c>
    </row>
    <row r="833" customFormat="false" ht="12.8" hidden="false" customHeight="false" outlineLevel="0" collapsed="false">
      <c r="B833" s="0" t="s">
        <v>8326</v>
      </c>
      <c r="C833" s="0" t="s">
        <v>1685</v>
      </c>
      <c r="D833" s="0" t="s">
        <v>1686</v>
      </c>
      <c r="E833" s="0" t="s">
        <v>8327</v>
      </c>
      <c r="L833" s="0" t="str">
        <f aca="false">"1763"</f>
        <v>1763</v>
      </c>
      <c r="M833" s="0" t="s">
        <v>448</v>
      </c>
      <c r="O833" s="0" t="s">
        <v>8328</v>
      </c>
      <c r="R833" s="0" t="s">
        <v>8329</v>
      </c>
      <c r="T833" s="0" t="s">
        <v>1050</v>
      </c>
      <c r="AA833" s="0" t="str">
        <f aca="false">"10068856"</f>
        <v>10068856</v>
      </c>
      <c r="AB833" s="0" t="s">
        <v>8330</v>
      </c>
      <c r="AS833" s="0" t="s">
        <v>8331</v>
      </c>
      <c r="AT833" s="0" t="s">
        <v>2601</v>
      </c>
      <c r="AU833" s="0" t="s">
        <v>2457</v>
      </c>
      <c r="AY833" s="0" t="s">
        <v>8332</v>
      </c>
      <c r="AZ833" s="0" t="s">
        <v>8333</v>
      </c>
      <c r="BX833" s="0" t="s">
        <v>8334</v>
      </c>
      <c r="CI833" s="0" t="s">
        <v>8334</v>
      </c>
    </row>
    <row r="834" customFormat="false" ht="12.8" hidden="false" customHeight="false" outlineLevel="0" collapsed="false">
      <c r="A834" s="0" t="s">
        <v>445</v>
      </c>
      <c r="B834" s="0" t="s">
        <v>8335</v>
      </c>
      <c r="C834" s="0" t="s">
        <v>8074</v>
      </c>
      <c r="D834" s="0" t="s">
        <v>8075</v>
      </c>
      <c r="E834" s="0" t="s">
        <v>8336</v>
      </c>
      <c r="L834" s="0" t="str">
        <f aca="false">"1763"</f>
        <v>1763</v>
      </c>
      <c r="M834" s="0" t="s">
        <v>448</v>
      </c>
      <c r="O834" s="0" t="s">
        <v>8337</v>
      </c>
      <c r="R834" s="0" t="s">
        <v>8338</v>
      </c>
      <c r="T834" s="0" t="s">
        <v>8339</v>
      </c>
      <c r="AB834" s="0" t="s">
        <v>8340</v>
      </c>
      <c r="AS834" s="0" t="s">
        <v>4363</v>
      </c>
      <c r="AT834" s="0" t="s">
        <v>2601</v>
      </c>
      <c r="AU834" s="0" t="s">
        <v>892</v>
      </c>
      <c r="AY834" s="0" t="s">
        <v>8341</v>
      </c>
      <c r="AZ834" s="0" t="s">
        <v>8342</v>
      </c>
      <c r="BC834" s="0" t="str">
        <f aca="false">"210908793"</f>
        <v>210908793</v>
      </c>
      <c r="CJ834" s="0" t="s">
        <v>8343</v>
      </c>
      <c r="CO834" s="0" t="s">
        <v>8335</v>
      </c>
    </row>
    <row r="835" customFormat="false" ht="12.8" hidden="false" customHeight="false" outlineLevel="0" collapsed="false">
      <c r="B835" s="0" t="s">
        <v>8344</v>
      </c>
      <c r="C835" s="0" t="s">
        <v>1685</v>
      </c>
      <c r="D835" s="0" t="s">
        <v>1686</v>
      </c>
      <c r="E835" s="0" t="s">
        <v>8345</v>
      </c>
      <c r="L835" s="0" t="str">
        <f aca="false">"1763"</f>
        <v>1763</v>
      </c>
      <c r="M835" s="0" t="s">
        <v>448</v>
      </c>
      <c r="O835" s="0" t="s">
        <v>8346</v>
      </c>
      <c r="R835" s="0" t="s">
        <v>8347</v>
      </c>
      <c r="T835" s="0" t="s">
        <v>3198</v>
      </c>
      <c r="AA835" s="0" t="str">
        <f aca="false">"10324186"</f>
        <v>10324186</v>
      </c>
      <c r="AB835" s="0" t="s">
        <v>8348</v>
      </c>
      <c r="AS835" s="0" t="s">
        <v>2794</v>
      </c>
      <c r="AT835" s="0" t="s">
        <v>2601</v>
      </c>
      <c r="AU835" s="0" t="s">
        <v>2457</v>
      </c>
      <c r="AY835" s="0" t="s">
        <v>8349</v>
      </c>
      <c r="BX835" s="0" t="s">
        <v>8350</v>
      </c>
      <c r="CB835" s="0" t="str">
        <f aca="false">"1763"</f>
        <v>1763</v>
      </c>
      <c r="CI835" s="0" t="s">
        <v>8350</v>
      </c>
    </row>
    <row r="836" customFormat="false" ht="22.5" hidden="false" customHeight="false" outlineLevel="0" collapsed="false">
      <c r="A836" s="0" t="s">
        <v>445</v>
      </c>
      <c r="B836" s="0" t="s">
        <v>8351</v>
      </c>
      <c r="C836" s="0" t="s">
        <v>242</v>
      </c>
      <c r="D836" s="0" t="s">
        <v>243</v>
      </c>
      <c r="E836" s="0" t="s">
        <v>8352</v>
      </c>
      <c r="F836" s="0" t="s">
        <v>192</v>
      </c>
      <c r="H836" s="0" t="s">
        <v>102</v>
      </c>
      <c r="L836" s="0" t="str">
        <f aca="false">"1763"</f>
        <v>1763</v>
      </c>
      <c r="M836" s="1" t="s">
        <v>898</v>
      </c>
      <c r="O836" s="1" t="s">
        <v>8353</v>
      </c>
      <c r="T836" s="0" t="s">
        <v>6355</v>
      </c>
      <c r="AA836" s="0" t="str">
        <f aca="false">"10568123"</f>
        <v>10568123</v>
      </c>
      <c r="AB836" s="0" t="s">
        <v>8354</v>
      </c>
      <c r="AS836" s="0" t="s">
        <v>4251</v>
      </c>
      <c r="AT836" s="0" t="s">
        <v>2601</v>
      </c>
      <c r="AU836" s="0" t="s">
        <v>872</v>
      </c>
      <c r="AY836" s="0" t="s">
        <v>8355</v>
      </c>
      <c r="AZ836" s="0" t="s">
        <v>8356</v>
      </c>
      <c r="BC836" s="0" t="str">
        <f aca="false">"427605253"</f>
        <v>427605253</v>
      </c>
      <c r="BD836" s="0" t="s">
        <v>873</v>
      </c>
      <c r="BE836" s="0" t="s">
        <v>8357</v>
      </c>
      <c r="BJ836" s="0" t="s">
        <v>118</v>
      </c>
      <c r="BX836" s="0" t="s">
        <v>8358</v>
      </c>
      <c r="CI836" s="0" t="s">
        <v>8358</v>
      </c>
      <c r="CJ836" s="0" t="s">
        <v>8359</v>
      </c>
      <c r="CO836" s="0" t="s">
        <v>8351</v>
      </c>
      <c r="CR836" s="0" t="s">
        <v>8360</v>
      </c>
    </row>
    <row r="837" customFormat="false" ht="12.8" hidden="false" customHeight="false" outlineLevel="0" collapsed="false">
      <c r="B837" s="0" t="s">
        <v>8361</v>
      </c>
      <c r="C837" s="0" t="s">
        <v>397</v>
      </c>
      <c r="D837" s="0" t="s">
        <v>398</v>
      </c>
      <c r="E837" s="0" t="s">
        <v>8362</v>
      </c>
      <c r="L837" s="0" t="str">
        <f aca="false">"1763"</f>
        <v>1763</v>
      </c>
      <c r="M837" s="0" t="s">
        <v>448</v>
      </c>
      <c r="O837" s="0" t="s">
        <v>8363</v>
      </c>
      <c r="R837" s="0" t="s">
        <v>8364</v>
      </c>
      <c r="T837" s="0" t="s">
        <v>398</v>
      </c>
      <c r="AA837" s="0" t="str">
        <f aca="false">"11697830"</f>
        <v>11697830</v>
      </c>
      <c r="AB837" s="0" t="s">
        <v>8365</v>
      </c>
      <c r="AS837" s="0" t="s">
        <v>8366</v>
      </c>
      <c r="AT837" s="0" t="s">
        <v>2601</v>
      </c>
      <c r="AU837" s="0" t="s">
        <v>2457</v>
      </c>
      <c r="AY837" s="0" t="s">
        <v>8367</v>
      </c>
      <c r="BC837" s="0" t="str">
        <f aca="false">"248365495"</f>
        <v>248365495</v>
      </c>
      <c r="BX837" s="0" t="s">
        <v>8368</v>
      </c>
      <c r="CI837" s="0" t="s">
        <v>8368</v>
      </c>
    </row>
    <row r="838" customFormat="false" ht="12.8" hidden="false" customHeight="false" outlineLevel="0" collapsed="false">
      <c r="A838" s="0" t="s">
        <v>445</v>
      </c>
      <c r="B838" s="0" t="s">
        <v>8369</v>
      </c>
      <c r="C838" s="0" t="s">
        <v>1685</v>
      </c>
      <c r="D838" s="0" t="s">
        <v>1686</v>
      </c>
      <c r="E838" s="0" t="s">
        <v>8370</v>
      </c>
      <c r="L838" s="0" t="str">
        <f aca="false">"1763"</f>
        <v>1763</v>
      </c>
      <c r="M838" s="0" t="s">
        <v>448</v>
      </c>
      <c r="O838" s="0" t="s">
        <v>8371</v>
      </c>
      <c r="R838" s="0" t="s">
        <v>8372</v>
      </c>
      <c r="T838" s="0" t="s">
        <v>8373</v>
      </c>
      <c r="AA838" s="0" t="str">
        <f aca="false">"10336788"</f>
        <v>10336788</v>
      </c>
      <c r="AB838" s="0" t="s">
        <v>8374</v>
      </c>
      <c r="AG838" s="0" t="s">
        <v>242</v>
      </c>
      <c r="AH838" s="0" t="s">
        <v>243</v>
      </c>
      <c r="AI838" s="0" t="s">
        <v>8375</v>
      </c>
      <c r="AJ838" s="0" t="s">
        <v>8376</v>
      </c>
      <c r="AM838" s="0" t="s">
        <v>8377</v>
      </c>
      <c r="AS838" s="0" t="s">
        <v>8378</v>
      </c>
      <c r="AT838" s="0" t="s">
        <v>2601</v>
      </c>
      <c r="AU838" s="0" t="s">
        <v>892</v>
      </c>
      <c r="AY838" s="0" t="s">
        <v>8379</v>
      </c>
      <c r="AZ838" s="0" t="s">
        <v>8380</v>
      </c>
      <c r="BX838" s="0" t="s">
        <v>8381</v>
      </c>
      <c r="CB838" s="0" t="str">
        <f aca="false">"21.03.1763"</f>
        <v>21.03.1763</v>
      </c>
      <c r="CI838" s="0" t="s">
        <v>8381</v>
      </c>
    </row>
    <row r="839" customFormat="false" ht="12.8" hidden="false" customHeight="false" outlineLevel="0" collapsed="false">
      <c r="B839" s="0" t="s">
        <v>8382</v>
      </c>
      <c r="C839" s="0" t="s">
        <v>1056</v>
      </c>
      <c r="D839" s="0" t="s">
        <v>1057</v>
      </c>
      <c r="E839" s="0" t="s">
        <v>8383</v>
      </c>
      <c r="L839" s="0" t="str">
        <f aca="false">"1763"</f>
        <v>1763</v>
      </c>
      <c r="O839" s="0" t="s">
        <v>7796</v>
      </c>
      <c r="R839" s="0" t="s">
        <v>8384</v>
      </c>
      <c r="T839" s="0" t="s">
        <v>6621</v>
      </c>
      <c r="AT839" s="0" t="s">
        <v>2601</v>
      </c>
      <c r="AU839" s="0" t="s">
        <v>2613</v>
      </c>
      <c r="CA839" s="0" t="s">
        <v>8129</v>
      </c>
    </row>
    <row r="840" customFormat="false" ht="12.8" hidden="false" customHeight="false" outlineLevel="0" collapsed="false">
      <c r="A840" s="0" t="s">
        <v>445</v>
      </c>
      <c r="B840" s="0" t="s">
        <v>8385</v>
      </c>
      <c r="C840" s="0" t="s">
        <v>895</v>
      </c>
      <c r="D840" s="0" t="s">
        <v>896</v>
      </c>
      <c r="E840" s="0" t="s">
        <v>8386</v>
      </c>
      <c r="L840" s="0" t="str">
        <f aca="false">"1763"</f>
        <v>1763</v>
      </c>
      <c r="M840" s="0" t="s">
        <v>448</v>
      </c>
      <c r="O840" s="0" t="s">
        <v>8387</v>
      </c>
      <c r="T840" s="0" t="s">
        <v>896</v>
      </c>
      <c r="AT840" s="0" t="s">
        <v>2601</v>
      </c>
      <c r="AU840" s="0" t="s">
        <v>2457</v>
      </c>
      <c r="AZ840" s="0" t="s">
        <v>8388</v>
      </c>
      <c r="BC840" s="0" t="str">
        <f aca="false">"143798944"</f>
        <v>143798944</v>
      </c>
    </row>
    <row r="841" customFormat="false" ht="12.8" hidden="false" customHeight="false" outlineLevel="0" collapsed="false">
      <c r="B841" s="0" t="s">
        <v>8389</v>
      </c>
      <c r="C841" s="0" t="s">
        <v>8390</v>
      </c>
      <c r="D841" s="0" t="s">
        <v>6563</v>
      </c>
      <c r="E841" s="0" t="s">
        <v>8391</v>
      </c>
      <c r="L841" s="0" t="str">
        <f aca="false">"1763"</f>
        <v>1763</v>
      </c>
      <c r="O841" s="0" t="s">
        <v>8392</v>
      </c>
      <c r="R841" s="0" t="s">
        <v>8393</v>
      </c>
      <c r="T841" s="0" t="s">
        <v>8394</v>
      </c>
      <c r="AB841" s="0" t="s">
        <v>8395</v>
      </c>
      <c r="AT841" s="0" t="s">
        <v>2601</v>
      </c>
      <c r="AU841" s="0" t="s">
        <v>2613</v>
      </c>
      <c r="AY841" s="0" t="s">
        <v>8396</v>
      </c>
      <c r="CA841" s="0" t="s">
        <v>8129</v>
      </c>
    </row>
    <row r="842" customFormat="false" ht="12.8" hidden="false" customHeight="false" outlineLevel="0" collapsed="false">
      <c r="A842" s="0" t="s">
        <v>445</v>
      </c>
      <c r="B842" s="0" t="s">
        <v>8397</v>
      </c>
      <c r="C842" s="0" t="s">
        <v>242</v>
      </c>
      <c r="D842" s="0" t="s">
        <v>243</v>
      </c>
      <c r="E842" s="0" t="s">
        <v>8398</v>
      </c>
      <c r="L842" s="0" t="str">
        <f aca="false">"1763"</f>
        <v>1763</v>
      </c>
      <c r="M842" s="0" t="s">
        <v>448</v>
      </c>
      <c r="O842" s="0" t="s">
        <v>8399</v>
      </c>
      <c r="R842" s="0" t="s">
        <v>8400</v>
      </c>
      <c r="T842" s="0" t="s">
        <v>8401</v>
      </c>
      <c r="AA842" s="0" t="str">
        <f aca="false">"10565809"</f>
        <v>10565809</v>
      </c>
      <c r="AB842" s="0" t="s">
        <v>8402</v>
      </c>
      <c r="AS842" s="0" t="s">
        <v>5761</v>
      </c>
      <c r="AT842" s="0" t="s">
        <v>2601</v>
      </c>
      <c r="AU842" s="0" t="s">
        <v>2457</v>
      </c>
      <c r="AY842" s="0" t="s">
        <v>8403</v>
      </c>
      <c r="AZ842" s="0" t="s">
        <v>8404</v>
      </c>
      <c r="BC842" s="0" t="str">
        <f aca="false">"427285569"</f>
        <v>427285569</v>
      </c>
      <c r="BX842" s="0" t="s">
        <v>8405</v>
      </c>
      <c r="CI842" s="0" t="s">
        <v>8405</v>
      </c>
    </row>
    <row r="843" customFormat="false" ht="107.5" hidden="false" customHeight="false" outlineLevel="0" collapsed="false">
      <c r="A843" s="0" t="s">
        <v>445</v>
      </c>
      <c r="B843" s="0" t="s">
        <v>8406</v>
      </c>
      <c r="C843" s="0" t="s">
        <v>397</v>
      </c>
      <c r="D843" s="0" t="s">
        <v>398</v>
      </c>
      <c r="E843" s="0" t="s">
        <v>8407</v>
      </c>
      <c r="F843" s="0" t="s">
        <v>192</v>
      </c>
      <c r="H843" s="0" t="s">
        <v>102</v>
      </c>
      <c r="L843" s="0" t="str">
        <f aca="false">"1763"</f>
        <v>1763</v>
      </c>
      <c r="M843" s="0" t="s">
        <v>448</v>
      </c>
      <c r="O843" s="0" t="s">
        <v>8408</v>
      </c>
      <c r="R843" s="0" t="s">
        <v>8409</v>
      </c>
      <c r="S843" s="0" t="s">
        <v>870</v>
      </c>
      <c r="T843" s="0" t="s">
        <v>1150</v>
      </c>
      <c r="AA843" s="0" t="str">
        <f aca="false">"11970332"</f>
        <v>11970332</v>
      </c>
      <c r="AB843" s="0" t="s">
        <v>8410</v>
      </c>
      <c r="AC843" s="0" t="s">
        <v>8411</v>
      </c>
      <c r="AS843" s="0" t="s">
        <v>8412</v>
      </c>
      <c r="AT843" s="0" t="s">
        <v>2601</v>
      </c>
      <c r="AU843" s="0" t="s">
        <v>112</v>
      </c>
      <c r="AY843" s="0" t="s">
        <v>8413</v>
      </c>
      <c r="BC843" s="0" t="str">
        <f aca="false">"525970274"</f>
        <v>525970274</v>
      </c>
      <c r="BX843" s="0" t="s">
        <v>8414</v>
      </c>
      <c r="CF843" s="1" t="s">
        <v>8415</v>
      </c>
      <c r="CG843" s="0" t="s">
        <v>123</v>
      </c>
      <c r="CH843" s="1" t="s">
        <v>8416</v>
      </c>
      <c r="CI843" s="0" t="s">
        <v>8414</v>
      </c>
      <c r="CJ843" s="0" t="s">
        <v>8417</v>
      </c>
      <c r="CL843" s="0" t="s">
        <v>8418</v>
      </c>
      <c r="CM843" s="0" t="s">
        <v>8418</v>
      </c>
      <c r="CO843" s="0" t="s">
        <v>8419</v>
      </c>
      <c r="CR843" s="0" t="s">
        <v>8420</v>
      </c>
    </row>
    <row r="844" customFormat="false" ht="12.8" hidden="false" customHeight="false" outlineLevel="0" collapsed="false">
      <c r="A844" s="0" t="s">
        <v>445</v>
      </c>
      <c r="B844" s="0" t="s">
        <v>8421</v>
      </c>
      <c r="C844" s="0" t="s">
        <v>224</v>
      </c>
      <c r="D844" s="0" t="s">
        <v>225</v>
      </c>
      <c r="E844" s="0" t="s">
        <v>8422</v>
      </c>
      <c r="L844" s="0" t="str">
        <f aca="false">"1763"</f>
        <v>1763</v>
      </c>
      <c r="M844" s="0" t="s">
        <v>448</v>
      </c>
      <c r="O844" s="0" t="s">
        <v>8423</v>
      </c>
      <c r="R844" s="0" t="s">
        <v>8322</v>
      </c>
      <c r="T844" s="0" t="s">
        <v>225</v>
      </c>
      <c r="AS844" s="0" t="s">
        <v>6136</v>
      </c>
      <c r="AT844" s="0" t="s">
        <v>2601</v>
      </c>
      <c r="AU844" s="0" t="s">
        <v>2457</v>
      </c>
      <c r="AY844" s="0" t="s">
        <v>8424</v>
      </c>
      <c r="BC844" s="0" t="str">
        <f aca="false">"180827251"</f>
        <v>180827251</v>
      </c>
    </row>
    <row r="845" customFormat="false" ht="12.8" hidden="false" customHeight="false" outlineLevel="0" collapsed="false">
      <c r="B845" s="0" t="s">
        <v>8425</v>
      </c>
      <c r="C845" s="0" t="s">
        <v>1056</v>
      </c>
      <c r="D845" s="0" t="s">
        <v>1057</v>
      </c>
      <c r="E845" s="0" t="s">
        <v>8426</v>
      </c>
      <c r="L845" s="0" t="str">
        <f aca="false">"1763"</f>
        <v>1763</v>
      </c>
      <c r="O845" s="0" t="s">
        <v>7573</v>
      </c>
      <c r="R845" s="0" t="s">
        <v>8427</v>
      </c>
      <c r="T845" s="0" t="s">
        <v>1057</v>
      </c>
      <c r="AB845" s="0" t="s">
        <v>8428</v>
      </c>
      <c r="AT845" s="0" t="s">
        <v>2601</v>
      </c>
      <c r="AU845" s="0" t="s">
        <v>2613</v>
      </c>
      <c r="AY845" s="0" t="s">
        <v>8429</v>
      </c>
      <c r="CA845" s="0" t="s">
        <v>8129</v>
      </c>
    </row>
    <row r="846" customFormat="false" ht="54.35" hidden="false" customHeight="false" outlineLevel="0" collapsed="false">
      <c r="B846" s="0" t="s">
        <v>8430</v>
      </c>
      <c r="C846" s="0" t="s">
        <v>1056</v>
      </c>
      <c r="D846" s="0" t="s">
        <v>1057</v>
      </c>
      <c r="E846" s="0" t="s">
        <v>8431</v>
      </c>
      <c r="L846" s="0" t="str">
        <f aca="false">"1763"</f>
        <v>1763</v>
      </c>
      <c r="O846" s="0" t="s">
        <v>8432</v>
      </c>
      <c r="R846" s="1" t="s">
        <v>8433</v>
      </c>
      <c r="T846" s="0" t="s">
        <v>1057</v>
      </c>
      <c r="AB846" s="0" t="s">
        <v>8434</v>
      </c>
      <c r="AT846" s="0" t="s">
        <v>2601</v>
      </c>
      <c r="AU846" s="0" t="s">
        <v>2613</v>
      </c>
      <c r="AY846" s="0" t="s">
        <v>8435</v>
      </c>
      <c r="CA846" s="0" t="s">
        <v>8129</v>
      </c>
    </row>
    <row r="847" customFormat="false" ht="12.8" hidden="false" customHeight="false" outlineLevel="0" collapsed="false">
      <c r="A847" s="0" t="s">
        <v>445</v>
      </c>
      <c r="B847" s="0" t="s">
        <v>8436</v>
      </c>
      <c r="C847" s="0" t="s">
        <v>242</v>
      </c>
      <c r="D847" s="0" t="s">
        <v>243</v>
      </c>
      <c r="E847" s="0" t="s">
        <v>8437</v>
      </c>
      <c r="L847" s="0" t="str">
        <f aca="false">"1763"</f>
        <v>1763</v>
      </c>
      <c r="M847" s="0" t="s">
        <v>448</v>
      </c>
      <c r="O847" s="0" t="s">
        <v>8438</v>
      </c>
      <c r="R847" s="0" t="s">
        <v>8206</v>
      </c>
      <c r="T847" s="0" t="s">
        <v>1050</v>
      </c>
      <c r="AA847" s="0" t="str">
        <f aca="false">"10554610"</f>
        <v>10554610</v>
      </c>
      <c r="AB847" s="0" t="s">
        <v>8439</v>
      </c>
      <c r="AS847" s="0" t="s">
        <v>6136</v>
      </c>
      <c r="AT847" s="0" t="s">
        <v>2601</v>
      </c>
      <c r="AU847" s="0" t="s">
        <v>2457</v>
      </c>
      <c r="AY847" s="0" t="s">
        <v>8440</v>
      </c>
      <c r="AZ847" s="0" t="s">
        <v>8441</v>
      </c>
      <c r="BC847" s="0" t="s">
        <v>8442</v>
      </c>
      <c r="BX847" s="0" t="s">
        <v>8443</v>
      </c>
      <c r="CI847" s="0" t="s">
        <v>8443</v>
      </c>
    </row>
    <row r="848" customFormat="false" ht="12.8" hidden="false" customHeight="false" outlineLevel="0" collapsed="false">
      <c r="B848" s="0" t="s">
        <v>8444</v>
      </c>
      <c r="C848" s="0" t="s">
        <v>1685</v>
      </c>
      <c r="D848" s="0" t="s">
        <v>1686</v>
      </c>
      <c r="E848" s="0" t="s">
        <v>8445</v>
      </c>
      <c r="L848" s="0" t="str">
        <f aca="false">"1763"</f>
        <v>1763</v>
      </c>
      <c r="O848" s="0" t="s">
        <v>8446</v>
      </c>
      <c r="R848" s="0" t="s">
        <v>7872</v>
      </c>
      <c r="T848" s="0" t="s">
        <v>398</v>
      </c>
      <c r="AA848" s="0" t="str">
        <f aca="false">"11334541"</f>
        <v>11334541</v>
      </c>
      <c r="AB848" s="0" t="s">
        <v>8447</v>
      </c>
      <c r="AC848" s="0" t="s">
        <v>8448</v>
      </c>
      <c r="AT848" s="0" t="s">
        <v>2601</v>
      </c>
      <c r="AU848" s="0" t="s">
        <v>2613</v>
      </c>
      <c r="CA848" s="0" t="s">
        <v>2853</v>
      </c>
      <c r="CB848" s="0" t="str">
        <f aca="false">"25.02.1763"</f>
        <v>25.02.1763</v>
      </c>
    </row>
    <row r="849" customFormat="false" ht="12.8" hidden="false" customHeight="false" outlineLevel="0" collapsed="false">
      <c r="B849" s="0" t="s">
        <v>8449</v>
      </c>
      <c r="C849" s="0" t="s">
        <v>1056</v>
      </c>
      <c r="D849" s="0" t="s">
        <v>1057</v>
      </c>
      <c r="E849" s="0" t="s">
        <v>8450</v>
      </c>
      <c r="L849" s="0" t="str">
        <f aca="false">"1763"</f>
        <v>1763</v>
      </c>
      <c r="O849" s="0" t="s">
        <v>8451</v>
      </c>
      <c r="R849" s="0" t="s">
        <v>8452</v>
      </c>
      <c r="T849" s="0" t="s">
        <v>1057</v>
      </c>
      <c r="AB849" s="0" t="s">
        <v>8453</v>
      </c>
      <c r="AT849" s="0" t="s">
        <v>2601</v>
      </c>
      <c r="AU849" s="0" t="s">
        <v>2613</v>
      </c>
      <c r="AY849" s="0" t="s">
        <v>8454</v>
      </c>
      <c r="CA849" s="0" t="s">
        <v>8129</v>
      </c>
    </row>
    <row r="850" customFormat="false" ht="12.8" hidden="false" customHeight="false" outlineLevel="0" collapsed="false">
      <c r="B850" s="0" t="s">
        <v>8455</v>
      </c>
      <c r="C850" s="0" t="s">
        <v>1056</v>
      </c>
      <c r="D850" s="0" t="s">
        <v>1057</v>
      </c>
      <c r="E850" s="0" t="s">
        <v>8456</v>
      </c>
      <c r="L850" s="0" t="str">
        <f aca="false">"1763"</f>
        <v>1763</v>
      </c>
      <c r="O850" s="0" t="s">
        <v>8457</v>
      </c>
      <c r="R850" s="0" t="s">
        <v>8458</v>
      </c>
      <c r="T850" s="0" t="s">
        <v>8200</v>
      </c>
      <c r="AB850" s="0" t="s">
        <v>8459</v>
      </c>
      <c r="AT850" s="0" t="s">
        <v>2601</v>
      </c>
      <c r="AU850" s="0" t="s">
        <v>2613</v>
      </c>
      <c r="AY850" s="0" t="s">
        <v>8460</v>
      </c>
      <c r="CA850" s="0" t="s">
        <v>8129</v>
      </c>
    </row>
    <row r="851" customFormat="false" ht="12.8" hidden="false" customHeight="false" outlineLevel="0" collapsed="false">
      <c r="B851" s="0" t="s">
        <v>8461</v>
      </c>
      <c r="C851" s="0" t="s">
        <v>1056</v>
      </c>
      <c r="D851" s="0" t="s">
        <v>1057</v>
      </c>
      <c r="E851" s="0" t="s">
        <v>8462</v>
      </c>
      <c r="L851" s="0" t="str">
        <f aca="false">"1763"</f>
        <v>1763</v>
      </c>
      <c r="O851" s="0" t="s">
        <v>8463</v>
      </c>
      <c r="R851" s="0" t="s">
        <v>8464</v>
      </c>
      <c r="T851" s="0" t="s">
        <v>8465</v>
      </c>
      <c r="AB851" s="0" t="s">
        <v>8466</v>
      </c>
      <c r="AT851" s="0" t="s">
        <v>2601</v>
      </c>
      <c r="AU851" s="0" t="s">
        <v>2613</v>
      </c>
      <c r="AY851" s="0" t="s">
        <v>8467</v>
      </c>
      <c r="CA851" s="0" t="s">
        <v>8129</v>
      </c>
    </row>
    <row r="852" customFormat="false" ht="22.5" hidden="false" customHeight="false" outlineLevel="0" collapsed="false">
      <c r="B852" s="0" t="s">
        <v>8468</v>
      </c>
      <c r="C852" s="0" t="s">
        <v>8390</v>
      </c>
      <c r="D852" s="0" t="s">
        <v>6563</v>
      </c>
      <c r="E852" s="0" t="s">
        <v>8469</v>
      </c>
      <c r="L852" s="0" t="str">
        <f aca="false">"1763"</f>
        <v>1763</v>
      </c>
      <c r="O852" s="1" t="s">
        <v>8470</v>
      </c>
      <c r="R852" s="0" t="s">
        <v>8471</v>
      </c>
      <c r="T852" s="0" t="s">
        <v>8025</v>
      </c>
      <c r="AB852" s="0" t="s">
        <v>8472</v>
      </c>
      <c r="AT852" s="0" t="s">
        <v>2601</v>
      </c>
      <c r="AU852" s="0" t="s">
        <v>2613</v>
      </c>
      <c r="AY852" s="0" t="s">
        <v>8473</v>
      </c>
      <c r="CA852" s="0" t="s">
        <v>8129</v>
      </c>
    </row>
    <row r="853" customFormat="false" ht="12.8" hidden="false" customHeight="false" outlineLevel="0" collapsed="false">
      <c r="A853" s="0" t="s">
        <v>445</v>
      </c>
      <c r="B853" s="0" t="s">
        <v>8474</v>
      </c>
      <c r="C853" s="0" t="s">
        <v>397</v>
      </c>
      <c r="D853" s="0" t="s">
        <v>398</v>
      </c>
      <c r="E853" s="0" t="s">
        <v>8475</v>
      </c>
      <c r="L853" s="0" t="str">
        <f aca="false">"1763"</f>
        <v>1763</v>
      </c>
      <c r="M853" s="0" t="s">
        <v>448</v>
      </c>
      <c r="O853" s="0" t="s">
        <v>7662</v>
      </c>
      <c r="R853" s="0" t="s">
        <v>7642</v>
      </c>
      <c r="T853" s="0" t="s">
        <v>930</v>
      </c>
      <c r="AA853" s="0" t="str">
        <f aca="false">"11691697"</f>
        <v>11691697</v>
      </c>
      <c r="AB853" s="0" t="s">
        <v>8476</v>
      </c>
      <c r="AS853" s="0" t="s">
        <v>6136</v>
      </c>
      <c r="AT853" s="0" t="s">
        <v>2601</v>
      </c>
      <c r="AU853" s="0" t="s">
        <v>2457</v>
      </c>
      <c r="AY853" s="0" t="s">
        <v>8477</v>
      </c>
      <c r="BX853" s="0" t="s">
        <v>8478</v>
      </c>
      <c r="CB853" s="0" t="str">
        <f aca="false">"10.03.1763"</f>
        <v>10.03.1763</v>
      </c>
      <c r="CI853" s="0" t="s">
        <v>8478</v>
      </c>
    </row>
    <row r="854" customFormat="false" ht="12.8" hidden="false" customHeight="false" outlineLevel="0" collapsed="false">
      <c r="B854" s="0" t="s">
        <v>8479</v>
      </c>
      <c r="C854" s="0" t="s">
        <v>8480</v>
      </c>
      <c r="D854" s="0" t="s">
        <v>7781</v>
      </c>
      <c r="E854" s="0" t="s">
        <v>8481</v>
      </c>
      <c r="L854" s="0" t="str">
        <f aca="false">"1763"</f>
        <v>1763</v>
      </c>
      <c r="O854" s="0" t="s">
        <v>7843</v>
      </c>
      <c r="R854" s="0" t="s">
        <v>8482</v>
      </c>
      <c r="T854" s="0" t="s">
        <v>7750</v>
      </c>
      <c r="AB854" s="0" t="s">
        <v>8483</v>
      </c>
      <c r="AT854" s="0" t="s">
        <v>2601</v>
      </c>
      <c r="AU854" s="0" t="s">
        <v>2613</v>
      </c>
      <c r="AY854" s="0" t="s">
        <v>8484</v>
      </c>
    </row>
    <row r="855" customFormat="false" ht="12.8" hidden="false" customHeight="false" outlineLevel="0" collapsed="false">
      <c r="A855" s="0" t="s">
        <v>445</v>
      </c>
      <c r="B855" s="0" t="s">
        <v>8485</v>
      </c>
      <c r="C855" s="0" t="s">
        <v>2649</v>
      </c>
      <c r="D855" s="0" t="s">
        <v>2650</v>
      </c>
      <c r="E855" s="0" t="s">
        <v>8486</v>
      </c>
      <c r="L855" s="0" t="str">
        <f aca="false">"1763"</f>
        <v>1763</v>
      </c>
      <c r="M855" s="0" t="s">
        <v>448</v>
      </c>
      <c r="O855" s="0" t="s">
        <v>8487</v>
      </c>
      <c r="R855" s="0" t="s">
        <v>8488</v>
      </c>
      <c r="T855" s="0" t="s">
        <v>2650</v>
      </c>
      <c r="AG855" s="0" t="s">
        <v>2649</v>
      </c>
      <c r="AH855" s="0" t="s">
        <v>2650</v>
      </c>
      <c r="AI855" s="0" t="s">
        <v>8489</v>
      </c>
      <c r="AJ855" s="0" t="s">
        <v>8490</v>
      </c>
      <c r="AS855" s="0" t="s">
        <v>4150</v>
      </c>
      <c r="AT855" s="0" t="s">
        <v>2601</v>
      </c>
      <c r="AU855" s="0" t="s">
        <v>2457</v>
      </c>
      <c r="AZ855" s="0" t="s">
        <v>8491</v>
      </c>
      <c r="BC855" s="0" t="s">
        <v>8492</v>
      </c>
      <c r="CJ855" s="0" t="s">
        <v>8493</v>
      </c>
      <c r="CO855" s="0" t="s">
        <v>8494</v>
      </c>
    </row>
    <row r="856" customFormat="false" ht="22.5" hidden="false" customHeight="false" outlineLevel="0" collapsed="false">
      <c r="A856" s="0" t="s">
        <v>445</v>
      </c>
      <c r="B856" s="0" t="s">
        <v>8495</v>
      </c>
      <c r="C856" s="0" t="s">
        <v>1685</v>
      </c>
      <c r="D856" s="0" t="s">
        <v>1686</v>
      </c>
      <c r="E856" s="0" t="s">
        <v>8496</v>
      </c>
      <c r="L856" s="0" t="str">
        <f aca="false">"1763"</f>
        <v>1763</v>
      </c>
      <c r="M856" s="0" t="s">
        <v>448</v>
      </c>
      <c r="O856" s="0" t="s">
        <v>8497</v>
      </c>
      <c r="R856" s="0" t="s">
        <v>8498</v>
      </c>
      <c r="T856" s="1" t="s">
        <v>8499</v>
      </c>
      <c r="AA856" s="0" t="str">
        <f aca="false">"10057374"</f>
        <v>10057374</v>
      </c>
      <c r="AB856" s="0" t="s">
        <v>8500</v>
      </c>
      <c r="AS856" s="0" t="s">
        <v>8501</v>
      </c>
      <c r="AT856" s="0" t="s">
        <v>2601</v>
      </c>
      <c r="AU856" s="0" t="s">
        <v>2457</v>
      </c>
      <c r="AY856" s="0" t="s">
        <v>8502</v>
      </c>
      <c r="BX856" s="0" t="s">
        <v>8503</v>
      </c>
      <c r="CB856" s="0" t="str">
        <f aca="false">"21.03.1763"</f>
        <v>21.03.1763</v>
      </c>
      <c r="CI856" s="0" t="s">
        <v>8503</v>
      </c>
    </row>
    <row r="857" customFormat="false" ht="12.8" hidden="false" customHeight="false" outlineLevel="0" collapsed="false">
      <c r="A857" s="0" t="s">
        <v>445</v>
      </c>
      <c r="B857" s="0" t="s">
        <v>8504</v>
      </c>
      <c r="C857" s="0" t="s">
        <v>1685</v>
      </c>
      <c r="D857" s="0" t="s">
        <v>1686</v>
      </c>
      <c r="E857" s="0" t="s">
        <v>8505</v>
      </c>
      <c r="L857" s="0" t="str">
        <f aca="false">"1763"</f>
        <v>1763</v>
      </c>
      <c r="M857" s="0" t="s">
        <v>448</v>
      </c>
      <c r="O857" s="0" t="s">
        <v>8117</v>
      </c>
      <c r="R857" s="0" t="s">
        <v>1686</v>
      </c>
      <c r="T857" s="0" t="s">
        <v>8118</v>
      </c>
      <c r="AA857" s="0" t="str">
        <f aca="false">"11092246"</f>
        <v>11092246</v>
      </c>
      <c r="AB857" s="0" t="s">
        <v>8506</v>
      </c>
      <c r="AS857" s="0" t="s">
        <v>4363</v>
      </c>
      <c r="AT857" s="0" t="s">
        <v>2601</v>
      </c>
      <c r="AU857" s="0" t="s">
        <v>892</v>
      </c>
      <c r="AY857" s="0" t="s">
        <v>8507</v>
      </c>
      <c r="BX857" s="0" t="s">
        <v>8508</v>
      </c>
      <c r="CI857" s="0" t="s">
        <v>8508</v>
      </c>
    </row>
    <row r="858" customFormat="false" ht="22.5" hidden="false" customHeight="false" outlineLevel="0" collapsed="false">
      <c r="B858" s="0" t="s">
        <v>8509</v>
      </c>
      <c r="C858" s="0" t="s">
        <v>397</v>
      </c>
      <c r="D858" s="0" t="s">
        <v>398</v>
      </c>
      <c r="E858" s="0" t="s">
        <v>8510</v>
      </c>
      <c r="L858" s="0" t="str">
        <f aca="false">"1763"</f>
        <v>1763</v>
      </c>
      <c r="M858" s="0" t="s">
        <v>448</v>
      </c>
      <c r="O858" s="0" t="s">
        <v>8511</v>
      </c>
      <c r="R858" s="1" t="s">
        <v>8512</v>
      </c>
      <c r="T858" s="0" t="s">
        <v>4029</v>
      </c>
      <c r="AA858" s="0" t="str">
        <f aca="false">"11819839"</f>
        <v>11819839</v>
      </c>
      <c r="AB858" s="0" t="s">
        <v>8513</v>
      </c>
      <c r="AC858" s="0" t="s">
        <v>8514</v>
      </c>
      <c r="AS858" s="0" t="s">
        <v>4251</v>
      </c>
      <c r="AT858" s="0" t="s">
        <v>2601</v>
      </c>
      <c r="AU858" s="0" t="s">
        <v>2457</v>
      </c>
      <c r="AY858" s="0" t="s">
        <v>8515</v>
      </c>
      <c r="AZ858" s="0" t="s">
        <v>8516</v>
      </c>
      <c r="BC858" s="0" t="str">
        <f aca="false">"412495007"</f>
        <v>412495007</v>
      </c>
      <c r="BX858" s="0" t="s">
        <v>8517</v>
      </c>
      <c r="CB858" s="0" t="str">
        <f aca="false">"13.03.1763"</f>
        <v>13.03.1763</v>
      </c>
      <c r="CI858" s="0" t="s">
        <v>8517</v>
      </c>
    </row>
    <row r="859" customFormat="false" ht="22.5" hidden="false" customHeight="false" outlineLevel="0" collapsed="false">
      <c r="A859" s="0" t="s">
        <v>445</v>
      </c>
      <c r="C859" s="0" t="s">
        <v>2696</v>
      </c>
      <c r="D859" s="1" t="s">
        <v>2697</v>
      </c>
      <c r="E859" s="0" t="s">
        <v>8518</v>
      </c>
      <c r="L859" s="0" t="str">
        <f aca="false">"1763"</f>
        <v>1763</v>
      </c>
      <c r="M859" s="0" t="s">
        <v>448</v>
      </c>
      <c r="O859" s="0" t="s">
        <v>8519</v>
      </c>
      <c r="Q859" s="0" t="str">
        <f aca="false">"2."</f>
        <v>2.</v>
      </c>
      <c r="R859" s="0" t="s">
        <v>8520</v>
      </c>
      <c r="T859" s="1" t="s">
        <v>3708</v>
      </c>
      <c r="AS859" s="0" t="s">
        <v>8521</v>
      </c>
      <c r="AT859" s="0" t="s">
        <v>2601</v>
      </c>
      <c r="AU859" s="0" t="s">
        <v>2457</v>
      </c>
      <c r="AY859" s="0" t="s">
        <v>8522</v>
      </c>
      <c r="BC859" s="0" t="str">
        <f aca="false">"184657105"</f>
        <v>184657105</v>
      </c>
    </row>
    <row r="860" customFormat="false" ht="12.8" hidden="false" customHeight="false" outlineLevel="0" collapsed="false">
      <c r="A860" s="0" t="s">
        <v>445</v>
      </c>
      <c r="B860" s="0" t="s">
        <v>8523</v>
      </c>
      <c r="E860" s="0" t="s">
        <v>8524</v>
      </c>
      <c r="L860" s="0" t="str">
        <f aca="false">"1763"</f>
        <v>1763</v>
      </c>
      <c r="M860" s="0" t="s">
        <v>448</v>
      </c>
      <c r="O860" s="0" t="s">
        <v>8519</v>
      </c>
      <c r="R860" s="0" t="s">
        <v>8525</v>
      </c>
      <c r="T860" s="0" t="s">
        <v>8526</v>
      </c>
      <c r="AG860" s="0" t="s">
        <v>397</v>
      </c>
      <c r="AH860" s="0" t="s">
        <v>398</v>
      </c>
      <c r="AJ860" s="0" t="s">
        <v>5334</v>
      </c>
      <c r="AS860" s="0" t="s">
        <v>5630</v>
      </c>
      <c r="AT860" s="0" t="s">
        <v>2601</v>
      </c>
      <c r="AU860" s="0" t="s">
        <v>2457</v>
      </c>
      <c r="BN860" s="0" t="s">
        <v>8527</v>
      </c>
    </row>
    <row r="861" customFormat="false" ht="22.5" hidden="false" customHeight="false" outlineLevel="0" collapsed="false">
      <c r="B861" s="0" t="s">
        <v>8528</v>
      </c>
      <c r="C861" s="0" t="s">
        <v>8529</v>
      </c>
      <c r="D861" s="0" t="s">
        <v>4707</v>
      </c>
      <c r="E861" s="0" t="s">
        <v>8530</v>
      </c>
      <c r="L861" s="0" t="str">
        <f aca="false">"1763"</f>
        <v>1763</v>
      </c>
      <c r="M861" s="1" t="s">
        <v>2609</v>
      </c>
      <c r="O861" s="1" t="s">
        <v>8531</v>
      </c>
      <c r="R861" s="0" t="s">
        <v>8532</v>
      </c>
      <c r="T861" s="0" t="s">
        <v>8533</v>
      </c>
      <c r="U861" s="0" t="s">
        <v>8534</v>
      </c>
      <c r="V861" s="0" t="s">
        <v>8535</v>
      </c>
      <c r="AB861" s="0" t="s">
        <v>8536</v>
      </c>
      <c r="AS861" s="0" t="s">
        <v>8537</v>
      </c>
      <c r="AT861" s="0" t="s">
        <v>2601</v>
      </c>
      <c r="AU861" s="0" t="s">
        <v>2457</v>
      </c>
      <c r="AY861" s="0" t="s">
        <v>8538</v>
      </c>
      <c r="AZ861" s="0" t="s">
        <v>8539</v>
      </c>
      <c r="BX861" s="0" t="s">
        <v>8540</v>
      </c>
      <c r="CB861" s="0" t="str">
        <f aca="false">"12.12.1762"</f>
        <v>12.12.1762</v>
      </c>
      <c r="CI861" s="0" t="s">
        <v>8540</v>
      </c>
    </row>
    <row r="862" customFormat="false" ht="12.8" hidden="false" customHeight="false" outlineLevel="0" collapsed="false">
      <c r="B862" s="0" t="s">
        <v>8541</v>
      </c>
      <c r="C862" s="0" t="s">
        <v>1056</v>
      </c>
      <c r="D862" s="0" t="s">
        <v>1057</v>
      </c>
      <c r="E862" s="0" t="s">
        <v>8542</v>
      </c>
      <c r="L862" s="0" t="str">
        <f aca="false">"1763"</f>
        <v>1763</v>
      </c>
      <c r="O862" s="0" t="s">
        <v>8543</v>
      </c>
      <c r="R862" s="0" t="s">
        <v>8544</v>
      </c>
      <c r="T862" s="0" t="s">
        <v>8025</v>
      </c>
      <c r="AB862" s="0" t="s">
        <v>8545</v>
      </c>
      <c r="AT862" s="0" t="s">
        <v>2601</v>
      </c>
      <c r="AU862" s="0" t="s">
        <v>2613</v>
      </c>
      <c r="AY862" s="0" t="s">
        <v>8546</v>
      </c>
      <c r="CA862" s="0" t="s">
        <v>8129</v>
      </c>
    </row>
    <row r="863" customFormat="false" ht="22.5" hidden="false" customHeight="false" outlineLevel="0" collapsed="false">
      <c r="A863" s="0" t="s">
        <v>445</v>
      </c>
      <c r="B863" s="0" t="s">
        <v>8547</v>
      </c>
      <c r="C863" s="0" t="s">
        <v>242</v>
      </c>
      <c r="D863" s="0" t="s">
        <v>243</v>
      </c>
      <c r="E863" s="0" t="s">
        <v>8548</v>
      </c>
      <c r="L863" s="0" t="str">
        <f aca="false">"1763"</f>
        <v>1763</v>
      </c>
      <c r="M863" s="0" t="s">
        <v>448</v>
      </c>
      <c r="O863" s="0" t="s">
        <v>8549</v>
      </c>
      <c r="R863" s="0" t="s">
        <v>8498</v>
      </c>
      <c r="T863" s="0" t="s">
        <v>243</v>
      </c>
      <c r="AA863" s="0" t="str">
        <f aca="false">"10544011"</f>
        <v>10544011</v>
      </c>
      <c r="AB863" s="0" t="s">
        <v>8550</v>
      </c>
      <c r="AS863" s="0" t="s">
        <v>5977</v>
      </c>
      <c r="AT863" s="0" t="s">
        <v>2601</v>
      </c>
      <c r="AU863" s="0" t="s">
        <v>112</v>
      </c>
      <c r="AY863" s="0" t="s">
        <v>8551</v>
      </c>
      <c r="AZ863" s="0" t="s">
        <v>8552</v>
      </c>
      <c r="BC863" s="0" t="s">
        <v>8553</v>
      </c>
      <c r="BX863" s="0" t="s">
        <v>8554</v>
      </c>
      <c r="CF863" s="0" t="s">
        <v>8555</v>
      </c>
      <c r="CG863" s="0" t="s">
        <v>123</v>
      </c>
      <c r="CH863" s="1" t="s">
        <v>8556</v>
      </c>
      <c r="CI863" s="0" t="s">
        <v>8554</v>
      </c>
      <c r="CJ863" s="0" t="s">
        <v>8557</v>
      </c>
      <c r="CL863" s="0" t="s">
        <v>8558</v>
      </c>
      <c r="CM863" s="0" t="s">
        <v>8558</v>
      </c>
      <c r="CO863" s="0" t="s">
        <v>8547</v>
      </c>
      <c r="CR863" s="0" t="s">
        <v>8559</v>
      </c>
    </row>
    <row r="864" customFormat="false" ht="33.1" hidden="false" customHeight="false" outlineLevel="0" collapsed="false">
      <c r="A864" s="0" t="s">
        <v>445</v>
      </c>
      <c r="B864" s="0" t="s">
        <v>8560</v>
      </c>
      <c r="C864" s="0" t="s">
        <v>242</v>
      </c>
      <c r="D864" s="0" t="s">
        <v>243</v>
      </c>
      <c r="E864" s="0" t="s">
        <v>8561</v>
      </c>
      <c r="L864" s="0" t="str">
        <f aca="false">"1763"</f>
        <v>1763</v>
      </c>
      <c r="M864" s="0" t="s">
        <v>448</v>
      </c>
      <c r="O864" s="0" t="s">
        <v>8562</v>
      </c>
      <c r="R864" s="0" t="s">
        <v>8563</v>
      </c>
      <c r="T864" s="1" t="s">
        <v>8564</v>
      </c>
      <c r="AA864" s="0" t="str">
        <f aca="false">"10218599"</f>
        <v>10218599</v>
      </c>
      <c r="AB864" s="0" t="s">
        <v>8565</v>
      </c>
      <c r="AS864" s="0" t="str">
        <f aca="false">"32"</f>
        <v>32</v>
      </c>
      <c r="AT864" s="0" t="s">
        <v>2601</v>
      </c>
      <c r="AU864" s="0" t="s">
        <v>892</v>
      </c>
      <c r="AY864" s="0" t="s">
        <v>8566</v>
      </c>
      <c r="BC864" s="0" t="str">
        <f aca="false">"683594710"</f>
        <v>683594710</v>
      </c>
      <c r="BX864" s="0" t="s">
        <v>8567</v>
      </c>
      <c r="CI864" s="0" t="s">
        <v>8567</v>
      </c>
    </row>
    <row r="865" customFormat="false" ht="12.8" hidden="false" customHeight="false" outlineLevel="0" collapsed="false">
      <c r="A865" s="0" t="s">
        <v>445</v>
      </c>
      <c r="B865" s="0" t="s">
        <v>8568</v>
      </c>
      <c r="C865" s="0" t="s">
        <v>4706</v>
      </c>
      <c r="D865" s="0" t="s">
        <v>4707</v>
      </c>
      <c r="E865" s="0" t="s">
        <v>8569</v>
      </c>
      <c r="L865" s="0" t="str">
        <f aca="false">"1767"</f>
        <v>1767</v>
      </c>
      <c r="M865" s="0" t="s">
        <v>448</v>
      </c>
      <c r="O865" s="0" t="s">
        <v>8519</v>
      </c>
      <c r="R865" s="0" t="s">
        <v>8570</v>
      </c>
      <c r="T865" s="0" t="s">
        <v>6621</v>
      </c>
      <c r="U865" s="0" t="s">
        <v>8534</v>
      </c>
      <c r="V865" s="0" t="s">
        <v>8571</v>
      </c>
      <c r="AB865" s="0" t="s">
        <v>8572</v>
      </c>
      <c r="AS865" s="0" t="s">
        <v>8573</v>
      </c>
      <c r="AT865" s="0" t="s">
        <v>2601</v>
      </c>
      <c r="AU865" s="0" t="s">
        <v>2457</v>
      </c>
      <c r="AY865" s="0" t="s">
        <v>8522</v>
      </c>
      <c r="BX865" s="0" t="s">
        <v>8574</v>
      </c>
      <c r="CI865" s="0" t="s">
        <v>8574</v>
      </c>
    </row>
    <row r="866" customFormat="false" ht="12.8" hidden="false" customHeight="false" outlineLevel="0" collapsed="false">
      <c r="B866" s="0" t="s">
        <v>8575</v>
      </c>
      <c r="C866" s="0" t="s">
        <v>1056</v>
      </c>
      <c r="D866" s="0" t="s">
        <v>1057</v>
      </c>
      <c r="E866" s="0" t="s">
        <v>8576</v>
      </c>
      <c r="L866" s="0" t="str">
        <f aca="false">"1768"</f>
        <v>1768</v>
      </c>
      <c r="O866" s="0" t="s">
        <v>8519</v>
      </c>
      <c r="R866" s="0" t="s">
        <v>8577</v>
      </c>
      <c r="T866" s="0" t="s">
        <v>7750</v>
      </c>
      <c r="U866" s="0" t="s">
        <v>8534</v>
      </c>
      <c r="V866" s="0" t="s">
        <v>8578</v>
      </c>
      <c r="AB866" s="0" t="s">
        <v>8579</v>
      </c>
      <c r="AS866" s="0" t="s">
        <v>8580</v>
      </c>
      <c r="AT866" s="0" t="s">
        <v>2601</v>
      </c>
      <c r="AU866" s="0" t="s">
        <v>2457</v>
      </c>
      <c r="AY866" s="0" t="s">
        <v>8581</v>
      </c>
      <c r="BX866" s="0" t="s">
        <v>8582</v>
      </c>
      <c r="CI866" s="0" t="s">
        <v>8582</v>
      </c>
    </row>
    <row r="867" customFormat="false" ht="12.8" hidden="false" customHeight="false" outlineLevel="0" collapsed="false">
      <c r="B867" s="0" t="s">
        <v>8583</v>
      </c>
      <c r="C867" s="0" t="s">
        <v>397</v>
      </c>
      <c r="D867" s="0" t="s">
        <v>398</v>
      </c>
      <c r="E867" s="0" t="s">
        <v>8584</v>
      </c>
      <c r="L867" s="0" t="str">
        <f aca="false">"1771"</f>
        <v>1771</v>
      </c>
      <c r="M867" s="0" t="s">
        <v>448</v>
      </c>
      <c r="O867" s="0" t="s">
        <v>8408</v>
      </c>
      <c r="R867" s="0" t="s">
        <v>8585</v>
      </c>
      <c r="T867" s="0" t="s">
        <v>1150</v>
      </c>
      <c r="AA867" s="0" t="s">
        <v>8586</v>
      </c>
      <c r="AB867" s="0" t="s">
        <v>8587</v>
      </c>
      <c r="AS867" s="0" t="s">
        <v>8588</v>
      </c>
      <c r="AT867" s="0" t="s">
        <v>2601</v>
      </c>
      <c r="AU867" s="0" t="s">
        <v>2457</v>
      </c>
      <c r="AY867" s="0" t="s">
        <v>8589</v>
      </c>
      <c r="BC867" s="0" t="str">
        <f aca="false">"271426101"</f>
        <v>271426101</v>
      </c>
      <c r="BU867" s="0" t="s">
        <v>8590</v>
      </c>
      <c r="BX867" s="0" t="s">
        <v>8591</v>
      </c>
      <c r="CC867" s="0" t="s">
        <v>8592</v>
      </c>
      <c r="CI867" s="0" t="s">
        <v>8591</v>
      </c>
    </row>
    <row r="868" customFormat="false" ht="12.8" hidden="false" customHeight="false" outlineLevel="0" collapsed="false">
      <c r="A868" s="0" t="s">
        <v>445</v>
      </c>
      <c r="B868" s="0" t="s">
        <v>8593</v>
      </c>
      <c r="C868" s="0" t="s">
        <v>1685</v>
      </c>
      <c r="D868" s="0" t="s">
        <v>1686</v>
      </c>
      <c r="E868" s="0" t="s">
        <v>8594</v>
      </c>
      <c r="L868" s="0" t="str">
        <f aca="false">"1779"</f>
        <v>1779</v>
      </c>
      <c r="M868" s="0" t="s">
        <v>1993</v>
      </c>
      <c r="O868" s="0" t="s">
        <v>8595</v>
      </c>
      <c r="R868" s="0" t="s">
        <v>8596</v>
      </c>
      <c r="T868" s="0" t="s">
        <v>8597</v>
      </c>
      <c r="AA868" s="0" t="str">
        <f aca="false">"10438394"</f>
        <v>10438394</v>
      </c>
      <c r="AB868" s="0" t="s">
        <v>8598</v>
      </c>
      <c r="AS868" s="0" t="s">
        <v>2794</v>
      </c>
      <c r="AT868" s="0" t="s">
        <v>2601</v>
      </c>
      <c r="AU868" s="0" t="s">
        <v>2457</v>
      </c>
      <c r="AY868" s="0" t="s">
        <v>8599</v>
      </c>
      <c r="BX868" s="0" t="s">
        <v>8600</v>
      </c>
      <c r="CI868" s="0" t="s">
        <v>8600</v>
      </c>
    </row>
    <row r="869" customFormat="false" ht="12.8" hidden="false" customHeight="false" outlineLevel="0" collapsed="false">
      <c r="A869" s="0" t="s">
        <v>445</v>
      </c>
      <c r="B869" s="0" t="s">
        <v>8601</v>
      </c>
      <c r="C869" s="0" t="s">
        <v>242</v>
      </c>
      <c r="D869" s="0" t="s">
        <v>243</v>
      </c>
      <c r="E869" s="0" t="s">
        <v>8602</v>
      </c>
      <c r="L869" s="0" t="str">
        <f aca="false">"1779"</f>
        <v>1779</v>
      </c>
      <c r="M869" s="0" t="s">
        <v>448</v>
      </c>
      <c r="O869" s="0" t="s">
        <v>8603</v>
      </c>
      <c r="R869" s="0" t="s">
        <v>8604</v>
      </c>
      <c r="T869" s="0" t="s">
        <v>398</v>
      </c>
      <c r="AA869" s="0" t="str">
        <f aca="false">"11621109"</f>
        <v>11621109</v>
      </c>
      <c r="AB869" s="0" t="s">
        <v>8605</v>
      </c>
      <c r="AS869" s="0" t="s">
        <v>4251</v>
      </c>
      <c r="AT869" s="0" t="s">
        <v>2601</v>
      </c>
      <c r="AU869" s="0" t="s">
        <v>2457</v>
      </c>
      <c r="BC869" s="0" t="str">
        <f aca="false">"338914579"</f>
        <v>338914579</v>
      </c>
      <c r="BX869" s="0" t="s">
        <v>8606</v>
      </c>
      <c r="CI869" s="0" t="s">
        <v>8606</v>
      </c>
    </row>
    <row r="870" customFormat="false" ht="12.8" hidden="false" customHeight="false" outlineLevel="0" collapsed="false">
      <c r="A870" s="0" t="s">
        <v>445</v>
      </c>
      <c r="B870" s="0" t="s">
        <v>8607</v>
      </c>
      <c r="C870" s="0" t="s">
        <v>397</v>
      </c>
      <c r="D870" s="0" t="s">
        <v>398</v>
      </c>
      <c r="E870" s="0" t="s">
        <v>8608</v>
      </c>
      <c r="L870" s="0" t="str">
        <f aca="false">"1779"</f>
        <v>1779</v>
      </c>
      <c r="M870" s="0" t="s">
        <v>448</v>
      </c>
      <c r="O870" s="0" t="s">
        <v>8609</v>
      </c>
      <c r="R870" s="0" t="s">
        <v>8098</v>
      </c>
      <c r="T870" s="0" t="s">
        <v>398</v>
      </c>
      <c r="AA870" s="0" t="str">
        <f aca="false">"11938471"</f>
        <v>11938471</v>
      </c>
      <c r="AB870" s="0" t="s">
        <v>8610</v>
      </c>
      <c r="AS870" s="0" t="s">
        <v>5771</v>
      </c>
      <c r="AT870" s="0" t="s">
        <v>2601</v>
      </c>
      <c r="AU870" s="0" t="s">
        <v>2457</v>
      </c>
      <c r="AY870" s="0" t="s">
        <v>8611</v>
      </c>
      <c r="BC870" s="0" t="str">
        <f aca="false">"470552980"</f>
        <v>470552980</v>
      </c>
      <c r="BX870" s="0" t="s">
        <v>8612</v>
      </c>
      <c r="CI870" s="0" t="s">
        <v>8612</v>
      </c>
    </row>
    <row r="871" customFormat="false" ht="12.8" hidden="false" customHeight="false" outlineLevel="0" collapsed="false">
      <c r="A871" s="0" t="s">
        <v>445</v>
      </c>
      <c r="C871" s="0" t="s">
        <v>397</v>
      </c>
      <c r="D871" s="0" t="s">
        <v>398</v>
      </c>
      <c r="E871" s="0" t="s">
        <v>8613</v>
      </c>
      <c r="L871" s="0" t="str">
        <f aca="false">"1779"</f>
        <v>1779</v>
      </c>
      <c r="M871" s="0" t="s">
        <v>448</v>
      </c>
      <c r="O871" s="0" t="s">
        <v>8614</v>
      </c>
      <c r="R871" s="0" t="s">
        <v>8615</v>
      </c>
      <c r="T871" s="0" t="s">
        <v>4059</v>
      </c>
      <c r="AS871" s="0" t="s">
        <v>8616</v>
      </c>
      <c r="AT871" s="0" t="s">
        <v>2601</v>
      </c>
      <c r="AU871" s="0" t="s">
        <v>2457</v>
      </c>
      <c r="AY871" s="0" t="s">
        <v>8617</v>
      </c>
      <c r="CB871" s="0" t="str">
        <f aca="false">"13.05.1779"</f>
        <v>13.05.1779</v>
      </c>
    </row>
    <row r="872" customFormat="false" ht="12.8" hidden="false" customHeight="false" outlineLevel="0" collapsed="false">
      <c r="B872" s="0" t="s">
        <v>8618</v>
      </c>
      <c r="C872" s="0" t="s">
        <v>242</v>
      </c>
      <c r="D872" s="0" t="s">
        <v>243</v>
      </c>
      <c r="E872" s="0" t="s">
        <v>8619</v>
      </c>
      <c r="L872" s="0" t="str">
        <f aca="false">"1779"</f>
        <v>1779</v>
      </c>
      <c r="M872" s="0" t="s">
        <v>1993</v>
      </c>
      <c r="O872" s="0" t="s">
        <v>7648</v>
      </c>
      <c r="R872" s="0" t="s">
        <v>8620</v>
      </c>
      <c r="T872" s="0" t="s">
        <v>398</v>
      </c>
      <c r="AA872" s="0" t="str">
        <f aca="false">"10245677"</f>
        <v>10245677</v>
      </c>
      <c r="AB872" s="0" t="s">
        <v>8621</v>
      </c>
      <c r="AS872" s="0" t="s">
        <v>4363</v>
      </c>
      <c r="AT872" s="0" t="s">
        <v>2601</v>
      </c>
      <c r="AU872" s="0" t="s">
        <v>2457</v>
      </c>
      <c r="AY872" s="0" t="s">
        <v>8622</v>
      </c>
      <c r="BC872" s="0" t="s">
        <v>8623</v>
      </c>
      <c r="BX872" s="0" t="s">
        <v>8624</v>
      </c>
      <c r="CI872" s="0" t="s">
        <v>8624</v>
      </c>
    </row>
    <row r="873" customFormat="false" ht="12.8" hidden="false" customHeight="false" outlineLevel="0" collapsed="false">
      <c r="A873" s="0" t="s">
        <v>445</v>
      </c>
      <c r="B873" s="0" t="s">
        <v>8625</v>
      </c>
      <c r="C873" s="0" t="s">
        <v>397</v>
      </c>
      <c r="D873" s="0" t="s">
        <v>398</v>
      </c>
      <c r="E873" s="0" t="s">
        <v>8626</v>
      </c>
      <c r="L873" s="0" t="str">
        <f aca="false">"1779"</f>
        <v>1779</v>
      </c>
      <c r="M873" s="0" t="s">
        <v>448</v>
      </c>
      <c r="O873" s="0" t="s">
        <v>8627</v>
      </c>
      <c r="R873" s="0" t="s">
        <v>8098</v>
      </c>
      <c r="T873" s="0" t="s">
        <v>398</v>
      </c>
      <c r="AA873" s="0" t="s">
        <v>8628</v>
      </c>
      <c r="AB873" s="0" t="s">
        <v>8629</v>
      </c>
      <c r="AS873" s="0" t="s">
        <v>6136</v>
      </c>
      <c r="AT873" s="0" t="s">
        <v>2601</v>
      </c>
      <c r="AU873" s="0" t="s">
        <v>2457</v>
      </c>
      <c r="BC873" s="0" t="str">
        <f aca="false">"364277866"</f>
        <v>364277866</v>
      </c>
      <c r="BX873" s="0" t="s">
        <v>8630</v>
      </c>
      <c r="CI873" s="0" t="s">
        <v>8630</v>
      </c>
    </row>
    <row r="874" customFormat="false" ht="12.8" hidden="false" customHeight="false" outlineLevel="0" collapsed="false">
      <c r="B874" s="0" t="s">
        <v>8631</v>
      </c>
      <c r="C874" s="0" t="s">
        <v>1056</v>
      </c>
      <c r="D874" s="0" t="s">
        <v>1057</v>
      </c>
      <c r="E874" s="0" t="s">
        <v>8632</v>
      </c>
      <c r="L874" s="0" t="str">
        <f aca="false">"1783"</f>
        <v>1783</v>
      </c>
      <c r="O874" s="0" t="s">
        <v>8633</v>
      </c>
      <c r="R874" s="0" t="s">
        <v>8634</v>
      </c>
      <c r="T874" s="0" t="s">
        <v>1057</v>
      </c>
      <c r="AB874" s="0" t="s">
        <v>8635</v>
      </c>
      <c r="AT874" s="0" t="s">
        <v>2601</v>
      </c>
      <c r="AU874" s="0" t="s">
        <v>2613</v>
      </c>
      <c r="AY874" s="0" t="s">
        <v>8636</v>
      </c>
    </row>
    <row r="875" customFormat="false" ht="12.8" hidden="false" customHeight="false" outlineLevel="0" collapsed="false">
      <c r="B875" s="0" t="s">
        <v>8637</v>
      </c>
      <c r="C875" s="0" t="s">
        <v>1056</v>
      </c>
      <c r="D875" s="0" t="s">
        <v>1057</v>
      </c>
      <c r="E875" s="0" t="s">
        <v>8638</v>
      </c>
      <c r="L875" s="0" t="str">
        <f aca="false">"1784"</f>
        <v>1784</v>
      </c>
      <c r="O875" s="0" t="s">
        <v>8639</v>
      </c>
      <c r="R875" s="0" t="s">
        <v>8640</v>
      </c>
      <c r="T875" s="0" t="s">
        <v>8025</v>
      </c>
      <c r="AB875" s="0" t="s">
        <v>8641</v>
      </c>
      <c r="AT875" s="0" t="s">
        <v>2601</v>
      </c>
      <c r="AU875" s="0" t="s">
        <v>2613</v>
      </c>
      <c r="AY875" s="0" t="s">
        <v>8642</v>
      </c>
      <c r="CA875" s="0" t="s">
        <v>8643</v>
      </c>
    </row>
    <row r="876" customFormat="false" ht="12.8" hidden="false" customHeight="false" outlineLevel="0" collapsed="false">
      <c r="B876" s="0" t="s">
        <v>8644</v>
      </c>
      <c r="C876" s="0" t="s">
        <v>1056</v>
      </c>
      <c r="D876" s="0" t="s">
        <v>1057</v>
      </c>
      <c r="E876" s="0" t="s">
        <v>8645</v>
      </c>
      <c r="L876" s="0" t="str">
        <f aca="false">"1784"</f>
        <v>1784</v>
      </c>
      <c r="O876" s="0" t="s">
        <v>8646</v>
      </c>
      <c r="R876" s="0" t="s">
        <v>8647</v>
      </c>
      <c r="T876" s="0" t="s">
        <v>1057</v>
      </c>
      <c r="AB876" s="0" t="s">
        <v>8648</v>
      </c>
      <c r="AT876" s="0" t="s">
        <v>2601</v>
      </c>
      <c r="AU876" s="0" t="s">
        <v>2613</v>
      </c>
      <c r="CA876" s="0" t="s">
        <v>8649</v>
      </c>
    </row>
    <row r="877" customFormat="false" ht="12.8" hidden="false" customHeight="false" outlineLevel="0" collapsed="false">
      <c r="B877" s="0" t="s">
        <v>8650</v>
      </c>
      <c r="C877" s="0" t="s">
        <v>1056</v>
      </c>
      <c r="D877" s="0" t="s">
        <v>1057</v>
      </c>
      <c r="E877" s="0" t="s">
        <v>8651</v>
      </c>
      <c r="L877" s="0" t="str">
        <f aca="false">"1784"</f>
        <v>1784</v>
      </c>
      <c r="O877" s="0" t="s">
        <v>8652</v>
      </c>
      <c r="R877" s="0" t="s">
        <v>8653</v>
      </c>
      <c r="T877" s="0" t="s">
        <v>1057</v>
      </c>
      <c r="AB877" s="0" t="s">
        <v>8654</v>
      </c>
      <c r="AT877" s="0" t="s">
        <v>2601</v>
      </c>
      <c r="AU877" s="0" t="s">
        <v>2613</v>
      </c>
      <c r="AY877" s="0" t="s">
        <v>8655</v>
      </c>
      <c r="CA877" s="0" t="s">
        <v>8649</v>
      </c>
    </row>
    <row r="878" customFormat="false" ht="12.8" hidden="false" customHeight="false" outlineLevel="0" collapsed="false">
      <c r="B878" s="0" t="s">
        <v>8656</v>
      </c>
      <c r="C878" s="0" t="s">
        <v>8390</v>
      </c>
      <c r="D878" s="0" t="s">
        <v>6563</v>
      </c>
      <c r="E878" s="0" t="s">
        <v>8657</v>
      </c>
      <c r="L878" s="0" t="str">
        <f aca="false">"1784"</f>
        <v>1784</v>
      </c>
      <c r="O878" s="0" t="s">
        <v>8658</v>
      </c>
      <c r="Q878" s="0" t="str">
        <f aca="false">"2."</f>
        <v>2.</v>
      </c>
      <c r="R878" s="0" t="s">
        <v>8659</v>
      </c>
      <c r="T878" s="0" t="s">
        <v>8307</v>
      </c>
      <c r="AB878" s="0" t="s">
        <v>8660</v>
      </c>
      <c r="AT878" s="0" t="s">
        <v>2601</v>
      </c>
      <c r="AU878" s="0" t="s">
        <v>2613</v>
      </c>
      <c r="AY878" s="0" t="s">
        <v>8661</v>
      </c>
      <c r="CA878" s="0" t="s">
        <v>8643</v>
      </c>
    </row>
    <row r="879" customFormat="false" ht="12.8" hidden="false" customHeight="false" outlineLevel="0" collapsed="false">
      <c r="B879" s="0" t="s">
        <v>8662</v>
      </c>
      <c r="C879" s="0" t="s">
        <v>1056</v>
      </c>
      <c r="D879" s="0" t="s">
        <v>1057</v>
      </c>
      <c r="E879" s="0" t="s">
        <v>8663</v>
      </c>
      <c r="L879" s="0" t="str">
        <f aca="false">"1784"</f>
        <v>1784</v>
      </c>
      <c r="O879" s="0" t="s">
        <v>8664</v>
      </c>
      <c r="R879" s="0" t="s">
        <v>8665</v>
      </c>
      <c r="T879" s="0" t="s">
        <v>2847</v>
      </c>
      <c r="AB879" s="0" t="s">
        <v>8666</v>
      </c>
      <c r="AT879" s="0" t="s">
        <v>2601</v>
      </c>
      <c r="AU879" s="0" t="s">
        <v>2613</v>
      </c>
      <c r="AY879" s="0" t="s">
        <v>8667</v>
      </c>
      <c r="CA879" s="0" t="s">
        <v>8649</v>
      </c>
    </row>
    <row r="880" customFormat="false" ht="12.8" hidden="false" customHeight="false" outlineLevel="0" collapsed="false">
      <c r="B880" s="0" t="s">
        <v>8668</v>
      </c>
      <c r="C880" s="0" t="s">
        <v>1056</v>
      </c>
      <c r="D880" s="0" t="s">
        <v>1057</v>
      </c>
      <c r="E880" s="0" t="s">
        <v>8669</v>
      </c>
      <c r="L880" s="0" t="str">
        <f aca="false">"1784"</f>
        <v>1784</v>
      </c>
      <c r="O880" s="0" t="s">
        <v>8670</v>
      </c>
      <c r="R880" s="0" t="s">
        <v>8671</v>
      </c>
      <c r="T880" s="0" t="s">
        <v>8179</v>
      </c>
      <c r="AB880" s="0" t="s">
        <v>8672</v>
      </c>
      <c r="AT880" s="0" t="s">
        <v>2601</v>
      </c>
      <c r="AU880" s="0" t="s">
        <v>2613</v>
      </c>
      <c r="AY880" s="0" t="s">
        <v>8673</v>
      </c>
    </row>
    <row r="881" customFormat="false" ht="12.8" hidden="false" customHeight="false" outlineLevel="0" collapsed="false">
      <c r="B881" s="0" t="s">
        <v>8674</v>
      </c>
      <c r="C881" s="0" t="s">
        <v>8390</v>
      </c>
      <c r="D881" s="0" t="s">
        <v>6563</v>
      </c>
      <c r="E881" s="0" t="s">
        <v>8675</v>
      </c>
      <c r="L881" s="0" t="str">
        <f aca="false">"1784"</f>
        <v>1784</v>
      </c>
      <c r="O881" s="0" t="s">
        <v>8676</v>
      </c>
      <c r="R881" s="0" t="s">
        <v>8677</v>
      </c>
      <c r="T881" s="0" t="s">
        <v>6417</v>
      </c>
      <c r="AB881" s="0" t="s">
        <v>8678</v>
      </c>
      <c r="AT881" s="0" t="s">
        <v>2601</v>
      </c>
      <c r="AU881" s="0" t="s">
        <v>2613</v>
      </c>
      <c r="AY881" s="0" t="s">
        <v>8679</v>
      </c>
      <c r="CA881" s="0" t="s">
        <v>8643</v>
      </c>
    </row>
    <row r="882" customFormat="false" ht="12.8" hidden="false" customHeight="false" outlineLevel="0" collapsed="false">
      <c r="B882" s="0" t="s">
        <v>8680</v>
      </c>
      <c r="C882" s="0" t="s">
        <v>1056</v>
      </c>
      <c r="D882" s="0" t="s">
        <v>1057</v>
      </c>
      <c r="E882" s="0" t="s">
        <v>8681</v>
      </c>
      <c r="L882" s="0" t="str">
        <f aca="false">"1784"</f>
        <v>1784</v>
      </c>
      <c r="O882" s="0" t="s">
        <v>8682</v>
      </c>
      <c r="R882" s="0" t="s">
        <v>8683</v>
      </c>
      <c r="T882" s="0" t="s">
        <v>1057</v>
      </c>
      <c r="AB882" s="0" t="s">
        <v>8684</v>
      </c>
      <c r="AT882" s="0" t="s">
        <v>2601</v>
      </c>
      <c r="AU882" s="0" t="s">
        <v>2613</v>
      </c>
      <c r="AY882" s="0" t="s">
        <v>8685</v>
      </c>
      <c r="CA882" s="0" t="s">
        <v>8649</v>
      </c>
    </row>
    <row r="883" customFormat="false" ht="12.8" hidden="false" customHeight="false" outlineLevel="0" collapsed="false">
      <c r="B883" s="0" t="s">
        <v>8686</v>
      </c>
      <c r="C883" s="0" t="s">
        <v>8390</v>
      </c>
      <c r="D883" s="0" t="s">
        <v>6563</v>
      </c>
      <c r="E883" s="0" t="s">
        <v>8687</v>
      </c>
      <c r="L883" s="0" t="str">
        <f aca="false">"1784"</f>
        <v>1784</v>
      </c>
      <c r="O883" s="0" t="s">
        <v>8688</v>
      </c>
      <c r="R883" s="0" t="s">
        <v>8689</v>
      </c>
      <c r="T883" s="0" t="s">
        <v>8025</v>
      </c>
      <c r="AT883" s="0" t="s">
        <v>2601</v>
      </c>
      <c r="AU883" s="0" t="s">
        <v>2613</v>
      </c>
      <c r="AY883" s="0" t="s">
        <v>8690</v>
      </c>
      <c r="CA883" s="0" t="s">
        <v>8643</v>
      </c>
    </row>
    <row r="884" customFormat="false" ht="12.8" hidden="false" customHeight="false" outlineLevel="0" collapsed="false">
      <c r="B884" s="0" t="s">
        <v>8691</v>
      </c>
      <c r="C884" s="0" t="s">
        <v>1056</v>
      </c>
      <c r="D884" s="0" t="s">
        <v>1057</v>
      </c>
      <c r="E884" s="0" t="s">
        <v>8692</v>
      </c>
      <c r="L884" s="0" t="str">
        <f aca="false">"1784"</f>
        <v>1784</v>
      </c>
      <c r="O884" s="0" t="s">
        <v>8693</v>
      </c>
      <c r="R884" s="0" t="s">
        <v>8694</v>
      </c>
      <c r="T884" s="0" t="s">
        <v>8695</v>
      </c>
      <c r="AB884" s="0" t="s">
        <v>8696</v>
      </c>
      <c r="AT884" s="0" t="s">
        <v>2601</v>
      </c>
      <c r="AU884" s="0" t="s">
        <v>2613</v>
      </c>
      <c r="AY884" s="0" t="s">
        <v>8697</v>
      </c>
      <c r="CA884" s="0" t="s">
        <v>8649</v>
      </c>
    </row>
    <row r="885" customFormat="false" ht="12.8" hidden="false" customHeight="false" outlineLevel="0" collapsed="false">
      <c r="B885" s="0" t="s">
        <v>8698</v>
      </c>
      <c r="C885" s="0" t="s">
        <v>8390</v>
      </c>
      <c r="D885" s="0" t="s">
        <v>6563</v>
      </c>
      <c r="E885" s="0" t="s">
        <v>8699</v>
      </c>
      <c r="L885" s="0" t="str">
        <f aca="false">"1784"</f>
        <v>1784</v>
      </c>
      <c r="O885" s="0" t="s">
        <v>8700</v>
      </c>
      <c r="R885" s="0" t="s">
        <v>8701</v>
      </c>
      <c r="T885" s="0" t="s">
        <v>8025</v>
      </c>
      <c r="AB885" s="0" t="s">
        <v>8702</v>
      </c>
      <c r="AT885" s="0" t="s">
        <v>2601</v>
      </c>
      <c r="AU885" s="0" t="s">
        <v>2613</v>
      </c>
      <c r="AY885" s="0" t="s">
        <v>8703</v>
      </c>
      <c r="CA885" s="0" t="s">
        <v>8643</v>
      </c>
    </row>
    <row r="886" customFormat="false" ht="12.8" hidden="false" customHeight="false" outlineLevel="0" collapsed="false">
      <c r="B886" s="0" t="s">
        <v>8704</v>
      </c>
      <c r="C886" s="0" t="s">
        <v>1056</v>
      </c>
      <c r="D886" s="0" t="s">
        <v>1057</v>
      </c>
      <c r="E886" s="0" t="s">
        <v>8705</v>
      </c>
      <c r="L886" s="0" t="str">
        <f aca="false">"1784"</f>
        <v>1784</v>
      </c>
      <c r="O886" s="0" t="s">
        <v>8706</v>
      </c>
      <c r="R886" s="0" t="s">
        <v>8694</v>
      </c>
      <c r="T886" s="0" t="s">
        <v>8695</v>
      </c>
      <c r="AB886" s="0" t="s">
        <v>8707</v>
      </c>
      <c r="AT886" s="0" t="s">
        <v>2601</v>
      </c>
      <c r="AU886" s="0" t="s">
        <v>2613</v>
      </c>
      <c r="AY886" s="0" t="s">
        <v>8708</v>
      </c>
      <c r="CA886" s="0" t="s">
        <v>8649</v>
      </c>
    </row>
    <row r="887" customFormat="false" ht="12.8" hidden="false" customHeight="false" outlineLevel="0" collapsed="false">
      <c r="B887" s="0" t="s">
        <v>8709</v>
      </c>
      <c r="C887" s="0" t="s">
        <v>1056</v>
      </c>
      <c r="D887" s="0" t="s">
        <v>1057</v>
      </c>
      <c r="E887" s="0" t="s">
        <v>8710</v>
      </c>
      <c r="L887" s="0" t="str">
        <f aca="false">"1784"</f>
        <v>1784</v>
      </c>
      <c r="O887" s="0" t="s">
        <v>8711</v>
      </c>
      <c r="R887" s="0" t="s">
        <v>8712</v>
      </c>
      <c r="T887" s="0" t="s">
        <v>7555</v>
      </c>
      <c r="AB887" s="0" t="s">
        <v>8713</v>
      </c>
      <c r="AT887" s="0" t="s">
        <v>2601</v>
      </c>
      <c r="AU887" s="0" t="s">
        <v>2613</v>
      </c>
      <c r="AY887" s="0" t="s">
        <v>8714</v>
      </c>
      <c r="CA887" s="0" t="s">
        <v>8649</v>
      </c>
    </row>
    <row r="888" customFormat="false" ht="12.8" hidden="false" customHeight="false" outlineLevel="0" collapsed="false">
      <c r="B888" s="0" t="s">
        <v>8715</v>
      </c>
      <c r="C888" s="0" t="s">
        <v>1056</v>
      </c>
      <c r="D888" s="0" t="s">
        <v>1057</v>
      </c>
      <c r="E888" s="0" t="s">
        <v>8716</v>
      </c>
      <c r="L888" s="0" t="str">
        <f aca="false">"1784"</f>
        <v>1784</v>
      </c>
      <c r="O888" s="0" t="s">
        <v>8717</v>
      </c>
      <c r="T888" s="0" t="s">
        <v>1057</v>
      </c>
      <c r="AB888" s="0" t="s">
        <v>8718</v>
      </c>
      <c r="AT888" s="0" t="s">
        <v>2601</v>
      </c>
      <c r="AU888" s="0" t="s">
        <v>2613</v>
      </c>
      <c r="AY888" s="0" t="s">
        <v>8719</v>
      </c>
      <c r="CA888" s="0" t="s">
        <v>8643</v>
      </c>
    </row>
    <row r="889" customFormat="false" ht="12.8" hidden="false" customHeight="false" outlineLevel="0" collapsed="false">
      <c r="B889" s="0" t="s">
        <v>8720</v>
      </c>
      <c r="C889" s="0" t="s">
        <v>1056</v>
      </c>
      <c r="D889" s="0" t="s">
        <v>1057</v>
      </c>
      <c r="E889" s="0" t="s">
        <v>8721</v>
      </c>
      <c r="L889" s="0" t="str">
        <f aca="false">"1784"</f>
        <v>1784</v>
      </c>
      <c r="O889" s="0" t="s">
        <v>8722</v>
      </c>
      <c r="R889" s="0" t="s">
        <v>8723</v>
      </c>
      <c r="T889" s="0" t="s">
        <v>8724</v>
      </c>
      <c r="AB889" s="0" t="s">
        <v>8725</v>
      </c>
      <c r="AT889" s="0" t="s">
        <v>2601</v>
      </c>
      <c r="AU889" s="0" t="s">
        <v>2613</v>
      </c>
      <c r="AY889" s="0" t="s">
        <v>8726</v>
      </c>
      <c r="CA889" s="0" t="s">
        <v>8649</v>
      </c>
    </row>
    <row r="890" customFormat="false" ht="12.8" hidden="false" customHeight="false" outlineLevel="0" collapsed="false">
      <c r="B890" s="0" t="s">
        <v>8727</v>
      </c>
      <c r="C890" s="0" t="s">
        <v>1056</v>
      </c>
      <c r="D890" s="0" t="s">
        <v>1057</v>
      </c>
      <c r="E890" s="0" t="s">
        <v>8728</v>
      </c>
      <c r="L890" s="0" t="str">
        <f aca="false">"1784"</f>
        <v>1784</v>
      </c>
      <c r="O890" s="0" t="s">
        <v>8729</v>
      </c>
      <c r="T890" s="0" t="s">
        <v>8025</v>
      </c>
      <c r="AB890" s="0" t="s">
        <v>8730</v>
      </c>
      <c r="AT890" s="0" t="s">
        <v>2601</v>
      </c>
      <c r="AU890" s="0" t="s">
        <v>2613</v>
      </c>
      <c r="AY890" s="0" t="s">
        <v>8731</v>
      </c>
      <c r="CA890" s="0" t="s">
        <v>8643</v>
      </c>
    </row>
    <row r="891" customFormat="false" ht="12.8" hidden="false" customHeight="false" outlineLevel="0" collapsed="false">
      <c r="B891" s="0" t="s">
        <v>8732</v>
      </c>
      <c r="C891" s="0" t="s">
        <v>1056</v>
      </c>
      <c r="D891" s="0" t="s">
        <v>1057</v>
      </c>
      <c r="E891" s="0" t="s">
        <v>8733</v>
      </c>
      <c r="L891" s="0" t="str">
        <f aca="false">"1784"</f>
        <v>1784</v>
      </c>
      <c r="O891" s="0" t="s">
        <v>8734</v>
      </c>
      <c r="R891" s="0" t="s">
        <v>8735</v>
      </c>
      <c r="T891" s="0" t="s">
        <v>4707</v>
      </c>
      <c r="AB891" s="0" t="s">
        <v>8736</v>
      </c>
      <c r="AT891" s="0" t="s">
        <v>2601</v>
      </c>
      <c r="AU891" s="0" t="s">
        <v>2613</v>
      </c>
      <c r="AY891" s="0" t="s">
        <v>8737</v>
      </c>
      <c r="CA891" s="0" t="s">
        <v>8649</v>
      </c>
    </row>
    <row r="892" customFormat="false" ht="12.8" hidden="false" customHeight="false" outlineLevel="0" collapsed="false">
      <c r="B892" s="0" t="s">
        <v>8738</v>
      </c>
      <c r="C892" s="0" t="s">
        <v>1056</v>
      </c>
      <c r="D892" s="0" t="s">
        <v>1057</v>
      </c>
      <c r="E892" s="0" t="s">
        <v>8739</v>
      </c>
      <c r="L892" s="0" t="str">
        <f aca="false">"1784"</f>
        <v>1784</v>
      </c>
      <c r="O892" s="0" t="s">
        <v>8740</v>
      </c>
      <c r="R892" s="0" t="s">
        <v>8640</v>
      </c>
      <c r="T892" s="0" t="s">
        <v>8025</v>
      </c>
      <c r="AB892" s="0" t="s">
        <v>8741</v>
      </c>
      <c r="AT892" s="0" t="s">
        <v>2601</v>
      </c>
      <c r="AU892" s="0" t="s">
        <v>2613</v>
      </c>
      <c r="AY892" s="0" t="s">
        <v>8742</v>
      </c>
      <c r="CA892" s="0" t="s">
        <v>8643</v>
      </c>
    </row>
    <row r="893" customFormat="false" ht="12.8" hidden="false" customHeight="false" outlineLevel="0" collapsed="false">
      <c r="B893" s="0" t="s">
        <v>8743</v>
      </c>
      <c r="C893" s="0" t="s">
        <v>1056</v>
      </c>
      <c r="D893" s="0" t="s">
        <v>1057</v>
      </c>
      <c r="E893" s="0" t="s">
        <v>8744</v>
      </c>
      <c r="L893" s="0" t="str">
        <f aca="false">"1784"</f>
        <v>1784</v>
      </c>
      <c r="O893" s="0" t="s">
        <v>8745</v>
      </c>
      <c r="R893" s="0" t="s">
        <v>8746</v>
      </c>
      <c r="T893" s="0" t="s">
        <v>8747</v>
      </c>
      <c r="AB893" s="0" t="s">
        <v>8748</v>
      </c>
      <c r="AT893" s="0" t="s">
        <v>2601</v>
      </c>
      <c r="AU893" s="0" t="s">
        <v>2613</v>
      </c>
      <c r="CA893" s="0" t="s">
        <v>8649</v>
      </c>
    </row>
    <row r="894" customFormat="false" ht="12.8" hidden="false" customHeight="false" outlineLevel="0" collapsed="false">
      <c r="A894" s="0" t="s">
        <v>445</v>
      </c>
      <c r="B894" s="0" t="s">
        <v>8749</v>
      </c>
      <c r="C894" s="0" t="s">
        <v>8074</v>
      </c>
      <c r="D894" s="0" t="s">
        <v>8075</v>
      </c>
      <c r="E894" s="0" t="s">
        <v>8750</v>
      </c>
      <c r="L894" s="0" t="str">
        <f aca="false">"1784"</f>
        <v>1784</v>
      </c>
      <c r="M894" s="0" t="s">
        <v>448</v>
      </c>
      <c r="O894" s="0" t="s">
        <v>8751</v>
      </c>
      <c r="R894" s="0" t="s">
        <v>8752</v>
      </c>
      <c r="T894" s="0" t="s">
        <v>8753</v>
      </c>
      <c r="AB894" s="0" t="s">
        <v>8754</v>
      </c>
      <c r="AS894" s="0" t="s">
        <v>6136</v>
      </c>
      <c r="AT894" s="0" t="s">
        <v>2601</v>
      </c>
      <c r="AU894" s="0" t="s">
        <v>892</v>
      </c>
      <c r="AZ894" s="0" t="s">
        <v>8755</v>
      </c>
      <c r="BX894" s="0" t="s">
        <v>8756</v>
      </c>
      <c r="CI894" s="0" t="s">
        <v>8756</v>
      </c>
    </row>
    <row r="895" customFormat="false" ht="12.8" hidden="false" customHeight="false" outlineLevel="0" collapsed="false">
      <c r="B895" s="0" t="s">
        <v>8757</v>
      </c>
      <c r="C895" s="0" t="s">
        <v>1056</v>
      </c>
      <c r="D895" s="0" t="s">
        <v>1057</v>
      </c>
      <c r="E895" s="0" t="s">
        <v>8758</v>
      </c>
      <c r="L895" s="0" t="str">
        <f aca="false">"1784"</f>
        <v>1784</v>
      </c>
      <c r="O895" s="0" t="s">
        <v>8759</v>
      </c>
      <c r="R895" s="0" t="s">
        <v>8760</v>
      </c>
      <c r="T895" s="0" t="s">
        <v>8200</v>
      </c>
      <c r="AB895" s="0" t="s">
        <v>8761</v>
      </c>
      <c r="AT895" s="0" t="s">
        <v>2601</v>
      </c>
      <c r="AU895" s="0" t="s">
        <v>2613</v>
      </c>
      <c r="CA895" s="0" t="s">
        <v>8649</v>
      </c>
    </row>
    <row r="896" customFormat="false" ht="12.8" hidden="false" customHeight="false" outlineLevel="0" collapsed="false">
      <c r="B896" s="0" t="s">
        <v>8762</v>
      </c>
      <c r="C896" s="0" t="s">
        <v>1056</v>
      </c>
      <c r="D896" s="0" t="s">
        <v>1057</v>
      </c>
      <c r="E896" s="0" t="s">
        <v>8763</v>
      </c>
      <c r="L896" s="0" t="str">
        <f aca="false">"1784"</f>
        <v>1784</v>
      </c>
      <c r="O896" s="0" t="s">
        <v>8764</v>
      </c>
      <c r="R896" s="0" t="s">
        <v>8765</v>
      </c>
      <c r="T896" s="0" t="s">
        <v>1057</v>
      </c>
      <c r="AB896" s="0" t="s">
        <v>8766</v>
      </c>
      <c r="AT896" s="0" t="s">
        <v>2601</v>
      </c>
      <c r="AU896" s="0" t="s">
        <v>2613</v>
      </c>
      <c r="AY896" s="0" t="s">
        <v>8767</v>
      </c>
      <c r="CA896" s="0" t="s">
        <v>8649</v>
      </c>
    </row>
    <row r="897" customFormat="false" ht="12.8" hidden="false" customHeight="false" outlineLevel="0" collapsed="false">
      <c r="B897" s="0" t="s">
        <v>8768</v>
      </c>
      <c r="C897" s="0" t="s">
        <v>1056</v>
      </c>
      <c r="D897" s="0" t="s">
        <v>1057</v>
      </c>
      <c r="E897" s="0" t="s">
        <v>8769</v>
      </c>
      <c r="L897" s="0" t="str">
        <f aca="false">"1784"</f>
        <v>1784</v>
      </c>
      <c r="O897" s="0" t="s">
        <v>8770</v>
      </c>
      <c r="R897" s="0" t="s">
        <v>8771</v>
      </c>
      <c r="T897" s="0" t="s">
        <v>8772</v>
      </c>
      <c r="AB897" s="0" t="s">
        <v>8773</v>
      </c>
      <c r="AT897" s="0" t="s">
        <v>2601</v>
      </c>
      <c r="AU897" s="0" t="s">
        <v>2613</v>
      </c>
      <c r="AY897" s="0" t="s">
        <v>8774</v>
      </c>
      <c r="CA897" s="0" t="s">
        <v>8643</v>
      </c>
    </row>
    <row r="898" customFormat="false" ht="12.8" hidden="false" customHeight="false" outlineLevel="0" collapsed="false">
      <c r="B898" s="0" t="s">
        <v>8775</v>
      </c>
      <c r="C898" s="0" t="s">
        <v>1056</v>
      </c>
      <c r="D898" s="0" t="s">
        <v>1057</v>
      </c>
      <c r="E898" s="0" t="s">
        <v>8776</v>
      </c>
      <c r="L898" s="0" t="str">
        <f aca="false">"1784"</f>
        <v>1784</v>
      </c>
      <c r="O898" s="0" t="s">
        <v>8777</v>
      </c>
      <c r="R898" s="0" t="s">
        <v>8778</v>
      </c>
      <c r="T898" s="0" t="s">
        <v>1057</v>
      </c>
      <c r="AB898" s="0" t="s">
        <v>8779</v>
      </c>
      <c r="AT898" s="0" t="s">
        <v>2601</v>
      </c>
      <c r="AU898" s="0" t="s">
        <v>2613</v>
      </c>
      <c r="AY898" s="0" t="s">
        <v>8780</v>
      </c>
      <c r="CA898" s="0" t="s">
        <v>8649</v>
      </c>
    </row>
    <row r="899" customFormat="false" ht="12.8" hidden="false" customHeight="false" outlineLevel="0" collapsed="false">
      <c r="B899" s="0" t="s">
        <v>8781</v>
      </c>
      <c r="C899" s="0" t="s">
        <v>1056</v>
      </c>
      <c r="D899" s="0" t="s">
        <v>1057</v>
      </c>
      <c r="E899" s="0" t="s">
        <v>8782</v>
      </c>
      <c r="L899" s="0" t="str">
        <f aca="false">"1784"</f>
        <v>1784</v>
      </c>
      <c r="O899" s="0" t="s">
        <v>8783</v>
      </c>
      <c r="R899" s="0" t="s">
        <v>8784</v>
      </c>
      <c r="T899" s="0" t="s">
        <v>8785</v>
      </c>
      <c r="AB899" s="0" t="s">
        <v>8786</v>
      </c>
      <c r="AT899" s="0" t="s">
        <v>2601</v>
      </c>
      <c r="AU899" s="0" t="s">
        <v>2613</v>
      </c>
      <c r="AY899" s="0" t="s">
        <v>8787</v>
      </c>
      <c r="CA899" s="0" t="s">
        <v>8649</v>
      </c>
    </row>
    <row r="900" customFormat="false" ht="12.8" hidden="false" customHeight="false" outlineLevel="0" collapsed="false">
      <c r="A900" s="0" t="s">
        <v>445</v>
      </c>
      <c r="B900" s="0" t="s">
        <v>8788</v>
      </c>
      <c r="C900" s="0" t="s">
        <v>895</v>
      </c>
      <c r="D900" s="0" t="s">
        <v>896</v>
      </c>
      <c r="E900" s="0" t="s">
        <v>8789</v>
      </c>
      <c r="L900" s="0" t="str">
        <f aca="false">"1790"</f>
        <v>1790</v>
      </c>
      <c r="M900" s="0" t="s">
        <v>448</v>
      </c>
      <c r="O900" s="0" t="s">
        <v>8790</v>
      </c>
      <c r="R900" s="0" t="s">
        <v>8791</v>
      </c>
      <c r="T900" s="0" t="s">
        <v>3971</v>
      </c>
      <c r="AA900" s="0" t="str">
        <f aca="false">"10675876"</f>
        <v>10675876</v>
      </c>
      <c r="AB900" s="0" t="s">
        <v>8792</v>
      </c>
      <c r="AT900" s="0" t="s">
        <v>2601</v>
      </c>
      <c r="AU900" s="0" t="s">
        <v>2457</v>
      </c>
      <c r="AY900" s="0" t="s">
        <v>8793</v>
      </c>
      <c r="BX900" s="0" t="s">
        <v>8794</v>
      </c>
      <c r="CI900" s="0" t="s">
        <v>8794</v>
      </c>
    </row>
    <row r="901" customFormat="false" ht="12.8" hidden="false" customHeight="false" outlineLevel="0" collapsed="false">
      <c r="B901" s="0" t="s">
        <v>8296</v>
      </c>
      <c r="C901" s="0" t="s">
        <v>8390</v>
      </c>
      <c r="D901" s="0" t="s">
        <v>6563</v>
      </c>
      <c r="E901" s="0" t="s">
        <v>8795</v>
      </c>
      <c r="L901" s="0" t="str">
        <f aca="false">"1794"</f>
        <v>1794</v>
      </c>
      <c r="O901" s="0" t="s">
        <v>8796</v>
      </c>
      <c r="R901" s="0" t="s">
        <v>8797</v>
      </c>
      <c r="T901" s="0" t="s">
        <v>6417</v>
      </c>
      <c r="AB901" s="0" t="s">
        <v>8798</v>
      </c>
      <c r="AT901" s="0" t="s">
        <v>2601</v>
      </c>
      <c r="AU901" s="0" t="s">
        <v>2613</v>
      </c>
      <c r="AY901" s="0" t="s">
        <v>8799</v>
      </c>
    </row>
    <row r="902" customFormat="false" ht="12.8" hidden="false" customHeight="false" outlineLevel="0" collapsed="false">
      <c r="A902" s="0" t="s">
        <v>445</v>
      </c>
      <c r="B902" s="0" t="s">
        <v>8800</v>
      </c>
      <c r="C902" s="0" t="s">
        <v>895</v>
      </c>
      <c r="D902" s="0" t="s">
        <v>896</v>
      </c>
      <c r="E902" s="0" t="s">
        <v>8801</v>
      </c>
      <c r="L902" s="0" t="str">
        <f aca="false">"1794"</f>
        <v>1794</v>
      </c>
      <c r="M902" s="0" t="s">
        <v>448</v>
      </c>
      <c r="O902" s="0" t="s">
        <v>8802</v>
      </c>
      <c r="R902" s="0" t="s">
        <v>8803</v>
      </c>
      <c r="T902" s="0" t="s">
        <v>1288</v>
      </c>
      <c r="AS902" s="0" t="s">
        <v>8804</v>
      </c>
      <c r="AT902" s="0" t="s">
        <v>2601</v>
      </c>
      <c r="AU902" s="0" t="s">
        <v>2457</v>
      </c>
      <c r="AY902" s="0" t="s">
        <v>8805</v>
      </c>
      <c r="BX902" s="0" t="s">
        <v>8806</v>
      </c>
      <c r="CB902" s="0" t="str">
        <f aca="false">"26.03.1794"</f>
        <v>26.03.1794</v>
      </c>
      <c r="CI902" s="0" t="s">
        <v>8806</v>
      </c>
    </row>
    <row r="903" customFormat="false" ht="12.8" hidden="false" customHeight="false" outlineLevel="0" collapsed="false">
      <c r="B903" s="0" t="s">
        <v>8807</v>
      </c>
      <c r="C903" s="0" t="s">
        <v>1056</v>
      </c>
      <c r="D903" s="0" t="s">
        <v>1057</v>
      </c>
      <c r="E903" s="0" t="s">
        <v>8808</v>
      </c>
      <c r="L903" s="0" t="str">
        <f aca="false">"1795"</f>
        <v>1795</v>
      </c>
      <c r="O903" s="0" t="s">
        <v>8809</v>
      </c>
      <c r="R903" s="0" t="s">
        <v>8810</v>
      </c>
      <c r="T903" s="0" t="s">
        <v>8025</v>
      </c>
      <c r="AB903" s="0" t="s">
        <v>8811</v>
      </c>
      <c r="AT903" s="0" t="s">
        <v>2601</v>
      </c>
      <c r="AU903" s="0" t="s">
        <v>2613</v>
      </c>
      <c r="AY903" s="0" t="s">
        <v>8812</v>
      </c>
    </row>
    <row r="904" customFormat="false" ht="12.8" hidden="false" customHeight="false" outlineLevel="0" collapsed="false">
      <c r="A904" s="0" t="s">
        <v>445</v>
      </c>
      <c r="B904" s="0" t="s">
        <v>7564</v>
      </c>
      <c r="C904" s="0" t="s">
        <v>8074</v>
      </c>
      <c r="D904" s="0" t="s">
        <v>8075</v>
      </c>
      <c r="E904" s="0" t="s">
        <v>8813</v>
      </c>
      <c r="L904" s="0" t="str">
        <f aca="false">"1795"</f>
        <v>1795</v>
      </c>
      <c r="M904" s="0" t="s">
        <v>448</v>
      </c>
      <c r="O904" s="0" t="s">
        <v>8814</v>
      </c>
      <c r="R904" s="0" t="s">
        <v>8815</v>
      </c>
      <c r="T904" s="0" t="s">
        <v>8816</v>
      </c>
      <c r="AB904" s="0" t="s">
        <v>8817</v>
      </c>
      <c r="AS904" s="0" t="s">
        <v>8818</v>
      </c>
      <c r="AT904" s="0" t="s">
        <v>2601</v>
      </c>
      <c r="AU904" s="0" t="s">
        <v>2457</v>
      </c>
      <c r="AY904" s="0" t="s">
        <v>8819</v>
      </c>
      <c r="CB904" s="0" t="str">
        <f aca="false">"19.2.1795"</f>
        <v>19.2.1795</v>
      </c>
    </row>
    <row r="905" customFormat="false" ht="12.8" hidden="false" customHeight="false" outlineLevel="0" collapsed="false">
      <c r="B905" s="0" t="s">
        <v>8820</v>
      </c>
      <c r="C905" s="0" t="s">
        <v>1056</v>
      </c>
      <c r="D905" s="0" t="s">
        <v>1057</v>
      </c>
      <c r="E905" s="0" t="s">
        <v>8821</v>
      </c>
      <c r="L905" s="0" t="str">
        <f aca="false">"1795"</f>
        <v>1795</v>
      </c>
      <c r="O905" s="0" t="s">
        <v>8822</v>
      </c>
      <c r="R905" s="0" t="s">
        <v>8823</v>
      </c>
      <c r="T905" s="0" t="s">
        <v>1057</v>
      </c>
      <c r="AB905" s="0" t="s">
        <v>8824</v>
      </c>
      <c r="AT905" s="0" t="s">
        <v>2601</v>
      </c>
      <c r="AU905" s="0" t="s">
        <v>2613</v>
      </c>
    </row>
    <row r="906" customFormat="false" ht="12.8" hidden="false" customHeight="false" outlineLevel="0" collapsed="false">
      <c r="A906" s="0" t="s">
        <v>445</v>
      </c>
      <c r="C906" s="0" t="s">
        <v>397</v>
      </c>
      <c r="D906" s="0" t="s">
        <v>398</v>
      </c>
      <c r="E906" s="0" t="s">
        <v>8825</v>
      </c>
      <c r="L906" s="0" t="str">
        <f aca="false">"1795"</f>
        <v>1795</v>
      </c>
      <c r="M906" s="0" t="s">
        <v>1993</v>
      </c>
      <c r="O906" s="0" t="s">
        <v>8826</v>
      </c>
      <c r="R906" s="0" t="s">
        <v>8604</v>
      </c>
      <c r="T906" s="0" t="s">
        <v>398</v>
      </c>
      <c r="AA906" s="0" t="s">
        <v>8827</v>
      </c>
      <c r="AB906" s="0" t="s">
        <v>8828</v>
      </c>
      <c r="AS906" s="0" t="s">
        <v>8829</v>
      </c>
      <c r="AT906" s="0" t="s">
        <v>2601</v>
      </c>
      <c r="AU906" s="0" t="s">
        <v>2457</v>
      </c>
      <c r="AY906" s="0" t="s">
        <v>8830</v>
      </c>
      <c r="BC906" s="0" t="str">
        <f aca="false">"412112248"</f>
        <v>412112248</v>
      </c>
      <c r="BX906" s="0" t="s">
        <v>8831</v>
      </c>
      <c r="CB906" s="0" t="str">
        <f aca="false">"10.05.1795"</f>
        <v>10.05.1795</v>
      </c>
      <c r="CI906" s="0" t="s">
        <v>8831</v>
      </c>
    </row>
    <row r="907" customFormat="false" ht="12.8" hidden="false" customHeight="false" outlineLevel="0" collapsed="false">
      <c r="B907" s="0" t="s">
        <v>8832</v>
      </c>
      <c r="C907" s="0" t="s">
        <v>4706</v>
      </c>
      <c r="D907" s="0" t="s">
        <v>4707</v>
      </c>
      <c r="E907" s="0" t="s">
        <v>8833</v>
      </c>
      <c r="L907" s="0" t="str">
        <f aca="false">"1797"</f>
        <v>1797</v>
      </c>
      <c r="O907" s="0" t="s">
        <v>8834</v>
      </c>
      <c r="R907" s="0" t="s">
        <v>8835</v>
      </c>
      <c r="T907" s="0" t="s">
        <v>1057</v>
      </c>
      <c r="AB907" s="0" t="s">
        <v>8836</v>
      </c>
      <c r="AT907" s="0" t="s">
        <v>2601</v>
      </c>
      <c r="AU907" s="0" t="s">
        <v>2613</v>
      </c>
      <c r="AY907" s="0" t="s">
        <v>8837</v>
      </c>
    </row>
    <row r="908" customFormat="false" ht="12.8" hidden="false" customHeight="false" outlineLevel="0" collapsed="false">
      <c r="B908" s="0" t="s">
        <v>8838</v>
      </c>
      <c r="C908" s="0" t="s">
        <v>1056</v>
      </c>
      <c r="D908" s="0" t="s">
        <v>1057</v>
      </c>
      <c r="E908" s="0" t="s">
        <v>8839</v>
      </c>
      <c r="L908" s="0" t="str">
        <f aca="false">"1797"</f>
        <v>1797</v>
      </c>
      <c r="O908" s="0" t="s">
        <v>8840</v>
      </c>
      <c r="R908" s="0" t="s">
        <v>8841</v>
      </c>
      <c r="T908" s="0" t="s">
        <v>8842</v>
      </c>
      <c r="AB908" s="0" t="s">
        <v>8843</v>
      </c>
      <c r="AT908" s="0" t="s">
        <v>2601</v>
      </c>
      <c r="AU908" s="0" t="s">
        <v>2613</v>
      </c>
      <c r="AY908" s="0" t="s">
        <v>8844</v>
      </c>
    </row>
    <row r="909" customFormat="false" ht="12.8" hidden="false" customHeight="false" outlineLevel="0" collapsed="false">
      <c r="A909" s="0" t="s">
        <v>445</v>
      </c>
      <c r="B909" s="0" t="s">
        <v>8845</v>
      </c>
      <c r="E909" s="0" t="s">
        <v>8846</v>
      </c>
      <c r="L909" s="0" t="str">
        <f aca="false">"1806"</f>
        <v>1806</v>
      </c>
      <c r="M909" s="0" t="s">
        <v>448</v>
      </c>
      <c r="O909" s="0" t="s">
        <v>8847</v>
      </c>
      <c r="R909" s="0" t="s">
        <v>8848</v>
      </c>
      <c r="T909" s="0" t="s">
        <v>8849</v>
      </c>
      <c r="AB909" s="0" t="s">
        <v>8850</v>
      </c>
      <c r="AS909" s="0" t="s">
        <v>5322</v>
      </c>
      <c r="AT909" s="0" t="s">
        <v>2601</v>
      </c>
      <c r="AU909" s="0" t="s">
        <v>892</v>
      </c>
      <c r="AY909" s="0" t="s">
        <v>8851</v>
      </c>
      <c r="AZ909" s="0" t="s">
        <v>8852</v>
      </c>
      <c r="CB909" s="0" t="str">
        <f aca="false">"02.06.1806"</f>
        <v>02.06.1806</v>
      </c>
    </row>
    <row r="910" customFormat="false" ht="22.5" hidden="false" customHeight="false" outlineLevel="0" collapsed="false">
      <c r="A910" s="0" t="s">
        <v>445</v>
      </c>
      <c r="B910" s="0" t="s">
        <v>8853</v>
      </c>
      <c r="C910" s="0" t="s">
        <v>1213</v>
      </c>
      <c r="D910" s="0" t="s">
        <v>1214</v>
      </c>
      <c r="E910" s="0" t="s">
        <v>8854</v>
      </c>
      <c r="L910" s="0" t="str">
        <f aca="false">"1808"</f>
        <v>1808</v>
      </c>
      <c r="M910" s="0" t="s">
        <v>448</v>
      </c>
      <c r="O910" s="0" t="s">
        <v>8855</v>
      </c>
      <c r="R910" s="1" t="s">
        <v>8856</v>
      </c>
      <c r="T910" s="0" t="s">
        <v>8857</v>
      </c>
      <c r="AB910" s="0" t="s">
        <v>8858</v>
      </c>
      <c r="AS910" s="0" t="s">
        <v>6648</v>
      </c>
      <c r="AT910" s="0" t="s">
        <v>2601</v>
      </c>
      <c r="AU910" s="0" t="s">
        <v>2457</v>
      </c>
      <c r="BX910" s="0" t="s">
        <v>8859</v>
      </c>
      <c r="CI910" s="0" t="s">
        <v>8859</v>
      </c>
    </row>
    <row r="911" customFormat="false" ht="12.8" hidden="false" customHeight="false" outlineLevel="0" collapsed="false">
      <c r="B911" s="0" t="s">
        <v>7564</v>
      </c>
      <c r="C911" s="0" t="s">
        <v>1056</v>
      </c>
      <c r="D911" s="0" t="s">
        <v>1057</v>
      </c>
      <c r="E911" s="0" t="s">
        <v>8860</v>
      </c>
      <c r="L911" s="0" t="str">
        <f aca="false">"1763"</f>
        <v>1763</v>
      </c>
      <c r="O911" s="0" t="s">
        <v>8861</v>
      </c>
      <c r="R911" s="0" t="s">
        <v>8862</v>
      </c>
      <c r="T911" s="0" t="s">
        <v>2847</v>
      </c>
      <c r="AB911" s="0" t="s">
        <v>8863</v>
      </c>
      <c r="AT911" s="0" t="s">
        <v>2601</v>
      </c>
      <c r="AU911" s="0" t="s">
        <v>2613</v>
      </c>
      <c r="AY911" s="0" t="s">
        <v>8864</v>
      </c>
      <c r="CA911" s="0" t="s">
        <v>8129</v>
      </c>
    </row>
    <row r="912" customFormat="false" ht="22.5" hidden="false" customHeight="false" outlineLevel="0" collapsed="false">
      <c r="B912" s="0" t="s">
        <v>8865</v>
      </c>
      <c r="C912" s="0" t="s">
        <v>8866</v>
      </c>
      <c r="D912" s="0" t="s">
        <v>4707</v>
      </c>
      <c r="E912" s="0" t="s">
        <v>8867</v>
      </c>
      <c r="L912" s="0" t="str">
        <f aca="false">"1698"</f>
        <v>1698</v>
      </c>
      <c r="R912" s="0" t="s">
        <v>6609</v>
      </c>
      <c r="T912" s="0" t="s">
        <v>1057</v>
      </c>
      <c r="AB912" s="0" t="s">
        <v>8868</v>
      </c>
      <c r="AT912" s="0" t="s">
        <v>2601</v>
      </c>
      <c r="AU912" s="0" t="s">
        <v>2613</v>
      </c>
      <c r="AY912" s="0" t="s">
        <v>8869</v>
      </c>
      <c r="CA912" s="1" t="s">
        <v>6493</v>
      </c>
    </row>
    <row r="913" customFormat="false" ht="12.8" hidden="false" customHeight="false" outlineLevel="0" collapsed="false">
      <c r="A913" s="0" t="s">
        <v>445</v>
      </c>
      <c r="B913" s="0" t="s">
        <v>8870</v>
      </c>
      <c r="C913" s="0" t="s">
        <v>242</v>
      </c>
      <c r="D913" s="0" t="s">
        <v>243</v>
      </c>
      <c r="E913" s="0" t="s">
        <v>8871</v>
      </c>
      <c r="L913" s="0" t="str">
        <f aca="false">"1763"</f>
        <v>1763</v>
      </c>
      <c r="M913" s="0" t="s">
        <v>448</v>
      </c>
      <c r="O913" s="0" t="s">
        <v>8872</v>
      </c>
      <c r="R913" s="0" t="s">
        <v>8329</v>
      </c>
      <c r="T913" s="0" t="s">
        <v>1050</v>
      </c>
      <c r="AA913" s="0" t="str">
        <f aca="false">"10548831"</f>
        <v>10548831</v>
      </c>
      <c r="AB913" s="0" t="s">
        <v>8873</v>
      </c>
      <c r="AS913" s="0" t="s">
        <v>8874</v>
      </c>
      <c r="AT913" s="0" t="s">
        <v>2601</v>
      </c>
      <c r="AU913" s="0" t="s">
        <v>2457</v>
      </c>
      <c r="AY913" s="0" t="s">
        <v>8875</v>
      </c>
      <c r="AZ913" s="0" t="s">
        <v>8876</v>
      </c>
      <c r="BC913" s="0" t="str">
        <f aca="false">"373238762"</f>
        <v>373238762</v>
      </c>
      <c r="BX913" s="0" t="s">
        <v>8877</v>
      </c>
      <c r="CB913" s="0" t="str">
        <f aca="false">"21.03.1763"</f>
        <v>21.03.1763</v>
      </c>
      <c r="CI913" s="0" t="s">
        <v>8877</v>
      </c>
    </row>
    <row r="914" customFormat="false" ht="12.8" hidden="false" customHeight="false" outlineLevel="0" collapsed="false">
      <c r="A914" s="0" t="s">
        <v>445</v>
      </c>
      <c r="B914" s="0" t="s">
        <v>8878</v>
      </c>
      <c r="C914" s="0" t="s">
        <v>8879</v>
      </c>
      <c r="D914" s="0" t="s">
        <v>6621</v>
      </c>
      <c r="E914" s="0" t="s">
        <v>8880</v>
      </c>
      <c r="L914" s="0" t="str">
        <f aca="false">"1684"</f>
        <v>1684</v>
      </c>
      <c r="M914" s="0" t="s">
        <v>1993</v>
      </c>
      <c r="O914" s="0" t="s">
        <v>8881</v>
      </c>
      <c r="AB914" s="0" t="s">
        <v>8882</v>
      </c>
      <c r="AS914" s="0" t="s">
        <v>8883</v>
      </c>
      <c r="AT914" s="0" t="s">
        <v>2601</v>
      </c>
      <c r="AU914" s="0" t="s">
        <v>2457</v>
      </c>
      <c r="AY914" s="0" t="s">
        <v>8884</v>
      </c>
      <c r="BX914" s="0" t="s">
        <v>8885</v>
      </c>
      <c r="CI914" s="0" t="s">
        <v>8885</v>
      </c>
    </row>
    <row r="915" customFormat="false" ht="43.75" hidden="false" customHeight="false" outlineLevel="0" collapsed="false">
      <c r="A915" s="0" t="s">
        <v>527</v>
      </c>
      <c r="B915" s="0" t="s">
        <v>8886</v>
      </c>
      <c r="C915" s="0" t="s">
        <v>98</v>
      </c>
      <c r="D915" s="0" t="s">
        <v>99</v>
      </c>
      <c r="E915" s="0" t="s">
        <v>8887</v>
      </c>
      <c r="F915" s="0" t="s">
        <v>255</v>
      </c>
      <c r="G915" s="0" t="s">
        <v>256</v>
      </c>
      <c r="L915" s="0" t="str">
        <f aca="false">"1718"</f>
        <v>1718</v>
      </c>
      <c r="M915" s="0" t="s">
        <v>553</v>
      </c>
      <c r="O915" s="1" t="s">
        <v>6796</v>
      </c>
      <c r="U915" s="1" t="s">
        <v>8888</v>
      </c>
      <c r="V915" s="1" t="s">
        <v>8889</v>
      </c>
      <c r="AD915" s="1" t="s">
        <v>557</v>
      </c>
      <c r="AE915" s="1" t="s">
        <v>8890</v>
      </c>
      <c r="AF915" s="1" t="s">
        <v>263</v>
      </c>
      <c r="AT915" s="0" t="s">
        <v>139</v>
      </c>
      <c r="AU915" s="0" t="s">
        <v>112</v>
      </c>
      <c r="AV915" s="0" t="s">
        <v>113</v>
      </c>
      <c r="BD915" s="0" t="s">
        <v>265</v>
      </c>
      <c r="BE915" s="1" t="s">
        <v>8891</v>
      </c>
      <c r="BF915" s="1" t="s">
        <v>1103</v>
      </c>
      <c r="BJ915" s="1" t="s">
        <v>229</v>
      </c>
      <c r="BK915" s="1" t="s">
        <v>8892</v>
      </c>
      <c r="BL915" s="1" t="s">
        <v>8893</v>
      </c>
      <c r="BM915" s="1" t="s">
        <v>955</v>
      </c>
      <c r="BN915" s="1" t="s">
        <v>270</v>
      </c>
      <c r="BO915" s="1" t="s">
        <v>6854</v>
      </c>
      <c r="BU915" s="0" t="s">
        <v>8894</v>
      </c>
      <c r="BX915" s="1" t="s">
        <v>8895</v>
      </c>
      <c r="CH915" s="0" t="s">
        <v>625</v>
      </c>
      <c r="CI915" s="1" t="s">
        <v>8895</v>
      </c>
      <c r="CJ915" s="1" t="s">
        <v>8896</v>
      </c>
      <c r="CO915" s="1" t="s">
        <v>8897</v>
      </c>
      <c r="CR915" s="0" t="s">
        <v>8898</v>
      </c>
    </row>
    <row r="916" customFormat="false" ht="107.5" hidden="false" customHeight="false" outlineLevel="0" collapsed="false">
      <c r="A916" s="0" t="s">
        <v>96</v>
      </c>
      <c r="B916" s="0" t="s">
        <v>8899</v>
      </c>
      <c r="C916" s="0" t="s">
        <v>98</v>
      </c>
      <c r="D916" s="0" t="s">
        <v>99</v>
      </c>
      <c r="E916" s="0" t="s">
        <v>8900</v>
      </c>
      <c r="F916" s="0" t="s">
        <v>131</v>
      </c>
      <c r="H916" s="0" t="s">
        <v>488</v>
      </c>
      <c r="L916" s="0" t="str">
        <f aca="false">"1785"</f>
        <v>1785</v>
      </c>
      <c r="M916" s="1" t="s">
        <v>8901</v>
      </c>
      <c r="O916" s="1" t="s">
        <v>8902</v>
      </c>
      <c r="T916" s="0" t="s">
        <v>99</v>
      </c>
      <c r="U916" s="1" t="s">
        <v>8903</v>
      </c>
      <c r="V916" s="1" t="s">
        <v>8904</v>
      </c>
      <c r="AD916" s="1" t="s">
        <v>234</v>
      </c>
      <c r="AE916" s="1" t="s">
        <v>8905</v>
      </c>
      <c r="AF916" s="0" t="s">
        <v>109</v>
      </c>
      <c r="AT916" s="0" t="s">
        <v>139</v>
      </c>
      <c r="AU916" s="0" t="s">
        <v>112</v>
      </c>
      <c r="AV916" s="0" t="s">
        <v>113</v>
      </c>
      <c r="BD916" s="0" t="s">
        <v>140</v>
      </c>
      <c r="BE916" s="1" t="s">
        <v>8906</v>
      </c>
      <c r="BU916" s="1" t="s">
        <v>8907</v>
      </c>
      <c r="BW916" s="1" t="s">
        <v>8908</v>
      </c>
      <c r="BX916" s="0" t="s">
        <v>8909</v>
      </c>
      <c r="CF916" s="0" t="s">
        <v>8910</v>
      </c>
      <c r="CG916" s="0" t="s">
        <v>123</v>
      </c>
      <c r="CH916" s="0" t="s">
        <v>625</v>
      </c>
      <c r="CI916" s="0" t="s">
        <v>8909</v>
      </c>
      <c r="CJ916" s="0" t="s">
        <v>8911</v>
      </c>
      <c r="CL916" s="0" t="s">
        <v>8912</v>
      </c>
      <c r="CM916" s="0" t="s">
        <v>8912</v>
      </c>
      <c r="CO916" s="0" t="s">
        <v>8899</v>
      </c>
      <c r="CR916" s="0" t="s">
        <v>8913</v>
      </c>
    </row>
    <row r="917" customFormat="false" ht="22.5" hidden="false" customHeight="false" outlineLevel="0" collapsed="false">
      <c r="A917" s="0" t="s">
        <v>96</v>
      </c>
      <c r="B917" s="0" t="s">
        <v>8914</v>
      </c>
      <c r="C917" s="0" t="s">
        <v>98</v>
      </c>
      <c r="D917" s="0" t="s">
        <v>99</v>
      </c>
      <c r="E917" s="0" t="s">
        <v>8915</v>
      </c>
      <c r="F917" s="1" t="s">
        <v>714</v>
      </c>
      <c r="H917" s="0" t="s">
        <v>102</v>
      </c>
      <c r="L917" s="0" t="str">
        <f aca="false">"1779"</f>
        <v>1779</v>
      </c>
      <c r="M917" s="0" t="s">
        <v>448</v>
      </c>
      <c r="O917" s="0" t="s">
        <v>8916</v>
      </c>
      <c r="T917" s="0" t="s">
        <v>99</v>
      </c>
      <c r="AD917" s="0" t="s">
        <v>155</v>
      </c>
      <c r="AE917" s="0" t="s">
        <v>8917</v>
      </c>
      <c r="AF917" s="0" t="s">
        <v>109</v>
      </c>
      <c r="AT917" s="0" t="s">
        <v>139</v>
      </c>
      <c r="AU917" s="0" t="s">
        <v>112</v>
      </c>
      <c r="AV917" s="0" t="s">
        <v>113</v>
      </c>
      <c r="AY917" s="0" t="s">
        <v>8918</v>
      </c>
      <c r="AZ917" s="0" t="s">
        <v>8919</v>
      </c>
      <c r="BE917" s="0" t="s">
        <v>8920</v>
      </c>
      <c r="BJ917" s="0" t="s">
        <v>118</v>
      </c>
      <c r="BU917" s="0" t="s">
        <v>8921</v>
      </c>
      <c r="BW917" s="0" t="s">
        <v>8922</v>
      </c>
      <c r="BX917" s="0" t="s">
        <v>8923</v>
      </c>
      <c r="CE917" s="0" t="s">
        <v>641</v>
      </c>
      <c r="CI917" s="0" t="s">
        <v>8923</v>
      </c>
      <c r="CJ917" s="1" t="s">
        <v>8924</v>
      </c>
      <c r="CO917" s="1" t="s">
        <v>8925</v>
      </c>
      <c r="CR917" s="0" t="s">
        <v>8926</v>
      </c>
    </row>
    <row r="918" customFormat="false" ht="22.5" hidden="false" customHeight="false" outlineLevel="0" collapsed="false">
      <c r="A918" s="0" t="s">
        <v>96</v>
      </c>
      <c r="B918" s="0" t="s">
        <v>8927</v>
      </c>
      <c r="C918" s="0" t="s">
        <v>98</v>
      </c>
      <c r="D918" s="0" t="s">
        <v>99</v>
      </c>
      <c r="E918" s="0" t="s">
        <v>8928</v>
      </c>
      <c r="F918" s="0" t="s">
        <v>131</v>
      </c>
      <c r="G918" s="0" t="s">
        <v>8929</v>
      </c>
      <c r="H918" s="0" t="s">
        <v>102</v>
      </c>
      <c r="L918" s="0" t="str">
        <f aca="false">"1795"</f>
        <v>1795</v>
      </c>
      <c r="M918" s="0" t="s">
        <v>150</v>
      </c>
      <c r="O918" s="0" t="s">
        <v>8930</v>
      </c>
      <c r="AD918" s="1" t="s">
        <v>8931</v>
      </c>
      <c r="AE918" s="1" t="s">
        <v>8932</v>
      </c>
      <c r="AF918" s="1" t="s">
        <v>3368</v>
      </c>
      <c r="AT918" s="0" t="s">
        <v>139</v>
      </c>
      <c r="AU918" s="0" t="s">
        <v>112</v>
      </c>
      <c r="AV918" s="0" t="s">
        <v>113</v>
      </c>
      <c r="BD918" s="0" t="s">
        <v>140</v>
      </c>
      <c r="BE918" s="0" t="s">
        <v>8933</v>
      </c>
      <c r="BJ918" s="0" t="s">
        <v>118</v>
      </c>
      <c r="BU918" s="0" t="s">
        <v>8934</v>
      </c>
      <c r="BW918" s="0" t="s">
        <v>8935</v>
      </c>
      <c r="BX918" s="0" t="s">
        <v>8936</v>
      </c>
      <c r="CI918" s="0" t="s">
        <v>8936</v>
      </c>
      <c r="CJ918" s="0" t="s">
        <v>8937</v>
      </c>
      <c r="CO918" s="0" t="s">
        <v>8927</v>
      </c>
      <c r="CR918" s="0" t="s">
        <v>8938</v>
      </c>
    </row>
    <row r="919" customFormat="false" ht="12.8" hidden="false" customHeight="false" outlineLevel="0" collapsed="false">
      <c r="A919" s="0" t="s">
        <v>2290</v>
      </c>
      <c r="B919" s="0" t="s">
        <v>8939</v>
      </c>
      <c r="C919" s="0" t="s">
        <v>8940</v>
      </c>
      <c r="D919" s="0" t="s">
        <v>99</v>
      </c>
      <c r="E919" s="0" t="s">
        <v>8941</v>
      </c>
      <c r="F919" s="0" t="s">
        <v>2293</v>
      </c>
      <c r="G919" s="0" t="s">
        <v>2294</v>
      </c>
      <c r="H919" s="0" t="s">
        <v>7274</v>
      </c>
      <c r="L919" s="0" t="str">
        <f aca="false">"1649"</f>
        <v>1649</v>
      </c>
      <c r="M919" s="0" t="s">
        <v>2296</v>
      </c>
      <c r="O919" s="0" t="s">
        <v>8942</v>
      </c>
      <c r="T919" s="0" t="s">
        <v>99</v>
      </c>
      <c r="U919" s="0" t="s">
        <v>8943</v>
      </c>
      <c r="V919" s="0" t="s">
        <v>8944</v>
      </c>
      <c r="AD919" s="0" t="s">
        <v>2301</v>
      </c>
      <c r="AE919" s="0" t="s">
        <v>8945</v>
      </c>
      <c r="AF919" s="0" t="s">
        <v>109</v>
      </c>
      <c r="AT919" s="0" t="s">
        <v>139</v>
      </c>
      <c r="AU919" s="0" t="s">
        <v>8946</v>
      </c>
      <c r="AV919" s="0" t="s">
        <v>113</v>
      </c>
      <c r="BX919" s="0" t="s">
        <v>8947</v>
      </c>
      <c r="BY919" s="0" t="s">
        <v>1756</v>
      </c>
      <c r="BZ919" s="0" t="s">
        <v>2290</v>
      </c>
      <c r="CI919" s="0" t="s">
        <v>8947</v>
      </c>
      <c r="CR919" s="0" t="s">
        <v>8948</v>
      </c>
    </row>
    <row r="920" customFormat="false" ht="12.8" hidden="false" customHeight="false" outlineLevel="0" collapsed="false">
      <c r="A920" s="0" t="s">
        <v>445</v>
      </c>
      <c r="C920" s="0" t="s">
        <v>3941</v>
      </c>
      <c r="D920" s="0" t="s">
        <v>3070</v>
      </c>
      <c r="E920" s="0" t="s">
        <v>8949</v>
      </c>
      <c r="L920" s="0" t="str">
        <f aca="false">"1758"</f>
        <v>1758</v>
      </c>
      <c r="M920" s="0" t="s">
        <v>448</v>
      </c>
      <c r="O920" s="0" t="s">
        <v>8950</v>
      </c>
      <c r="AA920" s="0" t="str">
        <f aca="false">"10585206"</f>
        <v>10585206</v>
      </c>
      <c r="AI920" s="0" t="s">
        <v>8951</v>
      </c>
      <c r="AS920" s="0" t="s">
        <v>5977</v>
      </c>
      <c r="AT920" s="0" t="s">
        <v>2601</v>
      </c>
      <c r="AU920" s="0" t="s">
        <v>2457</v>
      </c>
      <c r="BC920" s="0" t="str">
        <f aca="false">"324349084"</f>
        <v>324349084</v>
      </c>
    </row>
    <row r="921" customFormat="false" ht="12.8" hidden="false" customHeight="false" outlineLevel="0" collapsed="false">
      <c r="A921" s="0" t="s">
        <v>445</v>
      </c>
      <c r="C921" s="0" t="s">
        <v>242</v>
      </c>
      <c r="D921" s="0" t="s">
        <v>243</v>
      </c>
      <c r="E921" s="0" t="s">
        <v>8951</v>
      </c>
      <c r="M921" s="0" t="s">
        <v>448</v>
      </c>
      <c r="O921" s="0" t="s">
        <v>8950</v>
      </c>
      <c r="R921" s="0" t="s">
        <v>8952</v>
      </c>
      <c r="T921" s="0" t="s">
        <v>5650</v>
      </c>
      <c r="AA921" s="0" t="str">
        <f aca="false">"10585206"</f>
        <v>10585206</v>
      </c>
      <c r="AB921" s="0" t="s">
        <v>8953</v>
      </c>
      <c r="AR921" s="0" t="s">
        <v>5322</v>
      </c>
      <c r="AT921" s="0" t="s">
        <v>2601</v>
      </c>
      <c r="AU921" s="0" t="s">
        <v>2457</v>
      </c>
      <c r="AZ921" s="0" t="s">
        <v>8954</v>
      </c>
      <c r="BX921" s="0" t="s">
        <v>8955</v>
      </c>
      <c r="CI921" s="0" t="s">
        <v>8955</v>
      </c>
    </row>
    <row r="922" customFormat="false" ht="12.8" hidden="false" customHeight="false" outlineLevel="0" collapsed="false">
      <c r="A922" s="0" t="s">
        <v>445</v>
      </c>
      <c r="C922" s="0" t="s">
        <v>8956</v>
      </c>
      <c r="D922" s="0" t="s">
        <v>8957</v>
      </c>
      <c r="E922" s="0" t="s">
        <v>8958</v>
      </c>
      <c r="L922" s="0" t="str">
        <f aca="false">"1763"</f>
        <v>1763</v>
      </c>
      <c r="M922" s="0" t="s">
        <v>448</v>
      </c>
      <c r="O922" s="0" t="s">
        <v>8959</v>
      </c>
      <c r="R922" s="0" t="s">
        <v>8960</v>
      </c>
      <c r="T922" s="0" t="s">
        <v>398</v>
      </c>
      <c r="AS922" s="0" t="s">
        <v>4543</v>
      </c>
      <c r="AT922" s="0" t="s">
        <v>2601</v>
      </c>
      <c r="AU922" s="0" t="s">
        <v>892</v>
      </c>
      <c r="AZ922" s="0" t="s">
        <v>8961</v>
      </c>
      <c r="BC922" s="0" t="str">
        <f aca="false">"416999883"</f>
        <v>416999883</v>
      </c>
      <c r="CB922" s="0" t="str">
        <f aca="false">"06.03.1763"</f>
        <v>06.03.1763</v>
      </c>
    </row>
    <row r="923" customFormat="false" ht="12.8" hidden="false" customHeight="false" outlineLevel="0" collapsed="false">
      <c r="A923" s="0" t="s">
        <v>445</v>
      </c>
      <c r="B923" s="0" t="s">
        <v>8962</v>
      </c>
      <c r="C923" s="0" t="s">
        <v>2649</v>
      </c>
      <c r="D923" s="0" t="s">
        <v>2650</v>
      </c>
      <c r="E923" s="0" t="s">
        <v>8963</v>
      </c>
      <c r="L923" s="0" t="str">
        <f aca="false">"1763"</f>
        <v>1763</v>
      </c>
      <c r="M923" s="0" t="s">
        <v>3905</v>
      </c>
      <c r="O923" s="0" t="s">
        <v>8964</v>
      </c>
      <c r="R923" s="0" t="s">
        <v>8965</v>
      </c>
      <c r="T923" s="0" t="s">
        <v>5299</v>
      </c>
      <c r="AG923" s="0" t="s">
        <v>397</v>
      </c>
      <c r="AH923" s="0" t="s">
        <v>398</v>
      </c>
      <c r="AI923" s="0" t="s">
        <v>8966</v>
      </c>
      <c r="AJ923" s="0" t="s">
        <v>5334</v>
      </c>
      <c r="AS923" s="0" t="s">
        <v>4150</v>
      </c>
      <c r="AT923" s="0" t="s">
        <v>2601</v>
      </c>
      <c r="AU923" s="0" t="s">
        <v>892</v>
      </c>
      <c r="AZ923" s="0" t="s">
        <v>8967</v>
      </c>
      <c r="BC923" s="0" t="str">
        <f aca="false">"450911918"</f>
        <v>450911918</v>
      </c>
      <c r="CB923" s="0" t="str">
        <f aca="false">"15.02.1763"</f>
        <v>15.02.1763</v>
      </c>
    </row>
    <row r="924" customFormat="false" ht="33.1" hidden="false" customHeight="false" outlineLevel="0" collapsed="false">
      <c r="A924" s="0" t="s">
        <v>445</v>
      </c>
      <c r="B924" s="0" t="s">
        <v>8968</v>
      </c>
      <c r="C924" s="0" t="s">
        <v>8969</v>
      </c>
      <c r="D924" s="0" t="s">
        <v>5060</v>
      </c>
      <c r="E924" s="0" t="s">
        <v>8970</v>
      </c>
      <c r="L924" s="0" t="str">
        <f aca="false">"1763"</f>
        <v>1763</v>
      </c>
      <c r="M924" s="0" t="s">
        <v>448</v>
      </c>
      <c r="O924" s="0" t="s">
        <v>8971</v>
      </c>
      <c r="T924" s="1" t="s">
        <v>8564</v>
      </c>
      <c r="AG924" s="0" t="s">
        <v>397</v>
      </c>
      <c r="AH924" s="0" t="s">
        <v>398</v>
      </c>
      <c r="AI924" s="0" t="s">
        <v>8972</v>
      </c>
      <c r="AJ924" s="0" t="s">
        <v>5334</v>
      </c>
      <c r="AS924" s="0" t="s">
        <v>8973</v>
      </c>
      <c r="AT924" s="0" t="s">
        <v>2601</v>
      </c>
      <c r="AU924" s="0" t="s">
        <v>892</v>
      </c>
      <c r="AZ924" s="0" t="s">
        <v>8974</v>
      </c>
      <c r="BC924" s="0" t="str">
        <f aca="false">"450869741"</f>
        <v>450869741</v>
      </c>
    </row>
    <row r="925" customFormat="false" ht="12.8" hidden="false" customHeight="false" outlineLevel="0" collapsed="false">
      <c r="A925" s="0" t="s">
        <v>445</v>
      </c>
      <c r="B925" s="0" t="s">
        <v>8975</v>
      </c>
      <c r="C925" s="0" t="s">
        <v>8969</v>
      </c>
      <c r="D925" s="0" t="s">
        <v>5060</v>
      </c>
      <c r="E925" s="0" t="s">
        <v>8976</v>
      </c>
      <c r="L925" s="0" t="str">
        <f aca="false">"1779"</f>
        <v>1779</v>
      </c>
      <c r="M925" s="0" t="s">
        <v>448</v>
      </c>
      <c r="O925" s="0" t="s">
        <v>8971</v>
      </c>
      <c r="T925" s="0" t="s">
        <v>398</v>
      </c>
      <c r="AG925" s="0" t="s">
        <v>8977</v>
      </c>
      <c r="AH925" s="0" t="s">
        <v>4293</v>
      </c>
      <c r="AI925" s="0" t="s">
        <v>8978</v>
      </c>
      <c r="AS925" s="0" t="s">
        <v>5870</v>
      </c>
      <c r="AT925" s="0" t="s">
        <v>2601</v>
      </c>
      <c r="AU925" s="0" t="s">
        <v>892</v>
      </c>
      <c r="AZ925" s="0" t="s">
        <v>8979</v>
      </c>
      <c r="BC925" s="0" t="str">
        <f aca="false">"363878335"</f>
        <v>363878335</v>
      </c>
      <c r="CB925" s="0" t="str">
        <f aca="false">"13.05.1779"</f>
        <v>13.05.1779</v>
      </c>
    </row>
    <row r="926" customFormat="false" ht="33.1" hidden="false" customHeight="false" outlineLevel="0" collapsed="false">
      <c r="A926" s="0" t="s">
        <v>445</v>
      </c>
      <c r="B926" s="0" t="s">
        <v>8980</v>
      </c>
      <c r="C926" s="0" t="s">
        <v>8969</v>
      </c>
      <c r="D926" s="0" t="s">
        <v>5060</v>
      </c>
      <c r="E926" s="0" t="s">
        <v>8981</v>
      </c>
      <c r="L926" s="0" t="str">
        <f aca="false">"1763"</f>
        <v>1763</v>
      </c>
      <c r="M926" s="0" t="s">
        <v>448</v>
      </c>
      <c r="O926" s="0" t="s">
        <v>8982</v>
      </c>
      <c r="T926" s="1" t="s">
        <v>8564</v>
      </c>
      <c r="AG926" s="0" t="s">
        <v>397</v>
      </c>
      <c r="AH926" s="0" t="s">
        <v>398</v>
      </c>
      <c r="AI926" s="0" t="s">
        <v>8983</v>
      </c>
      <c r="AJ926" s="0" t="s">
        <v>5334</v>
      </c>
      <c r="AS926" s="0" t="s">
        <v>8984</v>
      </c>
      <c r="AT926" s="0" t="s">
        <v>2601</v>
      </c>
      <c r="AU926" s="0" t="s">
        <v>892</v>
      </c>
      <c r="AZ926" s="0" t="s">
        <v>8985</v>
      </c>
      <c r="BC926" s="0" t="str">
        <f aca="false">"403852595"</f>
        <v>403852595</v>
      </c>
    </row>
    <row r="927" customFormat="false" ht="12.8" hidden="false" customHeight="false" outlineLevel="0" collapsed="false">
      <c r="A927" s="0" t="s">
        <v>445</v>
      </c>
      <c r="B927" s="0" t="s">
        <v>8986</v>
      </c>
      <c r="C927" s="0" t="s">
        <v>4747</v>
      </c>
      <c r="D927" s="0" t="s">
        <v>4139</v>
      </c>
      <c r="E927" s="0" t="s">
        <v>8987</v>
      </c>
      <c r="L927" s="0" t="str">
        <f aca="false">"1763"</f>
        <v>1763</v>
      </c>
      <c r="M927" s="0" t="s">
        <v>448</v>
      </c>
      <c r="O927" s="0" t="s">
        <v>8988</v>
      </c>
      <c r="R927" s="0" t="s">
        <v>8092</v>
      </c>
      <c r="T927" s="0" t="s">
        <v>398</v>
      </c>
      <c r="AB927" s="0" t="s">
        <v>8989</v>
      </c>
      <c r="AS927" s="0" t="str">
        <f aca="false">"30"</f>
        <v>30</v>
      </c>
      <c r="AT927" s="0" t="s">
        <v>2601</v>
      </c>
      <c r="AU927" s="0" t="s">
        <v>892</v>
      </c>
      <c r="AY927" s="0" t="s">
        <v>8990</v>
      </c>
      <c r="AZ927" s="0" t="s">
        <v>8991</v>
      </c>
      <c r="BC927" s="0" t="str">
        <f aca="false">"392790297"</f>
        <v>392790297</v>
      </c>
      <c r="BX927" s="0" t="s">
        <v>8992</v>
      </c>
      <c r="CB927" s="0" t="str">
        <f aca="false">"24.02.1763"</f>
        <v>24.02.1763</v>
      </c>
      <c r="CI927" s="0" t="s">
        <v>8992</v>
      </c>
    </row>
    <row r="928" customFormat="false" ht="33.1" hidden="false" customHeight="false" outlineLevel="0" collapsed="false">
      <c r="A928" s="0" t="s">
        <v>445</v>
      </c>
      <c r="B928" s="0" t="s">
        <v>8993</v>
      </c>
      <c r="C928" s="0" t="s">
        <v>8969</v>
      </c>
      <c r="D928" s="0" t="s">
        <v>5060</v>
      </c>
      <c r="E928" s="0" t="s">
        <v>8994</v>
      </c>
      <c r="L928" s="0" t="str">
        <f aca="false">"1763"</f>
        <v>1763</v>
      </c>
      <c r="M928" s="0" t="s">
        <v>448</v>
      </c>
      <c r="O928" s="0" t="s">
        <v>8995</v>
      </c>
      <c r="T928" s="1" t="s">
        <v>8564</v>
      </c>
      <c r="AG928" s="0" t="s">
        <v>397</v>
      </c>
      <c r="AH928" s="0" t="s">
        <v>398</v>
      </c>
      <c r="AI928" s="0" t="s">
        <v>8996</v>
      </c>
      <c r="AJ928" s="0" t="s">
        <v>5334</v>
      </c>
      <c r="AS928" s="0" t="s">
        <v>6136</v>
      </c>
      <c r="AT928" s="0" t="s">
        <v>2601</v>
      </c>
      <c r="AU928" s="0" t="s">
        <v>892</v>
      </c>
      <c r="AZ928" s="0" t="s">
        <v>8997</v>
      </c>
      <c r="BC928" s="0" t="str">
        <f aca="false">"392463067"</f>
        <v>392463067</v>
      </c>
    </row>
    <row r="929" customFormat="false" ht="12.8" hidden="false" customHeight="false" outlineLevel="0" collapsed="false">
      <c r="A929" s="0" t="s">
        <v>445</v>
      </c>
      <c r="B929" s="0" t="s">
        <v>8998</v>
      </c>
      <c r="C929" s="0" t="s">
        <v>8969</v>
      </c>
      <c r="D929" s="0" t="s">
        <v>5060</v>
      </c>
      <c r="E929" s="0" t="s">
        <v>8999</v>
      </c>
      <c r="L929" s="0" t="str">
        <f aca="false">"1763"</f>
        <v>1763</v>
      </c>
      <c r="M929" s="0" t="s">
        <v>448</v>
      </c>
      <c r="O929" s="0" t="s">
        <v>9000</v>
      </c>
      <c r="T929" s="0" t="s">
        <v>5060</v>
      </c>
      <c r="AG929" s="0" t="s">
        <v>397</v>
      </c>
      <c r="AH929" s="0" t="s">
        <v>398</v>
      </c>
      <c r="AI929" s="0" t="s">
        <v>9001</v>
      </c>
      <c r="AJ929" s="0" t="s">
        <v>5334</v>
      </c>
      <c r="AT929" s="0" t="s">
        <v>2601</v>
      </c>
      <c r="AU929" s="0" t="s">
        <v>892</v>
      </c>
      <c r="AZ929" s="0" t="s">
        <v>9002</v>
      </c>
      <c r="BC929" s="0" t="str">
        <f aca="false">"388412674"</f>
        <v>388412674</v>
      </c>
    </row>
    <row r="930" customFormat="false" ht="12.8" hidden="false" customHeight="false" outlineLevel="0" collapsed="false">
      <c r="A930" s="0" t="s">
        <v>445</v>
      </c>
      <c r="B930" s="0" t="s">
        <v>9003</v>
      </c>
      <c r="C930" s="0" t="s">
        <v>2649</v>
      </c>
      <c r="D930" s="0" t="s">
        <v>2650</v>
      </c>
      <c r="E930" s="0" t="s">
        <v>9004</v>
      </c>
      <c r="L930" s="0" t="str">
        <f aca="false">"1763"</f>
        <v>1763</v>
      </c>
      <c r="M930" s="0" t="s">
        <v>448</v>
      </c>
      <c r="O930" s="0" t="s">
        <v>9005</v>
      </c>
      <c r="R930" s="0" t="s">
        <v>9006</v>
      </c>
      <c r="T930" s="0" t="s">
        <v>9007</v>
      </c>
      <c r="AG930" s="0" t="s">
        <v>397</v>
      </c>
      <c r="AH930" s="0" t="s">
        <v>398</v>
      </c>
      <c r="AI930" s="0" t="s">
        <v>9008</v>
      </c>
      <c r="AJ930" s="0" t="s">
        <v>5334</v>
      </c>
      <c r="AS930" s="0" t="s">
        <v>4150</v>
      </c>
      <c r="AT930" s="0" t="s">
        <v>2601</v>
      </c>
      <c r="AU930" s="0" t="s">
        <v>892</v>
      </c>
      <c r="AY930" s="0" t="s">
        <v>9009</v>
      </c>
      <c r="AZ930" s="0" t="s">
        <v>9010</v>
      </c>
      <c r="BC930" s="0" t="str">
        <f aca="false">"374427194"</f>
        <v>374427194</v>
      </c>
      <c r="CB930" s="0" t="str">
        <f aca="false">"28.06.1763"</f>
        <v>28.06.1763</v>
      </c>
    </row>
    <row r="931" customFormat="false" ht="22.5" hidden="false" customHeight="false" outlineLevel="0" collapsed="false">
      <c r="A931" s="0" t="s">
        <v>445</v>
      </c>
      <c r="B931" s="0" t="s">
        <v>9011</v>
      </c>
      <c r="C931" s="0" t="s">
        <v>2649</v>
      </c>
      <c r="D931" s="0" t="s">
        <v>2650</v>
      </c>
      <c r="E931" s="0" t="s">
        <v>9012</v>
      </c>
      <c r="L931" s="0" t="str">
        <f aca="false">"1763"</f>
        <v>1763</v>
      </c>
      <c r="M931" s="0" t="s">
        <v>448</v>
      </c>
      <c r="O931" s="0" t="s">
        <v>9013</v>
      </c>
      <c r="R931" s="1" t="s">
        <v>9014</v>
      </c>
      <c r="T931" s="0" t="s">
        <v>9007</v>
      </c>
      <c r="AG931" s="0" t="s">
        <v>397</v>
      </c>
      <c r="AH931" s="0" t="s">
        <v>398</v>
      </c>
      <c r="AI931" s="0" t="s">
        <v>9015</v>
      </c>
      <c r="AJ931" s="0" t="s">
        <v>5334</v>
      </c>
      <c r="AS931" s="0" t="s">
        <v>4251</v>
      </c>
      <c r="AT931" s="0" t="s">
        <v>2601</v>
      </c>
      <c r="AU931" s="0" t="s">
        <v>892</v>
      </c>
      <c r="AZ931" s="0" t="s">
        <v>9016</v>
      </c>
      <c r="BC931" s="2" t="s">
        <v>9017</v>
      </c>
    </row>
    <row r="932" customFormat="false" ht="22.5" hidden="false" customHeight="false" outlineLevel="0" collapsed="false">
      <c r="A932" s="0" t="s">
        <v>445</v>
      </c>
      <c r="B932" s="0" t="s">
        <v>9018</v>
      </c>
      <c r="C932" s="0" t="s">
        <v>3941</v>
      </c>
      <c r="D932" s="0" t="s">
        <v>3070</v>
      </c>
      <c r="E932" s="0" t="s">
        <v>9019</v>
      </c>
      <c r="L932" s="0" t="str">
        <f aca="false">"1763"</f>
        <v>1763</v>
      </c>
      <c r="M932" s="0" t="s">
        <v>448</v>
      </c>
      <c r="O932" s="0" t="s">
        <v>9020</v>
      </c>
      <c r="R932" s="0" t="s">
        <v>8168</v>
      </c>
      <c r="T932" s="0" t="s">
        <v>1150</v>
      </c>
      <c r="AA932" s="0" t="str">
        <f aca="false">"90400429"</f>
        <v>90400429</v>
      </c>
      <c r="AB932" s="0" t="s">
        <v>9021</v>
      </c>
      <c r="AS932" s="0" t="s">
        <v>9022</v>
      </c>
      <c r="AT932" s="0" t="s">
        <v>2601</v>
      </c>
      <c r="AU932" s="0" t="s">
        <v>112</v>
      </c>
      <c r="AY932" s="0" t="s">
        <v>9023</v>
      </c>
      <c r="AZ932" s="0" t="s">
        <v>9024</v>
      </c>
      <c r="BC932" s="0" t="str">
        <f aca="false">"316253464"</f>
        <v>316253464</v>
      </c>
      <c r="BX932" s="0" t="s">
        <v>9025</v>
      </c>
      <c r="CB932" s="0" t="str">
        <f aca="false">"06.01.1763"</f>
        <v>06.01.1763</v>
      </c>
      <c r="CF932" s="0" t="s">
        <v>9026</v>
      </c>
      <c r="CG932" s="0" t="s">
        <v>123</v>
      </c>
      <c r="CH932" s="1" t="s">
        <v>4964</v>
      </c>
      <c r="CI932" s="0" t="s">
        <v>9025</v>
      </c>
      <c r="CJ932" s="0" t="s">
        <v>9027</v>
      </c>
      <c r="CL932" s="0" t="s">
        <v>9028</v>
      </c>
      <c r="CM932" s="0" t="s">
        <v>9028</v>
      </c>
      <c r="CO932" s="0" t="s">
        <v>9018</v>
      </c>
      <c r="CR932" s="0" t="s">
        <v>9029</v>
      </c>
    </row>
    <row r="933" customFormat="false" ht="12.8" hidden="false" customHeight="false" outlineLevel="0" collapsed="false">
      <c r="A933" s="0" t="s">
        <v>445</v>
      </c>
      <c r="B933" s="0" t="s">
        <v>9030</v>
      </c>
      <c r="C933" s="0" t="s">
        <v>5973</v>
      </c>
      <c r="D933" s="0" t="s">
        <v>1164</v>
      </c>
      <c r="E933" s="0" t="s">
        <v>9031</v>
      </c>
      <c r="L933" s="0" t="str">
        <f aca="false">"1763"</f>
        <v>1763</v>
      </c>
      <c r="M933" s="0" t="s">
        <v>448</v>
      </c>
      <c r="O933" s="0" t="s">
        <v>9032</v>
      </c>
      <c r="T933" s="0" t="s">
        <v>1164</v>
      </c>
      <c r="AG933" s="0" t="s">
        <v>9033</v>
      </c>
      <c r="AH933" s="0" t="s">
        <v>1686</v>
      </c>
      <c r="AI933" s="0" t="s">
        <v>9034</v>
      </c>
      <c r="AS933" s="0" t="s">
        <v>6136</v>
      </c>
      <c r="AT933" s="0" t="s">
        <v>2601</v>
      </c>
      <c r="AU933" s="0" t="s">
        <v>892</v>
      </c>
      <c r="AZ933" s="0" t="s">
        <v>9035</v>
      </c>
      <c r="BC933" s="0" t="str">
        <f aca="false">"304858404"</f>
        <v>304858404</v>
      </c>
      <c r="CB933" s="0" t="str">
        <f aca="false">"21.04.1763"</f>
        <v>21.04.1763</v>
      </c>
    </row>
    <row r="934" customFormat="false" ht="12.8" hidden="false" customHeight="false" outlineLevel="0" collapsed="false">
      <c r="A934" s="0" t="s">
        <v>445</v>
      </c>
      <c r="B934" s="0" t="s">
        <v>9036</v>
      </c>
      <c r="C934" s="0" t="s">
        <v>8969</v>
      </c>
      <c r="D934" s="0" t="s">
        <v>5060</v>
      </c>
      <c r="E934" s="0" t="s">
        <v>9037</v>
      </c>
      <c r="L934" s="0" t="str">
        <f aca="false">"1763"</f>
        <v>1763</v>
      </c>
      <c r="M934" s="0" t="s">
        <v>448</v>
      </c>
      <c r="O934" s="0" t="s">
        <v>9038</v>
      </c>
      <c r="AG934" s="0" t="s">
        <v>1685</v>
      </c>
      <c r="AH934" s="0" t="s">
        <v>1686</v>
      </c>
      <c r="AI934" s="0" t="s">
        <v>9039</v>
      </c>
      <c r="AS934" s="0" t="s">
        <v>4251</v>
      </c>
      <c r="AT934" s="0" t="s">
        <v>2601</v>
      </c>
      <c r="AU934" s="0" t="s">
        <v>892</v>
      </c>
      <c r="BC934" s="0" t="str">
        <f aca="false">"212850628"</f>
        <v>212850628</v>
      </c>
    </row>
    <row r="935" customFormat="false" ht="12.8" hidden="false" customHeight="false" outlineLevel="0" collapsed="false">
      <c r="A935" s="0" t="s">
        <v>445</v>
      </c>
      <c r="B935" s="0" t="s">
        <v>9040</v>
      </c>
      <c r="C935" s="0" t="s">
        <v>5286</v>
      </c>
      <c r="D935" s="0" t="s">
        <v>360</v>
      </c>
      <c r="E935" s="0" t="s">
        <v>9041</v>
      </c>
      <c r="L935" s="0" t="str">
        <f aca="false">"1637"</f>
        <v>1637</v>
      </c>
      <c r="R935" s="0" t="s">
        <v>9042</v>
      </c>
      <c r="T935" s="0" t="s">
        <v>3165</v>
      </c>
      <c r="AS935" s="0" t="s">
        <v>1914</v>
      </c>
      <c r="AT935" s="0" t="s">
        <v>2601</v>
      </c>
      <c r="AU935" s="0" t="s">
        <v>892</v>
      </c>
      <c r="AY935" s="0" t="s">
        <v>9043</v>
      </c>
      <c r="AZ935" s="0" t="s">
        <v>9044</v>
      </c>
      <c r="BU935" s="0" t="s">
        <v>9045</v>
      </c>
      <c r="CB935" s="0" t="str">
        <f aca="false">"01.01.1637"</f>
        <v>01.01.1637</v>
      </c>
    </row>
    <row r="936" customFormat="false" ht="22.5" hidden="false" customHeight="false" outlineLevel="0" collapsed="false">
      <c r="A936" s="0" t="s">
        <v>445</v>
      </c>
      <c r="B936" s="0" t="s">
        <v>9046</v>
      </c>
      <c r="C936" s="0" t="s">
        <v>8977</v>
      </c>
      <c r="D936" s="0" t="s">
        <v>4293</v>
      </c>
      <c r="E936" s="0" t="s">
        <v>9047</v>
      </c>
      <c r="L936" s="0" t="str">
        <f aca="false">"1763"</f>
        <v>1763</v>
      </c>
      <c r="M936" s="0" t="s">
        <v>3905</v>
      </c>
      <c r="O936" s="1" t="s">
        <v>9048</v>
      </c>
      <c r="R936" s="0" t="s">
        <v>9049</v>
      </c>
      <c r="T936" s="0" t="s">
        <v>8219</v>
      </c>
      <c r="AA936" s="0" t="s">
        <v>9050</v>
      </c>
      <c r="AB936" s="0" t="s">
        <v>9051</v>
      </c>
      <c r="AG936" s="0" t="s">
        <v>2696</v>
      </c>
      <c r="AH936" s="1" t="s">
        <v>2697</v>
      </c>
      <c r="AI936" s="0" t="s">
        <v>9052</v>
      </c>
      <c r="AJ936" s="0" t="s">
        <v>9053</v>
      </c>
      <c r="AK936" s="0" t="s">
        <v>9054</v>
      </c>
      <c r="AS936" s="0" t="s">
        <v>9055</v>
      </c>
      <c r="AT936" s="0" t="s">
        <v>2601</v>
      </c>
      <c r="AU936" s="0" t="s">
        <v>892</v>
      </c>
      <c r="AY936" s="0" t="s">
        <v>9056</v>
      </c>
      <c r="AZ936" s="0" t="s">
        <v>9057</v>
      </c>
      <c r="BC936" s="2" t="s">
        <v>9058</v>
      </c>
      <c r="BX936" s="0" t="s">
        <v>9059</v>
      </c>
      <c r="CI936" s="0" t="s">
        <v>9059</v>
      </c>
    </row>
    <row r="937" customFormat="false" ht="12.8" hidden="false" customHeight="false" outlineLevel="0" collapsed="false">
      <c r="A937" s="0" t="s">
        <v>445</v>
      </c>
      <c r="B937" s="0" t="s">
        <v>9060</v>
      </c>
      <c r="C937" s="0" t="s">
        <v>5286</v>
      </c>
      <c r="D937" s="0" t="s">
        <v>360</v>
      </c>
      <c r="E937" s="0" t="s">
        <v>9061</v>
      </c>
      <c r="L937" s="0" t="str">
        <f aca="false">"1679"</f>
        <v>1679</v>
      </c>
      <c r="M937" s="0" t="s">
        <v>448</v>
      </c>
      <c r="O937" s="0" t="s">
        <v>5933</v>
      </c>
      <c r="T937" s="0" t="s">
        <v>2688</v>
      </c>
      <c r="AT937" s="0" t="s">
        <v>2601</v>
      </c>
      <c r="AU937" s="0" t="s">
        <v>892</v>
      </c>
      <c r="BN937" s="0" t="s">
        <v>9062</v>
      </c>
    </row>
    <row r="938" customFormat="false" ht="12.8" hidden="false" customHeight="false" outlineLevel="0" collapsed="false">
      <c r="A938" s="0" t="s">
        <v>445</v>
      </c>
      <c r="B938" s="0" t="s">
        <v>9063</v>
      </c>
      <c r="C938" s="0" t="s">
        <v>5286</v>
      </c>
      <c r="D938" s="0" t="s">
        <v>360</v>
      </c>
      <c r="E938" s="0" t="s">
        <v>9064</v>
      </c>
      <c r="M938" s="0" t="s">
        <v>448</v>
      </c>
      <c r="O938" s="0" t="s">
        <v>9065</v>
      </c>
      <c r="T938" s="0" t="s">
        <v>1346</v>
      </c>
      <c r="AT938" s="0" t="s">
        <v>2601</v>
      </c>
      <c r="AU938" s="0" t="s">
        <v>892</v>
      </c>
      <c r="AZ938" s="0" t="s">
        <v>9066</v>
      </c>
      <c r="BN938" s="0" t="s">
        <v>9062</v>
      </c>
    </row>
    <row r="939" customFormat="false" ht="22.5" hidden="false" customHeight="false" outlineLevel="0" collapsed="false">
      <c r="A939" s="0" t="s">
        <v>445</v>
      </c>
      <c r="B939" s="0" t="s">
        <v>9067</v>
      </c>
      <c r="C939" s="0" t="s">
        <v>1685</v>
      </c>
      <c r="D939" s="0" t="s">
        <v>1686</v>
      </c>
      <c r="E939" s="0" t="s">
        <v>9068</v>
      </c>
      <c r="L939" s="0" t="str">
        <f aca="false">"1742"</f>
        <v>1742</v>
      </c>
      <c r="M939" s="1" t="s">
        <v>193</v>
      </c>
      <c r="O939" s="1" t="s">
        <v>9069</v>
      </c>
      <c r="R939" s="0" t="s">
        <v>9070</v>
      </c>
      <c r="T939" s="0" t="s">
        <v>1686</v>
      </c>
      <c r="AA939" s="0" t="str">
        <f aca="false">"10788530"</f>
        <v>10788530</v>
      </c>
      <c r="AB939" s="0" t="s">
        <v>9071</v>
      </c>
      <c r="AG939" s="0" t="s">
        <v>1685</v>
      </c>
      <c r="AH939" s="0" t="s">
        <v>1686</v>
      </c>
      <c r="AI939" s="0" t="s">
        <v>9072</v>
      </c>
      <c r="AS939" s="0" t="s">
        <v>5870</v>
      </c>
      <c r="AT939" s="0" t="s">
        <v>2601</v>
      </c>
      <c r="AU939" s="0" t="s">
        <v>872</v>
      </c>
      <c r="AY939" s="0" t="s">
        <v>9073</v>
      </c>
      <c r="AZ939" s="0" t="s">
        <v>9074</v>
      </c>
      <c r="BC939" s="0" t="str">
        <f aca="false">"192840711"</f>
        <v>192840711</v>
      </c>
      <c r="BD939" s="0" t="s">
        <v>873</v>
      </c>
      <c r="BE939" s="0" t="s">
        <v>9075</v>
      </c>
      <c r="BJ939" s="0" t="s">
        <v>118</v>
      </c>
      <c r="BN939" s="0" t="s">
        <v>9076</v>
      </c>
      <c r="BX939" s="0" t="s">
        <v>9077</v>
      </c>
      <c r="CI939" s="0" t="s">
        <v>9077</v>
      </c>
      <c r="CJ939" s="0" t="s">
        <v>9078</v>
      </c>
      <c r="CO939" s="0" t="s">
        <v>9079</v>
      </c>
      <c r="CR939" s="0" t="s">
        <v>9080</v>
      </c>
    </row>
    <row r="940" customFormat="false" ht="22.5" hidden="false" customHeight="false" outlineLevel="0" collapsed="false">
      <c r="A940" s="0" t="s">
        <v>197</v>
      </c>
      <c r="B940" s="0" t="s">
        <v>9081</v>
      </c>
      <c r="C940" s="0" t="s">
        <v>242</v>
      </c>
      <c r="D940" s="0" t="s">
        <v>243</v>
      </c>
      <c r="E940" s="0" t="s">
        <v>9082</v>
      </c>
      <c r="F940" s="0" t="s">
        <v>192</v>
      </c>
      <c r="H940" s="0" t="s">
        <v>102</v>
      </c>
      <c r="L940" s="0" t="str">
        <f aca="false">"1749"</f>
        <v>1749</v>
      </c>
      <c r="M940" s="1" t="s">
        <v>193</v>
      </c>
      <c r="O940" s="1" t="s">
        <v>9083</v>
      </c>
      <c r="T940" s="0" t="s">
        <v>4104</v>
      </c>
      <c r="AA940" s="2" t="s">
        <v>9084</v>
      </c>
      <c r="AB940" s="0" t="s">
        <v>9085</v>
      </c>
      <c r="AS940" s="0" t="s">
        <v>9086</v>
      </c>
      <c r="AT940" s="0" t="s">
        <v>2601</v>
      </c>
      <c r="AU940" s="0" t="s">
        <v>872</v>
      </c>
      <c r="BC940" s="0" t="str">
        <f aca="false">"064209458"</f>
        <v>064209458</v>
      </c>
      <c r="BD940" s="0" t="s">
        <v>873</v>
      </c>
      <c r="BE940" s="0" t="s">
        <v>9087</v>
      </c>
      <c r="BJ940" s="0" t="s">
        <v>118</v>
      </c>
      <c r="BX940" s="0" t="s">
        <v>9088</v>
      </c>
      <c r="CI940" s="0" t="s">
        <v>9088</v>
      </c>
      <c r="CP940" s="0" t="s">
        <v>9089</v>
      </c>
      <c r="CR940" s="0" t="s">
        <v>9090</v>
      </c>
    </row>
    <row r="941" customFormat="false" ht="12.8" hidden="false" customHeight="false" outlineLevel="0" collapsed="false">
      <c r="A941" s="0" t="s">
        <v>445</v>
      </c>
      <c r="B941" s="0" t="s">
        <v>9091</v>
      </c>
      <c r="C941" s="0" t="s">
        <v>242</v>
      </c>
      <c r="D941" s="0" t="s">
        <v>243</v>
      </c>
      <c r="E941" s="0" t="s">
        <v>9092</v>
      </c>
      <c r="L941" s="0" t="str">
        <f aca="false">"1751"</f>
        <v>1751</v>
      </c>
      <c r="M941" s="0" t="s">
        <v>448</v>
      </c>
      <c r="O941" s="0" t="s">
        <v>9093</v>
      </c>
      <c r="R941" s="0" t="s">
        <v>9094</v>
      </c>
      <c r="T941" s="0" t="s">
        <v>9095</v>
      </c>
      <c r="AA941" s="0" t="str">
        <f aca="false">"10586911"</f>
        <v>10586911</v>
      </c>
      <c r="AB941" s="0" t="s">
        <v>9096</v>
      </c>
      <c r="AS941" s="0" t="s">
        <v>9097</v>
      </c>
      <c r="AT941" s="0" t="s">
        <v>2601</v>
      </c>
      <c r="AU941" s="0" t="s">
        <v>892</v>
      </c>
      <c r="AY941" s="0" t="s">
        <v>9098</v>
      </c>
      <c r="AZ941" s="0" t="s">
        <v>9099</v>
      </c>
      <c r="BC941" s="0" t="s">
        <v>9100</v>
      </c>
      <c r="BX941" s="0" t="s">
        <v>9101</v>
      </c>
      <c r="CI941" s="0" t="s">
        <v>9101</v>
      </c>
    </row>
    <row r="942" customFormat="false" ht="22.5" hidden="false" customHeight="false" outlineLevel="0" collapsed="false">
      <c r="B942" s="0" t="s">
        <v>9102</v>
      </c>
      <c r="C942" s="0" t="s">
        <v>2696</v>
      </c>
      <c r="D942" s="1" t="s">
        <v>2697</v>
      </c>
      <c r="E942" s="0" t="s">
        <v>9103</v>
      </c>
      <c r="L942" s="0" t="str">
        <f aca="false">"1623"</f>
        <v>1623</v>
      </c>
      <c r="M942" s="0" t="s">
        <v>448</v>
      </c>
      <c r="O942" s="0" t="s">
        <v>6332</v>
      </c>
      <c r="R942" s="0" t="s">
        <v>9104</v>
      </c>
      <c r="T942" s="0" t="s">
        <v>1150</v>
      </c>
      <c r="Z942" s="0" t="s">
        <v>9105</v>
      </c>
      <c r="AS942" s="0" t="s">
        <v>9106</v>
      </c>
      <c r="AT942" s="0" t="s">
        <v>2601</v>
      </c>
      <c r="AU942" s="0" t="s">
        <v>892</v>
      </c>
      <c r="AY942" s="0" t="s">
        <v>9107</v>
      </c>
      <c r="AZ942" s="0" t="s">
        <v>9108</v>
      </c>
      <c r="BX942" s="0" t="s">
        <v>9109</v>
      </c>
      <c r="CI942" s="0" t="s">
        <v>9109</v>
      </c>
    </row>
    <row r="943" customFormat="false" ht="12.8" hidden="false" customHeight="false" outlineLevel="0" collapsed="false">
      <c r="A943" s="0" t="s">
        <v>445</v>
      </c>
      <c r="B943" s="0" t="s">
        <v>9110</v>
      </c>
      <c r="C943" s="0" t="s">
        <v>1213</v>
      </c>
      <c r="D943" s="0" t="s">
        <v>1214</v>
      </c>
      <c r="E943" s="0" t="s">
        <v>9111</v>
      </c>
      <c r="L943" s="0" t="str">
        <f aca="false">"1642"</f>
        <v>1642</v>
      </c>
      <c r="M943" s="0" t="s">
        <v>448</v>
      </c>
      <c r="O943" s="0" t="s">
        <v>5933</v>
      </c>
      <c r="R943" s="0" t="s">
        <v>9112</v>
      </c>
      <c r="T943" s="0" t="s">
        <v>9113</v>
      </c>
      <c r="Z943" s="0" t="s">
        <v>9114</v>
      </c>
      <c r="AG943" s="0" t="s">
        <v>397</v>
      </c>
      <c r="AH943" s="0" t="s">
        <v>398</v>
      </c>
      <c r="AI943" s="0" t="s">
        <v>9115</v>
      </c>
      <c r="AS943" s="0" t="s">
        <v>9116</v>
      </c>
      <c r="AT943" s="0" t="s">
        <v>2601</v>
      </c>
      <c r="AU943" s="0" t="s">
        <v>892</v>
      </c>
      <c r="AY943" s="0" t="s">
        <v>9117</v>
      </c>
      <c r="AZ943" s="0" t="s">
        <v>9118</v>
      </c>
      <c r="BX943" s="0" t="s">
        <v>9119</v>
      </c>
      <c r="CI943" s="0" t="s">
        <v>9119</v>
      </c>
    </row>
    <row r="944" customFormat="false" ht="22.5" hidden="false" customHeight="false" outlineLevel="0" collapsed="false">
      <c r="A944" s="0" t="s">
        <v>197</v>
      </c>
      <c r="B944" s="0" t="s">
        <v>9120</v>
      </c>
      <c r="C944" s="0" t="s">
        <v>895</v>
      </c>
      <c r="D944" s="0" t="s">
        <v>896</v>
      </c>
      <c r="E944" s="0" t="s">
        <v>5723</v>
      </c>
      <c r="L944" s="0" t="str">
        <f aca="false">"1669"</f>
        <v>1669</v>
      </c>
      <c r="M944" s="0" t="s">
        <v>448</v>
      </c>
      <c r="O944" s="1" t="s">
        <v>9121</v>
      </c>
      <c r="R944" s="1" t="s">
        <v>9122</v>
      </c>
      <c r="T944" s="1" t="s">
        <v>9123</v>
      </c>
      <c r="AB944" s="0" t="s">
        <v>9124</v>
      </c>
      <c r="AS944" s="0" t="s">
        <v>9125</v>
      </c>
      <c r="AT944" s="0" t="s">
        <v>2601</v>
      </c>
      <c r="AU944" s="0" t="s">
        <v>892</v>
      </c>
      <c r="AY944" s="0" t="s">
        <v>9126</v>
      </c>
      <c r="AZ944" s="0" t="s">
        <v>9127</v>
      </c>
      <c r="BC944" s="0" t="str">
        <f aca="false">"863200095"</f>
        <v>863200095</v>
      </c>
      <c r="BN944" s="0" t="s">
        <v>9128</v>
      </c>
      <c r="BX944" s="0" t="s">
        <v>9129</v>
      </c>
      <c r="CI944" s="0" t="s">
        <v>9129</v>
      </c>
      <c r="CP944" s="0" t="s">
        <v>9130</v>
      </c>
      <c r="CR944" s="0" t="s">
        <v>9131</v>
      </c>
    </row>
    <row r="945" customFormat="false" ht="12.8" hidden="false" customHeight="false" outlineLevel="0" collapsed="false">
      <c r="B945" s="0" t="s">
        <v>9132</v>
      </c>
      <c r="C945" s="0" t="s">
        <v>895</v>
      </c>
      <c r="D945" s="0" t="s">
        <v>896</v>
      </c>
      <c r="E945" s="0" t="s">
        <v>5723</v>
      </c>
      <c r="M945" s="0" t="s">
        <v>448</v>
      </c>
      <c r="O945" s="0" t="s">
        <v>9133</v>
      </c>
      <c r="AB945" s="0" t="s">
        <v>9134</v>
      </c>
      <c r="AP945" s="0" t="s">
        <v>9120</v>
      </c>
      <c r="AQ945" s="0" t="s">
        <v>9135</v>
      </c>
      <c r="AR945" s="0" t="s">
        <v>9136</v>
      </c>
      <c r="AT945" s="0" t="s">
        <v>2601</v>
      </c>
      <c r="AU945" s="0" t="s">
        <v>892</v>
      </c>
      <c r="BN945" s="0" t="s">
        <v>9128</v>
      </c>
      <c r="BX945" s="0" t="s">
        <v>9137</v>
      </c>
      <c r="CI945" s="0" t="s">
        <v>9137</v>
      </c>
    </row>
    <row r="946" customFormat="false" ht="12.8" hidden="false" customHeight="false" outlineLevel="0" collapsed="false">
      <c r="A946" s="0" t="s">
        <v>445</v>
      </c>
      <c r="B946" s="0" t="s">
        <v>9138</v>
      </c>
      <c r="C946" s="0" t="s">
        <v>1429</v>
      </c>
      <c r="D946" s="0" t="s">
        <v>99</v>
      </c>
      <c r="E946" s="0" t="s">
        <v>6396</v>
      </c>
      <c r="L946" s="0" t="str">
        <f aca="false">"1680"</f>
        <v>1680</v>
      </c>
      <c r="M946" s="0" t="s">
        <v>448</v>
      </c>
      <c r="O946" s="0" t="s">
        <v>6397</v>
      </c>
      <c r="R946" s="0" t="s">
        <v>4697</v>
      </c>
      <c r="T946" s="0" t="s">
        <v>99</v>
      </c>
      <c r="Z946" s="0" t="s">
        <v>6398</v>
      </c>
      <c r="AB946" s="0" t="s">
        <v>9139</v>
      </c>
      <c r="AP946" s="0" t="s">
        <v>6395</v>
      </c>
      <c r="AQ946" s="0" t="s">
        <v>9140</v>
      </c>
      <c r="AT946" s="0" t="s">
        <v>2601</v>
      </c>
      <c r="AU946" s="0" t="s">
        <v>2457</v>
      </c>
      <c r="AY946" s="0" t="s">
        <v>9141</v>
      </c>
      <c r="BX946" s="0" t="s">
        <v>9142</v>
      </c>
      <c r="CI946" s="0" t="s">
        <v>9142</v>
      </c>
    </row>
    <row r="947" customFormat="false" ht="12.8" hidden="false" customHeight="false" outlineLevel="0" collapsed="false">
      <c r="A947" s="0" t="s">
        <v>445</v>
      </c>
      <c r="B947" s="0" t="s">
        <v>9143</v>
      </c>
      <c r="C947" s="0" t="s">
        <v>242</v>
      </c>
      <c r="D947" s="0" t="s">
        <v>243</v>
      </c>
      <c r="E947" s="0" t="s">
        <v>9144</v>
      </c>
      <c r="L947" s="0" t="str">
        <f aca="false">"1686"</f>
        <v>1686</v>
      </c>
      <c r="M947" s="0" t="s">
        <v>448</v>
      </c>
      <c r="O947" s="0" t="s">
        <v>9145</v>
      </c>
      <c r="T947" s="0" t="s">
        <v>1346</v>
      </c>
      <c r="Z947" s="0" t="s">
        <v>6438</v>
      </c>
      <c r="AB947" s="0" t="s">
        <v>9146</v>
      </c>
      <c r="AP947" s="0" t="s">
        <v>6435</v>
      </c>
      <c r="AQ947" s="0" t="s">
        <v>9147</v>
      </c>
      <c r="AT947" s="0" t="s">
        <v>2601</v>
      </c>
      <c r="AU947" s="0" t="s">
        <v>872</v>
      </c>
      <c r="AY947" s="0" t="s">
        <v>9148</v>
      </c>
      <c r="BV947" s="0" t="s">
        <v>9149</v>
      </c>
      <c r="BX947" s="0" t="s">
        <v>9150</v>
      </c>
      <c r="CI947" s="0" t="s">
        <v>9150</v>
      </c>
      <c r="CJ947" s="0" t="s">
        <v>9151</v>
      </c>
      <c r="CO947" s="0" t="s">
        <v>9143</v>
      </c>
    </row>
    <row r="948" customFormat="false" ht="22.5" hidden="false" customHeight="false" outlineLevel="0" collapsed="false">
      <c r="A948" s="0" t="s">
        <v>2290</v>
      </c>
      <c r="B948" s="0" t="s">
        <v>9152</v>
      </c>
      <c r="C948" s="0" t="s">
        <v>8940</v>
      </c>
      <c r="D948" s="0" t="s">
        <v>99</v>
      </c>
      <c r="E948" s="0" t="s">
        <v>1595</v>
      </c>
      <c r="F948" s="0" t="s">
        <v>2293</v>
      </c>
      <c r="G948" s="0" t="s">
        <v>2294</v>
      </c>
      <c r="H948" s="0" t="s">
        <v>9153</v>
      </c>
      <c r="L948" s="0" t="str">
        <f aca="false">"1649"</f>
        <v>1649</v>
      </c>
      <c r="M948" s="0" t="s">
        <v>2296</v>
      </c>
      <c r="T948" s="0" t="s">
        <v>99</v>
      </c>
      <c r="U948" s="1" t="s">
        <v>9154</v>
      </c>
      <c r="V948" s="1" t="s">
        <v>9155</v>
      </c>
      <c r="AD948" s="0" t="s">
        <v>2301</v>
      </c>
      <c r="AE948" s="0" t="s">
        <v>9156</v>
      </c>
      <c r="AT948" s="0" t="s">
        <v>139</v>
      </c>
      <c r="AU948" s="0" t="s">
        <v>112</v>
      </c>
      <c r="BX948" s="0" t="s">
        <v>9157</v>
      </c>
      <c r="BY948" s="0" t="s">
        <v>1584</v>
      </c>
      <c r="BZ948" s="0" t="s">
        <v>2290</v>
      </c>
      <c r="CI948" s="0" t="s">
        <v>9157</v>
      </c>
      <c r="CQ948" s="0" t="s">
        <v>9158</v>
      </c>
      <c r="CR948" s="0" t="s">
        <v>9159</v>
      </c>
    </row>
    <row r="949" customFormat="false" ht="12.8" hidden="false" customHeight="false" outlineLevel="0" collapsed="false">
      <c r="A949" s="0" t="s">
        <v>445</v>
      </c>
      <c r="B949" s="0" t="s">
        <v>9160</v>
      </c>
      <c r="C949" s="0" t="s">
        <v>1213</v>
      </c>
      <c r="D949" s="0" t="s">
        <v>1214</v>
      </c>
      <c r="E949" s="0" t="s">
        <v>9161</v>
      </c>
      <c r="M949" s="0" t="s">
        <v>448</v>
      </c>
      <c r="AB949" s="0" t="s">
        <v>9162</v>
      </c>
      <c r="AP949" s="0" t="s">
        <v>5999</v>
      </c>
      <c r="AQ949" s="0" t="s">
        <v>9163</v>
      </c>
      <c r="AS949" s="0" t="s">
        <v>5845</v>
      </c>
      <c r="AT949" s="0" t="s">
        <v>2601</v>
      </c>
      <c r="AU949" s="0" t="s">
        <v>872</v>
      </c>
      <c r="AY949" s="0" t="s">
        <v>9164</v>
      </c>
      <c r="AZ949" s="0" t="s">
        <v>9165</v>
      </c>
      <c r="BX949" s="0" t="s">
        <v>9166</v>
      </c>
      <c r="CI949" s="0" t="s">
        <v>9166</v>
      </c>
      <c r="CJ949" s="0" t="s">
        <v>9167</v>
      </c>
      <c r="CO949" s="0" t="s">
        <v>9160</v>
      </c>
      <c r="CR949" s="0" t="s">
        <v>9168</v>
      </c>
    </row>
    <row r="950" customFormat="false" ht="12.8" hidden="false" customHeight="false" outlineLevel="0" collapsed="false">
      <c r="A950" s="0" t="s">
        <v>445</v>
      </c>
      <c r="B950" s="0" t="s">
        <v>9169</v>
      </c>
      <c r="C950" s="0" t="s">
        <v>1685</v>
      </c>
      <c r="D950" s="0" t="s">
        <v>1686</v>
      </c>
      <c r="E950" s="0" t="s">
        <v>9170</v>
      </c>
      <c r="F950" s="0" t="s">
        <v>192</v>
      </c>
      <c r="H950" s="0" t="s">
        <v>102</v>
      </c>
      <c r="L950" s="0" t="str">
        <f aca="false">"1758"</f>
        <v>1758</v>
      </c>
      <c r="M950" s="0" t="s">
        <v>448</v>
      </c>
      <c r="O950" s="0" t="s">
        <v>8070</v>
      </c>
      <c r="T950" s="0" t="s">
        <v>1346</v>
      </c>
      <c r="AA950" s="0" t="str">
        <f aca="false">"11310065"</f>
        <v>11310065</v>
      </c>
      <c r="AB950" s="0" t="s">
        <v>9171</v>
      </c>
      <c r="AP950" s="0" t="s">
        <v>8052</v>
      </c>
      <c r="AQ950" s="0" t="s">
        <v>9172</v>
      </c>
      <c r="AT950" s="0" t="s">
        <v>2601</v>
      </c>
      <c r="AU950" s="0" t="s">
        <v>872</v>
      </c>
      <c r="AY950" s="0" t="s">
        <v>9173</v>
      </c>
      <c r="BX950" s="0" t="s">
        <v>9174</v>
      </c>
      <c r="CC950" s="0" t="s">
        <v>9175</v>
      </c>
      <c r="CI950" s="0" t="s">
        <v>9174</v>
      </c>
      <c r="CJ950" s="0" t="s">
        <v>9176</v>
      </c>
      <c r="CO950" s="0" t="s">
        <v>9177</v>
      </c>
    </row>
    <row r="951" customFormat="false" ht="12.8" hidden="false" customHeight="false" outlineLevel="0" collapsed="false">
      <c r="A951" s="0" t="s">
        <v>445</v>
      </c>
      <c r="B951" s="0" t="s">
        <v>9178</v>
      </c>
      <c r="C951" s="0" t="s">
        <v>1685</v>
      </c>
      <c r="D951" s="0" t="s">
        <v>1686</v>
      </c>
      <c r="E951" s="0" t="s">
        <v>9179</v>
      </c>
      <c r="F951" s="0" t="s">
        <v>192</v>
      </c>
      <c r="H951" s="0" t="s">
        <v>102</v>
      </c>
      <c r="L951" s="0" t="str">
        <f aca="false">"1758"</f>
        <v>1758</v>
      </c>
      <c r="O951" s="0" t="s">
        <v>8070</v>
      </c>
      <c r="T951" s="0" t="s">
        <v>1346</v>
      </c>
      <c r="AA951" s="0" t="str">
        <f aca="false">"11310065"</f>
        <v>11310065</v>
      </c>
      <c r="AB951" s="0" t="s">
        <v>9180</v>
      </c>
      <c r="AP951" s="0" t="s">
        <v>8052</v>
      </c>
      <c r="AQ951" s="0" t="s">
        <v>9181</v>
      </c>
      <c r="AT951" s="0" t="s">
        <v>2601</v>
      </c>
      <c r="AU951" s="0" t="s">
        <v>872</v>
      </c>
      <c r="AY951" s="0" t="s">
        <v>9182</v>
      </c>
      <c r="BX951" s="0" t="s">
        <v>9183</v>
      </c>
      <c r="CC951" s="0" t="s">
        <v>779</v>
      </c>
      <c r="CI951" s="0" t="s">
        <v>9183</v>
      </c>
      <c r="CJ951" s="0" t="s">
        <v>9184</v>
      </c>
      <c r="CO951" s="0" t="s">
        <v>9178</v>
      </c>
    </row>
    <row r="952" customFormat="false" ht="12.8" hidden="false" customHeight="false" outlineLevel="0" collapsed="false">
      <c r="A952" s="0" t="s">
        <v>445</v>
      </c>
      <c r="B952" s="0" t="s">
        <v>9185</v>
      </c>
      <c r="E952" s="0" t="s">
        <v>9186</v>
      </c>
      <c r="L952" s="0" t="str">
        <f aca="false">"10.02.1762"</f>
        <v>10.02.1762</v>
      </c>
      <c r="R952" s="0" t="s">
        <v>9187</v>
      </c>
      <c r="T952" s="0" t="s">
        <v>9188</v>
      </c>
      <c r="AB952" s="0" t="s">
        <v>9189</v>
      </c>
      <c r="AS952" s="0" t="str">
        <f aca="false">"4"</f>
        <v>4</v>
      </c>
      <c r="AT952" s="0" t="s">
        <v>906</v>
      </c>
      <c r="AU952" s="0" t="s">
        <v>892</v>
      </c>
      <c r="AW952" s="0" t="s">
        <v>907</v>
      </c>
      <c r="AY952" s="0" t="s">
        <v>9190</v>
      </c>
      <c r="BV952" s="0" t="s">
        <v>9191</v>
      </c>
      <c r="CJ952" s="0" t="s">
        <v>9192</v>
      </c>
      <c r="CO952" s="0" t="s">
        <v>9185</v>
      </c>
    </row>
    <row r="953" customFormat="false" ht="22.5" hidden="false" customHeight="false" outlineLevel="0" collapsed="false">
      <c r="A953" s="0" t="s">
        <v>96</v>
      </c>
      <c r="B953" s="0" t="s">
        <v>9193</v>
      </c>
      <c r="C953" s="0" t="s">
        <v>224</v>
      </c>
      <c r="D953" s="0" t="s">
        <v>225</v>
      </c>
      <c r="E953" s="0" t="s">
        <v>9194</v>
      </c>
      <c r="L953" s="0" t="str">
        <f aca="false">"1643"</f>
        <v>1643</v>
      </c>
      <c r="M953" s="1" t="s">
        <v>898</v>
      </c>
      <c r="O953" s="1" t="s">
        <v>9195</v>
      </c>
      <c r="T953" s="0" t="s">
        <v>1164</v>
      </c>
      <c r="Z953" s="0" t="s">
        <v>9196</v>
      </c>
      <c r="AB953" s="0" t="s">
        <v>9197</v>
      </c>
      <c r="AO953" s="0" t="s">
        <v>110</v>
      </c>
      <c r="AT953" s="0" t="s">
        <v>906</v>
      </c>
      <c r="AU953" s="0" t="s">
        <v>5389</v>
      </c>
      <c r="AW953" s="0" t="s">
        <v>907</v>
      </c>
      <c r="AY953" s="0" t="s">
        <v>9198</v>
      </c>
      <c r="BX953" s="0" t="s">
        <v>9199</v>
      </c>
      <c r="CI953" s="0" t="s">
        <v>9199</v>
      </c>
      <c r="CJ953" s="0" t="s">
        <v>9200</v>
      </c>
      <c r="CO953" s="0" t="s">
        <v>9193</v>
      </c>
    </row>
    <row r="954" customFormat="false" ht="22.5" hidden="false" customHeight="false" outlineLevel="0" collapsed="false">
      <c r="A954" s="0" t="s">
        <v>445</v>
      </c>
      <c r="B954" s="0" t="s">
        <v>9201</v>
      </c>
      <c r="C954" s="0" t="s">
        <v>1213</v>
      </c>
      <c r="D954" s="0" t="s">
        <v>1214</v>
      </c>
      <c r="E954" s="0" t="s">
        <v>9202</v>
      </c>
      <c r="L954" s="0" t="str">
        <f aca="false">"1760"</f>
        <v>1760</v>
      </c>
      <c r="M954" s="1" t="s">
        <v>898</v>
      </c>
      <c r="N954" s="0" t="s">
        <v>1701</v>
      </c>
      <c r="O954" s="1" t="s">
        <v>9203</v>
      </c>
      <c r="T954" s="0" t="s">
        <v>9204</v>
      </c>
      <c r="AB954" s="0" t="s">
        <v>9205</v>
      </c>
      <c r="AS954" s="0" t="s">
        <v>2031</v>
      </c>
      <c r="AT954" s="0" t="s">
        <v>906</v>
      </c>
      <c r="AU954" s="0" t="s">
        <v>5389</v>
      </c>
      <c r="AZ954" s="0" t="s">
        <v>9206</v>
      </c>
      <c r="BX954" s="0" t="s">
        <v>9207</v>
      </c>
      <c r="CI954" s="0" t="s">
        <v>9207</v>
      </c>
      <c r="CJ954" s="0" t="s">
        <v>9208</v>
      </c>
      <c r="CO954" s="0" t="s">
        <v>9201</v>
      </c>
    </row>
    <row r="955" customFormat="false" ht="12.8" hidden="false" customHeight="false" outlineLevel="0" collapsed="false">
      <c r="A955" s="0" t="s">
        <v>445</v>
      </c>
      <c r="B955" s="0" t="s">
        <v>9209</v>
      </c>
      <c r="C955" s="0" t="s">
        <v>224</v>
      </c>
      <c r="D955" s="0" t="s">
        <v>225</v>
      </c>
      <c r="E955" s="0" t="s">
        <v>9210</v>
      </c>
      <c r="L955" s="0" t="str">
        <f aca="false">"1757"</f>
        <v>1757</v>
      </c>
      <c r="M955" s="0" t="s">
        <v>870</v>
      </c>
      <c r="O955" s="0" t="s">
        <v>9211</v>
      </c>
      <c r="T955" s="0" t="s">
        <v>398</v>
      </c>
      <c r="AA955" s="0" t="str">
        <f aca="false">"11833645"</f>
        <v>11833645</v>
      </c>
      <c r="AB955" s="0" t="s">
        <v>9212</v>
      </c>
      <c r="AG955" s="0" t="s">
        <v>397</v>
      </c>
      <c r="AH955" s="0" t="s">
        <v>398</v>
      </c>
      <c r="AI955" s="0" t="s">
        <v>9213</v>
      </c>
      <c r="AS955" s="0" t="s">
        <v>1116</v>
      </c>
      <c r="AT955" s="0" t="s">
        <v>906</v>
      </c>
      <c r="AU955" s="0" t="s">
        <v>5389</v>
      </c>
      <c r="AV955" s="0" t="s">
        <v>113</v>
      </c>
      <c r="AY955" s="0" t="s">
        <v>9214</v>
      </c>
      <c r="BC955" s="0" t="str">
        <f aca="false">"735465142"</f>
        <v>735465142</v>
      </c>
      <c r="BX955" s="0" t="s">
        <v>9215</v>
      </c>
      <c r="CH955" s="0" t="s">
        <v>625</v>
      </c>
      <c r="CI955" s="0" t="s">
        <v>9215</v>
      </c>
      <c r="CJ955" s="0" t="s">
        <v>9216</v>
      </c>
      <c r="CO955" s="0" t="s">
        <v>9209</v>
      </c>
      <c r="CR955" s="0" t="s">
        <v>9217</v>
      </c>
      <c r="CS955" s="0" t="s">
        <v>9217</v>
      </c>
    </row>
    <row r="956" customFormat="false" ht="22.5" hidden="false" customHeight="false" outlineLevel="0" collapsed="false">
      <c r="A956" s="0" t="s">
        <v>445</v>
      </c>
      <c r="B956" s="0" t="s">
        <v>9218</v>
      </c>
      <c r="C956" s="0" t="s">
        <v>224</v>
      </c>
      <c r="D956" s="0" t="s">
        <v>225</v>
      </c>
      <c r="E956" s="0" t="s">
        <v>9219</v>
      </c>
      <c r="L956" s="0" t="str">
        <f aca="false">"1677"</f>
        <v>1677</v>
      </c>
      <c r="M956" s="1" t="s">
        <v>898</v>
      </c>
      <c r="O956" s="1" t="s">
        <v>9220</v>
      </c>
      <c r="T956" s="0" t="s">
        <v>398</v>
      </c>
      <c r="Z956" s="0" t="s">
        <v>9221</v>
      </c>
      <c r="AB956" s="0" t="s">
        <v>9222</v>
      </c>
      <c r="AT956" s="0" t="s">
        <v>906</v>
      </c>
      <c r="AU956" s="0" t="s">
        <v>5389</v>
      </c>
      <c r="BC956" s="0" t="str">
        <f aca="false">"644103973"</f>
        <v>644103973</v>
      </c>
      <c r="BX956" s="0" t="s">
        <v>9223</v>
      </c>
      <c r="CI956" s="0" t="s">
        <v>9223</v>
      </c>
      <c r="CJ956" s="0" t="s">
        <v>9224</v>
      </c>
      <c r="CO956" s="0" t="s">
        <v>9225</v>
      </c>
    </row>
    <row r="957" customFormat="false" ht="22.5" hidden="false" customHeight="false" outlineLevel="0" collapsed="false">
      <c r="A957" s="0" t="s">
        <v>445</v>
      </c>
      <c r="B957" s="0" t="s">
        <v>9226</v>
      </c>
      <c r="C957" s="0" t="s">
        <v>397</v>
      </c>
      <c r="D957" s="0" t="s">
        <v>398</v>
      </c>
      <c r="E957" s="0" t="s">
        <v>9227</v>
      </c>
      <c r="L957" s="0" t="str">
        <f aca="false">"1763"</f>
        <v>1763</v>
      </c>
      <c r="M957" s="1" t="s">
        <v>898</v>
      </c>
      <c r="O957" s="1" t="s">
        <v>9228</v>
      </c>
      <c r="T957" s="0" t="s">
        <v>1686</v>
      </c>
      <c r="AA957" s="0" t="str">
        <f aca="false">"11791683"</f>
        <v>11791683</v>
      </c>
      <c r="AB957" s="0" t="s">
        <v>9229</v>
      </c>
      <c r="AS957" s="0" t="s">
        <v>4377</v>
      </c>
      <c r="AT957" s="0" t="s">
        <v>906</v>
      </c>
      <c r="AU957" s="0" t="s">
        <v>5389</v>
      </c>
      <c r="AY957" s="0" t="s">
        <v>9230</v>
      </c>
      <c r="BC957" s="0" t="str">
        <f aca="false">" 679430369"</f>
        <v> 679430369</v>
      </c>
      <c r="CJ957" s="0" t="s">
        <v>9231</v>
      </c>
      <c r="CO957" s="0" t="s">
        <v>9226</v>
      </c>
    </row>
    <row r="958" customFormat="false" ht="12.8" hidden="false" customHeight="false" outlineLevel="0" collapsed="false">
      <c r="A958" s="0" t="s">
        <v>445</v>
      </c>
      <c r="B958" s="0" t="s">
        <v>9232</v>
      </c>
      <c r="C958" s="0" t="s">
        <v>2347</v>
      </c>
      <c r="D958" s="0" t="s">
        <v>329</v>
      </c>
      <c r="E958" s="0" t="s">
        <v>9233</v>
      </c>
      <c r="F958" s="0" t="s">
        <v>192</v>
      </c>
      <c r="H958" s="0" t="s">
        <v>102</v>
      </c>
      <c r="L958" s="0" t="str">
        <f aca="false">"1660"</f>
        <v>1660</v>
      </c>
      <c r="M958" s="0" t="s">
        <v>448</v>
      </c>
      <c r="O958" s="0" t="s">
        <v>9234</v>
      </c>
      <c r="T958" s="0" t="s">
        <v>6211</v>
      </c>
      <c r="AP958" s="0" t="s">
        <v>6208</v>
      </c>
      <c r="AQ958" s="0" t="s">
        <v>9235</v>
      </c>
      <c r="AS958" s="0" t="s">
        <v>9236</v>
      </c>
      <c r="AT958" s="0" t="s">
        <v>2601</v>
      </c>
      <c r="AU958" s="0" t="s">
        <v>872</v>
      </c>
      <c r="AY958" s="0" t="s">
        <v>9237</v>
      </c>
      <c r="AZ958" s="0" t="s">
        <v>9238</v>
      </c>
      <c r="BV958" s="0" t="s">
        <v>9239</v>
      </c>
    </row>
    <row r="959" customFormat="false" ht="22.5" hidden="false" customHeight="false" outlineLevel="0" collapsed="false">
      <c r="A959" s="0" t="s">
        <v>445</v>
      </c>
      <c r="B959" s="0" t="s">
        <v>9240</v>
      </c>
      <c r="C959" s="0" t="s">
        <v>397</v>
      </c>
      <c r="D959" s="0" t="s">
        <v>398</v>
      </c>
      <c r="E959" s="0" t="s">
        <v>9241</v>
      </c>
      <c r="L959" s="0" t="str">
        <f aca="false">"1660"</f>
        <v>1660</v>
      </c>
      <c r="M959" s="0" t="s">
        <v>448</v>
      </c>
      <c r="O959" s="0" t="s">
        <v>6219</v>
      </c>
      <c r="R959" s="1" t="s">
        <v>9242</v>
      </c>
      <c r="T959" s="0" t="s">
        <v>9243</v>
      </c>
      <c r="AG959" s="0" t="s">
        <v>2347</v>
      </c>
      <c r="AH959" s="0" t="s">
        <v>329</v>
      </c>
      <c r="AM959" s="0" t="s">
        <v>9244</v>
      </c>
      <c r="AP959" s="0" t="s">
        <v>6208</v>
      </c>
      <c r="AQ959" s="0" t="s">
        <v>9245</v>
      </c>
      <c r="AS959" s="0" t="s">
        <v>9246</v>
      </c>
      <c r="AT959" s="0" t="s">
        <v>2601</v>
      </c>
      <c r="AU959" s="0" t="s">
        <v>2457</v>
      </c>
      <c r="AY959" s="0" t="s">
        <v>9247</v>
      </c>
      <c r="BN959" s="0" t="s">
        <v>5334</v>
      </c>
      <c r="BX959" s="0" t="s">
        <v>9248</v>
      </c>
      <c r="CI959" s="0" t="s">
        <v>9248</v>
      </c>
    </row>
    <row r="960" customFormat="false" ht="22.5" hidden="false" customHeight="false" outlineLevel="0" collapsed="false">
      <c r="A960" s="0" t="s">
        <v>445</v>
      </c>
      <c r="B960" s="0" t="s">
        <v>9249</v>
      </c>
      <c r="C960" s="0" t="s">
        <v>397</v>
      </c>
      <c r="D960" s="0" t="s">
        <v>398</v>
      </c>
      <c r="E960" s="0" t="s">
        <v>9241</v>
      </c>
      <c r="L960" s="0" t="str">
        <f aca="false">"1660"</f>
        <v>1660</v>
      </c>
      <c r="M960" s="0" t="s">
        <v>448</v>
      </c>
      <c r="O960" s="1" t="s">
        <v>9250</v>
      </c>
      <c r="R960" s="1" t="s">
        <v>9242</v>
      </c>
      <c r="T960" s="0" t="s">
        <v>9243</v>
      </c>
      <c r="AG960" s="0" t="s">
        <v>2347</v>
      </c>
      <c r="AH960" s="0" t="s">
        <v>329</v>
      </c>
      <c r="AM960" s="0" t="s">
        <v>9251</v>
      </c>
      <c r="AP960" s="0" t="s">
        <v>6208</v>
      </c>
      <c r="AQ960" s="0" t="s">
        <v>9252</v>
      </c>
      <c r="AT960" s="0" t="s">
        <v>2601</v>
      </c>
      <c r="AU960" s="0" t="s">
        <v>2457</v>
      </c>
      <c r="BN960" s="0" t="s">
        <v>5334</v>
      </c>
      <c r="BX960" s="0" t="s">
        <v>9253</v>
      </c>
      <c r="CB960" s="0" t="str">
        <f aca="false">"01.05.1659"</f>
        <v>01.05.1659</v>
      </c>
      <c r="CI960" s="0" t="s">
        <v>9253</v>
      </c>
    </row>
    <row r="961" customFormat="false" ht="12.8" hidden="false" customHeight="false" outlineLevel="0" collapsed="false">
      <c r="A961" s="0" t="s">
        <v>445</v>
      </c>
      <c r="B961" s="0" t="s">
        <v>9254</v>
      </c>
      <c r="C961" s="0" t="s">
        <v>242</v>
      </c>
      <c r="D961" s="0" t="s">
        <v>243</v>
      </c>
      <c r="E961" s="0" t="s">
        <v>9255</v>
      </c>
      <c r="L961" s="0" t="str">
        <f aca="false">"1762"</f>
        <v>1762</v>
      </c>
      <c r="M961" s="0" t="s">
        <v>448</v>
      </c>
      <c r="O961" s="0" t="s">
        <v>8103</v>
      </c>
      <c r="T961" s="0" t="s">
        <v>398</v>
      </c>
      <c r="AA961" s="0" t="str">
        <f aca="false">"10579826"</f>
        <v>10579826</v>
      </c>
      <c r="AB961" s="0" t="s">
        <v>9256</v>
      </c>
      <c r="AG961" s="0" t="s">
        <v>1685</v>
      </c>
      <c r="AH961" s="0" t="s">
        <v>1686</v>
      </c>
      <c r="AI961" s="0" t="s">
        <v>9257</v>
      </c>
      <c r="AS961" s="0" t="s">
        <v>4251</v>
      </c>
      <c r="AT961" s="0" t="s">
        <v>906</v>
      </c>
      <c r="AU961" s="0" t="s">
        <v>5389</v>
      </c>
      <c r="AW961" s="0" t="s">
        <v>907</v>
      </c>
      <c r="BC961" s="0" t="str">
        <f aca="false">"227837886"</f>
        <v>227837886</v>
      </c>
      <c r="BU961" s="0" t="s">
        <v>9258</v>
      </c>
      <c r="CP961" s="0" t="s">
        <v>9259</v>
      </c>
    </row>
    <row r="962" customFormat="false" ht="12.8" hidden="false" customHeight="false" outlineLevel="0" collapsed="false">
      <c r="A962" s="0" t="s">
        <v>445</v>
      </c>
      <c r="B962" s="0" t="s">
        <v>9260</v>
      </c>
      <c r="C962" s="0" t="s">
        <v>242</v>
      </c>
      <c r="D962" s="0" t="s">
        <v>243</v>
      </c>
      <c r="E962" s="0" t="s">
        <v>9261</v>
      </c>
      <c r="L962" s="0" t="str">
        <f aca="false">"1742"</f>
        <v>1742</v>
      </c>
      <c r="M962" s="0" t="s">
        <v>870</v>
      </c>
      <c r="O962" s="0" t="s">
        <v>9262</v>
      </c>
      <c r="T962" s="0" t="s">
        <v>6308</v>
      </c>
      <c r="AA962" s="0" t="str">
        <f aca="false">"11673184"</f>
        <v>11673184</v>
      </c>
      <c r="AB962" s="0" t="s">
        <v>9263</v>
      </c>
      <c r="AS962" s="0" t="s">
        <v>1199</v>
      </c>
      <c r="AT962" s="0" t="s">
        <v>906</v>
      </c>
      <c r="AU962" s="0" t="s">
        <v>5389</v>
      </c>
      <c r="AW962" s="0" t="s">
        <v>907</v>
      </c>
      <c r="CH962" s="0" t="s">
        <v>342</v>
      </c>
      <c r="CJ962" s="0" t="s">
        <v>9264</v>
      </c>
      <c r="CO962" s="0" t="s">
        <v>9260</v>
      </c>
    </row>
    <row r="963" customFormat="false" ht="75.6" hidden="false" customHeight="false" outlineLevel="0" collapsed="false">
      <c r="A963" s="0" t="s">
        <v>445</v>
      </c>
      <c r="B963" s="0" t="s">
        <v>9265</v>
      </c>
      <c r="C963" s="0" t="s">
        <v>1685</v>
      </c>
      <c r="D963" s="0" t="s">
        <v>1686</v>
      </c>
      <c r="E963" s="0" t="s">
        <v>9266</v>
      </c>
      <c r="F963" s="0" t="s">
        <v>192</v>
      </c>
      <c r="H963" s="0" t="s">
        <v>102</v>
      </c>
      <c r="L963" s="0" t="str">
        <f aca="false">"1763"</f>
        <v>1763</v>
      </c>
      <c r="M963" s="0" t="s">
        <v>448</v>
      </c>
      <c r="O963" s="0" t="s">
        <v>9267</v>
      </c>
      <c r="R963" s="0" t="s">
        <v>9268</v>
      </c>
      <c r="T963" s="0" t="s">
        <v>8597</v>
      </c>
      <c r="AA963" s="0" t="str">
        <f aca="false">"10341633"</f>
        <v>10341633</v>
      </c>
      <c r="AB963" s="0" t="s">
        <v>9269</v>
      </c>
      <c r="AS963" s="0" t="s">
        <v>9270</v>
      </c>
      <c r="AT963" s="0" t="s">
        <v>3623</v>
      </c>
      <c r="AU963" s="0" t="s">
        <v>112</v>
      </c>
      <c r="AY963" s="0" t="s">
        <v>9271</v>
      </c>
      <c r="AZ963" s="0" t="s">
        <v>9272</v>
      </c>
      <c r="BC963" s="0" t="str">
        <f aca="false">"636175383"</f>
        <v>636175383</v>
      </c>
      <c r="BD963" s="0" t="s">
        <v>873</v>
      </c>
      <c r="BE963" s="0" t="s">
        <v>9273</v>
      </c>
      <c r="BJ963" s="0" t="s">
        <v>118</v>
      </c>
      <c r="BU963" s="1" t="s">
        <v>9274</v>
      </c>
      <c r="BX963" s="1" t="s">
        <v>9275</v>
      </c>
      <c r="CF963" s="1" t="s">
        <v>9276</v>
      </c>
      <c r="CG963" s="0" t="s">
        <v>123</v>
      </c>
      <c r="CH963" s="1" t="s">
        <v>8556</v>
      </c>
      <c r="CI963" s="1" t="s">
        <v>9275</v>
      </c>
      <c r="CJ963" s="1" t="s">
        <v>9277</v>
      </c>
      <c r="CL963" s="0" t="s">
        <v>9278</v>
      </c>
      <c r="CM963" s="0" t="s">
        <v>9278</v>
      </c>
      <c r="CO963" s="1" t="s">
        <v>9279</v>
      </c>
      <c r="CR963" s="0" t="s">
        <v>9280</v>
      </c>
    </row>
    <row r="964" customFormat="false" ht="22.5" hidden="false" customHeight="false" outlineLevel="0" collapsed="false">
      <c r="A964" s="0" t="s">
        <v>445</v>
      </c>
      <c r="B964" s="0" t="s">
        <v>9281</v>
      </c>
      <c r="C964" s="0" t="s">
        <v>1685</v>
      </c>
      <c r="D964" s="0" t="s">
        <v>1686</v>
      </c>
      <c r="E964" s="0" t="s">
        <v>9282</v>
      </c>
      <c r="L964" s="0" t="str">
        <f aca="false">"1763"</f>
        <v>1763</v>
      </c>
      <c r="M964" s="1" t="s">
        <v>898</v>
      </c>
      <c r="O964" s="1" t="s">
        <v>9283</v>
      </c>
      <c r="T964" s="0" t="s">
        <v>9284</v>
      </c>
      <c r="AA964" s="0" t="str">
        <f aca="false">"11119772"</f>
        <v>11119772</v>
      </c>
      <c r="AB964" s="0" t="s">
        <v>9285</v>
      </c>
      <c r="AS964" s="0" t="s">
        <v>1199</v>
      </c>
      <c r="AT964" s="0" t="s">
        <v>906</v>
      </c>
      <c r="AU964" s="0" t="s">
        <v>112</v>
      </c>
      <c r="BC964" s="0" t="s">
        <v>9286</v>
      </c>
      <c r="BX964" s="0" t="s">
        <v>9287</v>
      </c>
      <c r="CF964" s="0" t="s">
        <v>9288</v>
      </c>
      <c r="CG964" s="0" t="s">
        <v>123</v>
      </c>
      <c r="CH964" s="0" t="s">
        <v>1265</v>
      </c>
      <c r="CI964" s="0" t="s">
        <v>9287</v>
      </c>
      <c r="CJ964" s="0" t="s">
        <v>9289</v>
      </c>
      <c r="CL964" s="0" t="s">
        <v>9290</v>
      </c>
      <c r="CM964" s="0" t="s">
        <v>9290</v>
      </c>
      <c r="CO964" s="0" t="s">
        <v>9291</v>
      </c>
      <c r="CR964" s="0" t="s">
        <v>9292</v>
      </c>
    </row>
    <row r="965" customFormat="false" ht="12.8" hidden="false" customHeight="false" outlineLevel="0" collapsed="false">
      <c r="A965" s="0" t="s">
        <v>445</v>
      </c>
      <c r="B965" s="0" t="s">
        <v>9293</v>
      </c>
      <c r="C965" s="0" t="s">
        <v>1685</v>
      </c>
      <c r="D965" s="0" t="s">
        <v>1686</v>
      </c>
      <c r="E965" s="0" t="s">
        <v>9294</v>
      </c>
      <c r="L965" s="0" t="str">
        <f aca="false">"1763"</f>
        <v>1763</v>
      </c>
      <c r="M965" s="0" t="s">
        <v>448</v>
      </c>
      <c r="O965" s="0" t="s">
        <v>8290</v>
      </c>
      <c r="R965" s="0" t="s">
        <v>7970</v>
      </c>
      <c r="T965" s="0" t="s">
        <v>7971</v>
      </c>
      <c r="AA965" s="0" t="str">
        <f aca="false">"11203137"</f>
        <v>11203137</v>
      </c>
      <c r="AB965" s="0" t="s">
        <v>9295</v>
      </c>
      <c r="AS965" s="0" t="s">
        <v>4150</v>
      </c>
      <c r="AT965" s="0" t="s">
        <v>906</v>
      </c>
      <c r="AU965" s="0" t="s">
        <v>5389</v>
      </c>
      <c r="AY965" s="0" t="s">
        <v>9296</v>
      </c>
      <c r="AZ965" s="0" t="s">
        <v>9297</v>
      </c>
      <c r="BC965" s="0" t="str">
        <f aca="false">"733872883"</f>
        <v>733872883</v>
      </c>
      <c r="CJ965" s="0" t="s">
        <v>9298</v>
      </c>
      <c r="CO965" s="0" t="s">
        <v>9293</v>
      </c>
    </row>
    <row r="966" customFormat="false" ht="245.6" hidden="false" customHeight="false" outlineLevel="0" collapsed="false">
      <c r="A966" s="0" t="s">
        <v>445</v>
      </c>
      <c r="B966" s="0" t="s">
        <v>9299</v>
      </c>
      <c r="C966" s="0" t="s">
        <v>397</v>
      </c>
      <c r="D966" s="0" t="s">
        <v>398</v>
      </c>
      <c r="E966" s="0" t="s">
        <v>9300</v>
      </c>
      <c r="L966" s="0" t="str">
        <f aca="false">"1675"</f>
        <v>1675</v>
      </c>
      <c r="Z966" s="0" t="s">
        <v>9301</v>
      </c>
      <c r="AB966" s="0" t="s">
        <v>9302</v>
      </c>
      <c r="AS966" s="0" t="s">
        <v>1885</v>
      </c>
      <c r="AT966" s="0" t="s">
        <v>906</v>
      </c>
      <c r="AU966" s="0" t="s">
        <v>112</v>
      </c>
      <c r="AY966" s="0" t="s">
        <v>9303</v>
      </c>
      <c r="BC966" s="0" t="str">
        <f aca="false">"852259077"</f>
        <v>852259077</v>
      </c>
      <c r="BV966" s="1" t="s">
        <v>9304</v>
      </c>
      <c r="BX966" s="0" t="s">
        <v>9305</v>
      </c>
      <c r="CF966" s="1" t="s">
        <v>9306</v>
      </c>
      <c r="CG966" s="0" t="s">
        <v>123</v>
      </c>
      <c r="CH966" s="0" t="s">
        <v>1265</v>
      </c>
      <c r="CI966" s="0" t="s">
        <v>9305</v>
      </c>
      <c r="CJ966" s="0" t="s">
        <v>9307</v>
      </c>
      <c r="CL966" s="0" t="s">
        <v>9308</v>
      </c>
      <c r="CM966" s="0" t="s">
        <v>9308</v>
      </c>
      <c r="CO966" s="0" t="s">
        <v>9299</v>
      </c>
      <c r="CR966" s="0" t="s">
        <v>9309</v>
      </c>
    </row>
    <row r="967" customFormat="false" ht="22.5" hidden="false" customHeight="false" outlineLevel="0" collapsed="false">
      <c r="B967" s="0" t="s">
        <v>9310</v>
      </c>
      <c r="C967" s="0" t="s">
        <v>224</v>
      </c>
      <c r="D967" s="0" t="s">
        <v>225</v>
      </c>
      <c r="E967" s="0" t="s">
        <v>6456</v>
      </c>
      <c r="M967" s="0" t="s">
        <v>448</v>
      </c>
      <c r="O967" s="0" t="s">
        <v>6457</v>
      </c>
      <c r="R967" s="1" t="s">
        <v>9311</v>
      </c>
      <c r="T967" s="0" t="s">
        <v>1050</v>
      </c>
      <c r="Z967" s="0" t="s">
        <v>6459</v>
      </c>
      <c r="AG967" s="0" t="s">
        <v>242</v>
      </c>
      <c r="AH967" s="0" t="s">
        <v>243</v>
      </c>
      <c r="AI967" s="0" t="s">
        <v>9312</v>
      </c>
      <c r="AJ967" s="0" t="s">
        <v>9313</v>
      </c>
      <c r="AM967" s="0" t="s">
        <v>9314</v>
      </c>
      <c r="AP967" s="0" t="s">
        <v>6455</v>
      </c>
      <c r="AQ967" s="0" t="s">
        <v>9315</v>
      </c>
      <c r="AT967" s="0" t="s">
        <v>2601</v>
      </c>
      <c r="AU967" s="0" t="s">
        <v>2457</v>
      </c>
      <c r="AY967" s="0" t="s">
        <v>9316</v>
      </c>
      <c r="AZ967" s="0" t="s">
        <v>9317</v>
      </c>
      <c r="BX967" s="0" t="s">
        <v>9318</v>
      </c>
      <c r="CI967" s="0" t="s">
        <v>9318</v>
      </c>
    </row>
    <row r="968" customFormat="false" ht="12.8" hidden="false" customHeight="false" outlineLevel="0" collapsed="false">
      <c r="A968" s="0" t="s">
        <v>445</v>
      </c>
      <c r="B968" s="0" t="s">
        <v>9319</v>
      </c>
      <c r="C968" s="0" t="s">
        <v>1213</v>
      </c>
      <c r="D968" s="0" t="s">
        <v>1214</v>
      </c>
      <c r="E968" s="0" t="s">
        <v>9320</v>
      </c>
      <c r="L968" s="0" t="str">
        <f aca="false">"1763"</f>
        <v>1763</v>
      </c>
      <c r="M968" s="0" t="s">
        <v>448</v>
      </c>
      <c r="O968" s="0" t="s">
        <v>9321</v>
      </c>
      <c r="R968" s="0" t="s">
        <v>9322</v>
      </c>
      <c r="T968" s="0" t="s">
        <v>7707</v>
      </c>
      <c r="AG968" s="0" t="s">
        <v>7708</v>
      </c>
      <c r="AH968" s="0" t="s">
        <v>7709</v>
      </c>
      <c r="AI968" s="0" t="s">
        <v>9323</v>
      </c>
      <c r="AS968" s="0" t="s">
        <v>4363</v>
      </c>
      <c r="AT968" s="0" t="s">
        <v>2601</v>
      </c>
      <c r="AU968" s="0" t="s">
        <v>2457</v>
      </c>
      <c r="AY968" s="0" t="s">
        <v>9324</v>
      </c>
      <c r="BN968" s="0" t="s">
        <v>9325</v>
      </c>
    </row>
    <row r="969" customFormat="false" ht="12.8" hidden="false" customHeight="false" outlineLevel="0" collapsed="false">
      <c r="A969" s="0" t="s">
        <v>445</v>
      </c>
      <c r="B969" s="0" t="s">
        <v>9326</v>
      </c>
      <c r="C969" s="0" t="s">
        <v>5286</v>
      </c>
      <c r="D969" s="0" t="s">
        <v>360</v>
      </c>
      <c r="E969" s="0" t="s">
        <v>9327</v>
      </c>
      <c r="L969" s="0" t="str">
        <f aca="false">"1649"</f>
        <v>1649</v>
      </c>
      <c r="M969" s="0" t="s">
        <v>448</v>
      </c>
      <c r="O969" s="0" t="s">
        <v>9328</v>
      </c>
      <c r="R969" s="0" t="s">
        <v>9329</v>
      </c>
      <c r="T969" s="0" t="s">
        <v>9330</v>
      </c>
      <c r="AT969" s="0" t="s">
        <v>2601</v>
      </c>
      <c r="AU969" s="0" t="s">
        <v>2457</v>
      </c>
      <c r="AY969" s="0" t="s">
        <v>9331</v>
      </c>
      <c r="AZ969" s="0" t="s">
        <v>9332</v>
      </c>
    </row>
    <row r="970" customFormat="false" ht="12.8" hidden="false" customHeight="false" outlineLevel="0" collapsed="false">
      <c r="A970" s="0" t="s">
        <v>445</v>
      </c>
      <c r="B970" s="0" t="s">
        <v>9333</v>
      </c>
      <c r="C970" s="0" t="s">
        <v>3941</v>
      </c>
      <c r="D970" s="0" t="s">
        <v>3070</v>
      </c>
      <c r="E970" s="0" t="s">
        <v>9334</v>
      </c>
      <c r="L970" s="0" t="str">
        <f aca="false">"1746"</f>
        <v>1746</v>
      </c>
      <c r="M970" s="0" t="s">
        <v>448</v>
      </c>
      <c r="O970" s="0" t="s">
        <v>9335</v>
      </c>
      <c r="R970" s="0" t="s">
        <v>9336</v>
      </c>
      <c r="T970" s="0" t="s">
        <v>9337</v>
      </c>
      <c r="AA970" s="0" t="str">
        <f aca="false">"13123920"</f>
        <v>13123920</v>
      </c>
      <c r="AB970" s="0" t="s">
        <v>9338</v>
      </c>
      <c r="AT970" s="0" t="s">
        <v>2601</v>
      </c>
      <c r="AU970" s="0" t="s">
        <v>2457</v>
      </c>
      <c r="AY970" s="0" t="s">
        <v>9339</v>
      </c>
      <c r="AZ970" s="0" t="s">
        <v>9340</v>
      </c>
      <c r="BN970" s="0" t="s">
        <v>9341</v>
      </c>
    </row>
    <row r="971" customFormat="false" ht="22.5" hidden="false" customHeight="false" outlineLevel="0" collapsed="false">
      <c r="A971" s="0" t="s">
        <v>445</v>
      </c>
      <c r="B971" s="0" t="s">
        <v>9342</v>
      </c>
      <c r="C971" s="0" t="s">
        <v>224</v>
      </c>
      <c r="D971" s="0" t="s">
        <v>225</v>
      </c>
      <c r="E971" s="0" t="s">
        <v>9343</v>
      </c>
      <c r="L971" s="0" t="str">
        <f aca="false">"1759"</f>
        <v>1759</v>
      </c>
      <c r="M971" s="0" t="s">
        <v>448</v>
      </c>
      <c r="O971" s="0" t="s">
        <v>9344</v>
      </c>
      <c r="R971" s="1" t="s">
        <v>9345</v>
      </c>
      <c r="T971" s="0" t="s">
        <v>896</v>
      </c>
      <c r="AB971" s="0" t="s">
        <v>9346</v>
      </c>
      <c r="AS971" s="0" t="s">
        <v>9347</v>
      </c>
      <c r="AT971" s="0" t="s">
        <v>2601</v>
      </c>
      <c r="AU971" s="0" t="s">
        <v>2457</v>
      </c>
      <c r="AY971" s="0" t="s">
        <v>9348</v>
      </c>
      <c r="AZ971" s="0" t="s">
        <v>9349</v>
      </c>
      <c r="BC971" s="0" t="str">
        <f aca="false">"219559023"</f>
        <v>219559023</v>
      </c>
      <c r="BX971" s="0" t="s">
        <v>9350</v>
      </c>
      <c r="CI971" s="0" t="s">
        <v>9350</v>
      </c>
    </row>
    <row r="972" customFormat="false" ht="12.8" hidden="false" customHeight="false" outlineLevel="0" collapsed="false">
      <c r="A972" s="0" t="s">
        <v>445</v>
      </c>
      <c r="B972" s="0" t="s">
        <v>5941</v>
      </c>
      <c r="C972" s="0" t="s">
        <v>224</v>
      </c>
      <c r="D972" s="0" t="s">
        <v>225</v>
      </c>
      <c r="E972" s="0" t="s">
        <v>9351</v>
      </c>
      <c r="L972" s="0" t="str">
        <f aca="false">"1759"</f>
        <v>1759</v>
      </c>
      <c r="M972" s="0" t="s">
        <v>448</v>
      </c>
      <c r="O972" s="0" t="s">
        <v>9352</v>
      </c>
      <c r="R972" s="0" t="s">
        <v>9353</v>
      </c>
      <c r="T972" s="0" t="s">
        <v>896</v>
      </c>
      <c r="AA972" s="0" t="s">
        <v>9354</v>
      </c>
      <c r="AB972" s="0" t="s">
        <v>9355</v>
      </c>
      <c r="AS972" s="0" t="s">
        <v>9356</v>
      </c>
      <c r="AT972" s="0" t="s">
        <v>2601</v>
      </c>
      <c r="AU972" s="0" t="s">
        <v>2457</v>
      </c>
      <c r="AY972" s="0" t="s">
        <v>9357</v>
      </c>
      <c r="BC972" s="0" t="str">
        <f aca="false">"149947437"</f>
        <v>149947437</v>
      </c>
      <c r="BX972" s="0" t="s">
        <v>9358</v>
      </c>
      <c r="CI972" s="0" t="s">
        <v>9358</v>
      </c>
    </row>
    <row r="973" customFormat="false" ht="22.5" hidden="false" customHeight="false" outlineLevel="0" collapsed="false">
      <c r="A973" s="0" t="s">
        <v>445</v>
      </c>
      <c r="B973" s="0" t="s">
        <v>9359</v>
      </c>
      <c r="C973" s="0" t="s">
        <v>1685</v>
      </c>
      <c r="D973" s="0" t="s">
        <v>1686</v>
      </c>
      <c r="E973" s="0" t="s">
        <v>9360</v>
      </c>
      <c r="F973" s="0" t="s">
        <v>192</v>
      </c>
      <c r="H973" s="0" t="s">
        <v>102</v>
      </c>
      <c r="L973" s="0" t="str">
        <f aca="false">"1632"</f>
        <v>1632</v>
      </c>
      <c r="M973" s="0" t="s">
        <v>448</v>
      </c>
      <c r="O973" s="1" t="s">
        <v>9361</v>
      </c>
      <c r="R973" s="0" t="s">
        <v>9362</v>
      </c>
      <c r="T973" s="0" t="s">
        <v>247</v>
      </c>
      <c r="Z973" s="0" t="s">
        <v>9363</v>
      </c>
      <c r="AS973" s="0" t="s">
        <v>9364</v>
      </c>
      <c r="AT973" s="0" t="s">
        <v>2601</v>
      </c>
      <c r="AU973" s="0" t="s">
        <v>872</v>
      </c>
      <c r="AY973" s="0" t="s">
        <v>9365</v>
      </c>
      <c r="BC973" s="0" t="str">
        <f aca="false">"536125252"</f>
        <v>536125252</v>
      </c>
      <c r="BD973" s="0" t="s">
        <v>873</v>
      </c>
      <c r="BE973" s="0" t="s">
        <v>9366</v>
      </c>
      <c r="BJ973" s="0" t="s">
        <v>118</v>
      </c>
      <c r="BV973" s="0" t="s">
        <v>9367</v>
      </c>
      <c r="BX973" s="0" t="s">
        <v>9368</v>
      </c>
      <c r="CI973" s="0" t="s">
        <v>9368</v>
      </c>
      <c r="CJ973" s="0" t="s">
        <v>9369</v>
      </c>
      <c r="CO973" s="0" t="s">
        <v>9359</v>
      </c>
      <c r="CR973" s="0" t="s">
        <v>9370</v>
      </c>
    </row>
    <row r="974" customFormat="false" ht="12.8" hidden="false" customHeight="false" outlineLevel="0" collapsed="false">
      <c r="A974" s="0" t="s">
        <v>445</v>
      </c>
      <c r="B974" s="0" t="s">
        <v>9371</v>
      </c>
      <c r="C974" s="0" t="s">
        <v>242</v>
      </c>
      <c r="D974" s="0" t="s">
        <v>243</v>
      </c>
      <c r="E974" s="0" t="s">
        <v>5524</v>
      </c>
      <c r="L974" s="0" t="str">
        <f aca="false">"1755"</f>
        <v>1755</v>
      </c>
      <c r="M974" s="0" t="s">
        <v>448</v>
      </c>
      <c r="O974" s="0" t="s">
        <v>9372</v>
      </c>
      <c r="T974" s="0" t="s">
        <v>4104</v>
      </c>
      <c r="AA974" s="0" t="str">
        <f aca="false">"10582118"</f>
        <v>10582118</v>
      </c>
      <c r="AP974" s="0" t="s">
        <v>5523</v>
      </c>
      <c r="AQ974" s="0" t="s">
        <v>9373</v>
      </c>
      <c r="AT974" s="0" t="s">
        <v>2601</v>
      </c>
      <c r="AU974" s="0" t="s">
        <v>2457</v>
      </c>
      <c r="AY974" s="0" t="s">
        <v>9374</v>
      </c>
      <c r="BX974" s="0" t="s">
        <v>9375</v>
      </c>
      <c r="CB974" s="0" t="str">
        <f aca="false">"25.09.1755"</f>
        <v>25.09.1755</v>
      </c>
      <c r="CI974" s="0" t="s">
        <v>9375</v>
      </c>
    </row>
    <row r="975" customFormat="false" ht="22.5" hidden="false" customHeight="false" outlineLevel="0" collapsed="false">
      <c r="A975" s="0" t="s">
        <v>445</v>
      </c>
      <c r="B975" s="0" t="s">
        <v>9376</v>
      </c>
      <c r="C975" s="0" t="s">
        <v>1685</v>
      </c>
      <c r="D975" s="0" t="s">
        <v>1686</v>
      </c>
      <c r="E975" s="0" t="s">
        <v>7898</v>
      </c>
      <c r="L975" s="0" t="str">
        <f aca="false">"1755"</f>
        <v>1755</v>
      </c>
      <c r="M975" s="0" t="s">
        <v>448</v>
      </c>
      <c r="O975" s="0" t="s">
        <v>6101</v>
      </c>
      <c r="R975" s="1" t="s">
        <v>9377</v>
      </c>
      <c r="T975" s="0" t="s">
        <v>1113</v>
      </c>
      <c r="AA975" s="0" t="str">
        <f aca="false">"11113871"</f>
        <v>11113871</v>
      </c>
      <c r="AB975" s="0" t="s">
        <v>9378</v>
      </c>
      <c r="AP975" s="0" t="s">
        <v>7897</v>
      </c>
      <c r="AQ975" s="0" t="s">
        <v>9379</v>
      </c>
      <c r="AT975" s="0" t="s">
        <v>2601</v>
      </c>
      <c r="AU975" s="0" t="s">
        <v>2457</v>
      </c>
      <c r="AY975" s="0" t="s">
        <v>9380</v>
      </c>
      <c r="AZ975" s="0" t="s">
        <v>9381</v>
      </c>
      <c r="BX975" s="0" t="s">
        <v>9382</v>
      </c>
      <c r="CI975" s="0" t="s">
        <v>9382</v>
      </c>
    </row>
    <row r="976" customFormat="false" ht="33.1" hidden="false" customHeight="false" outlineLevel="0" collapsed="false">
      <c r="A976" s="0" t="s">
        <v>527</v>
      </c>
      <c r="B976" s="0" t="s">
        <v>9383</v>
      </c>
      <c r="C976" s="0" t="s">
        <v>7284</v>
      </c>
      <c r="D976" s="0" t="s">
        <v>7285</v>
      </c>
      <c r="E976" s="0" t="s">
        <v>9384</v>
      </c>
      <c r="F976" s="0" t="s">
        <v>664</v>
      </c>
      <c r="G976" s="0" t="s">
        <v>256</v>
      </c>
      <c r="L976" s="0" t="str">
        <f aca="false">"1648"</f>
        <v>1648</v>
      </c>
      <c r="M976" s="0" t="s">
        <v>553</v>
      </c>
      <c r="O976" s="0" t="s">
        <v>9385</v>
      </c>
      <c r="U976" s="1" t="s">
        <v>9386</v>
      </c>
      <c r="V976" s="1" t="s">
        <v>9387</v>
      </c>
      <c r="AD976" s="1" t="s">
        <v>557</v>
      </c>
      <c r="AE976" s="1" t="s">
        <v>9388</v>
      </c>
      <c r="AF976" s="1" t="s">
        <v>653</v>
      </c>
      <c r="AT976" s="0" t="s">
        <v>1352</v>
      </c>
      <c r="AU976" s="0" t="s">
        <v>112</v>
      </c>
      <c r="BJ976" s="1" t="s">
        <v>229</v>
      </c>
      <c r="BK976" s="1" t="s">
        <v>267</v>
      </c>
      <c r="BL976" s="1" t="s">
        <v>9389</v>
      </c>
      <c r="BM976" s="0" t="s">
        <v>541</v>
      </c>
      <c r="BU976" s="0" t="s">
        <v>9390</v>
      </c>
      <c r="BX976" s="1" t="s">
        <v>9391</v>
      </c>
      <c r="CH976" s="0" t="s">
        <v>342</v>
      </c>
      <c r="CI976" s="1" t="s">
        <v>9391</v>
      </c>
      <c r="CJ976" s="1" t="s">
        <v>9392</v>
      </c>
      <c r="CO976" s="1" t="s">
        <v>9393</v>
      </c>
      <c r="CR976" s="0" t="s">
        <v>9394</v>
      </c>
    </row>
    <row r="977" customFormat="false" ht="22.5" hidden="false" customHeight="false" outlineLevel="0" collapsed="false">
      <c r="A977" s="0" t="s">
        <v>445</v>
      </c>
      <c r="B977" s="0" t="s">
        <v>8523</v>
      </c>
      <c r="D977" s="0" t="s">
        <v>6222</v>
      </c>
      <c r="E977" s="0" t="s">
        <v>9395</v>
      </c>
      <c r="L977" s="0" t="str">
        <f aca="false">"1763"</f>
        <v>1763</v>
      </c>
      <c r="R977" s="0" t="s">
        <v>9396</v>
      </c>
      <c r="T977" s="1" t="s">
        <v>9397</v>
      </c>
      <c r="AB977" s="0" t="s">
        <v>9398</v>
      </c>
      <c r="AS977" s="0" t="s">
        <v>4543</v>
      </c>
      <c r="AT977" s="0" t="s">
        <v>2601</v>
      </c>
      <c r="AU977" s="0" t="s">
        <v>2457</v>
      </c>
      <c r="AZ977" s="0" t="s">
        <v>9399</v>
      </c>
      <c r="BX977" s="0" t="s">
        <v>9400</v>
      </c>
      <c r="CB977" s="0" t="str">
        <f aca="false">"12.12.1762"</f>
        <v>12.12.1762</v>
      </c>
      <c r="CI977" s="0" t="s">
        <v>9400</v>
      </c>
    </row>
    <row r="978" customFormat="false" ht="22.5" hidden="false" customHeight="false" outlineLevel="0" collapsed="false">
      <c r="A978" s="0" t="s">
        <v>445</v>
      </c>
      <c r="B978" s="0" t="s">
        <v>9401</v>
      </c>
      <c r="C978" s="0" t="s">
        <v>242</v>
      </c>
      <c r="D978" s="0" t="s">
        <v>243</v>
      </c>
      <c r="E978" s="0" t="s">
        <v>9402</v>
      </c>
      <c r="F978" s="0" t="s">
        <v>192</v>
      </c>
      <c r="H978" s="0" t="s">
        <v>102</v>
      </c>
      <c r="L978" s="0" t="str">
        <f aca="false">"1749"</f>
        <v>1749</v>
      </c>
      <c r="M978" s="0" t="s">
        <v>448</v>
      </c>
      <c r="O978" s="1" t="s">
        <v>9083</v>
      </c>
      <c r="T978" s="0" t="s">
        <v>4104</v>
      </c>
      <c r="AA978" s="2" t="s">
        <v>9084</v>
      </c>
      <c r="AB978" s="0" t="s">
        <v>9403</v>
      </c>
      <c r="AP978" s="0" t="s">
        <v>9081</v>
      </c>
      <c r="AQ978" s="0" t="s">
        <v>9404</v>
      </c>
      <c r="AT978" s="0" t="s">
        <v>2601</v>
      </c>
      <c r="AU978" s="0" t="s">
        <v>872</v>
      </c>
      <c r="AY978" s="0" t="s">
        <v>9405</v>
      </c>
      <c r="BC978" s="0" t="str">
        <f aca="false">"064209458"</f>
        <v>064209458</v>
      </c>
      <c r="BV978" s="0" t="s">
        <v>9406</v>
      </c>
      <c r="BX978" s="0" t="s">
        <v>9407</v>
      </c>
      <c r="CI978" s="0" t="s">
        <v>9407</v>
      </c>
      <c r="CJ978" s="0" t="s">
        <v>9408</v>
      </c>
      <c r="CO978" s="0" t="s">
        <v>9401</v>
      </c>
    </row>
    <row r="979" customFormat="false" ht="12.8" hidden="false" customHeight="false" outlineLevel="0" collapsed="false">
      <c r="A979" s="0" t="s">
        <v>445</v>
      </c>
      <c r="B979" s="0" t="s">
        <v>9409</v>
      </c>
      <c r="C979" s="0" t="s">
        <v>1213</v>
      </c>
      <c r="D979" s="0" t="s">
        <v>1214</v>
      </c>
      <c r="E979" s="0" t="s">
        <v>9410</v>
      </c>
      <c r="L979" s="0" t="str">
        <f aca="false">"1763"</f>
        <v>1763</v>
      </c>
      <c r="M979" s="0" t="s">
        <v>448</v>
      </c>
      <c r="T979" s="0" t="s">
        <v>4466</v>
      </c>
      <c r="AB979" s="0" t="s">
        <v>9411</v>
      </c>
      <c r="AT979" s="0" t="s">
        <v>906</v>
      </c>
      <c r="AU979" s="0" t="s">
        <v>5389</v>
      </c>
      <c r="BU979" s="0" t="s">
        <v>9412</v>
      </c>
    </row>
    <row r="980" customFormat="false" ht="22.5" hidden="false" customHeight="false" outlineLevel="0" collapsed="false">
      <c r="A980" s="0" t="s">
        <v>445</v>
      </c>
      <c r="B980" s="0" t="s">
        <v>9413</v>
      </c>
      <c r="C980" s="0" t="s">
        <v>224</v>
      </c>
      <c r="D980" s="0" t="s">
        <v>225</v>
      </c>
      <c r="E980" s="0" t="s">
        <v>9414</v>
      </c>
      <c r="L980" s="0" t="str">
        <f aca="false">"1756"</f>
        <v>1756</v>
      </c>
      <c r="M980" s="1" t="s">
        <v>9415</v>
      </c>
      <c r="O980" s="1" t="s">
        <v>9416</v>
      </c>
      <c r="T980" s="0" t="s">
        <v>2718</v>
      </c>
      <c r="AB980" s="0" t="s">
        <v>9417</v>
      </c>
      <c r="AO980" s="0" t="s">
        <v>5879</v>
      </c>
      <c r="AT980" s="0" t="s">
        <v>906</v>
      </c>
      <c r="AU980" s="0" t="s">
        <v>112</v>
      </c>
      <c r="AV980" s="0" t="s">
        <v>113</v>
      </c>
      <c r="BC980" s="0" t="str">
        <f aca="false">"630992525"</f>
        <v>630992525</v>
      </c>
      <c r="BV980" s="1" t="s">
        <v>9418</v>
      </c>
      <c r="BX980" s="1" t="s">
        <v>9419</v>
      </c>
      <c r="CF980" s="0" t="s">
        <v>9420</v>
      </c>
      <c r="CG980" s="0" t="s">
        <v>123</v>
      </c>
      <c r="CH980" s="0" t="s">
        <v>625</v>
      </c>
      <c r="CI980" s="1" t="s">
        <v>9419</v>
      </c>
      <c r="CJ980" s="0" t="s">
        <v>9421</v>
      </c>
      <c r="CL980" s="0" t="s">
        <v>9422</v>
      </c>
      <c r="CM980" s="0" t="s">
        <v>9422</v>
      </c>
      <c r="CO980" s="0" t="s">
        <v>9413</v>
      </c>
      <c r="CR980" s="0" t="s">
        <v>9423</v>
      </c>
    </row>
    <row r="981" customFormat="false" ht="22.5" hidden="false" customHeight="false" outlineLevel="0" collapsed="false">
      <c r="A981" s="0" t="s">
        <v>445</v>
      </c>
      <c r="B981" s="0" t="s">
        <v>9424</v>
      </c>
      <c r="C981" s="0" t="s">
        <v>1429</v>
      </c>
      <c r="D981" s="0" t="s">
        <v>99</v>
      </c>
      <c r="E981" s="0" t="s">
        <v>9425</v>
      </c>
      <c r="L981" s="0" t="str">
        <f aca="false">"1679"</f>
        <v>1679</v>
      </c>
      <c r="M981" s="1" t="s">
        <v>898</v>
      </c>
      <c r="O981" s="1" t="s">
        <v>9426</v>
      </c>
      <c r="T981" s="0" t="s">
        <v>99</v>
      </c>
      <c r="Z981" s="0" t="s">
        <v>9427</v>
      </c>
      <c r="AS981" s="0" t="s">
        <v>8366</v>
      </c>
      <c r="AT981" s="0" t="s">
        <v>1200</v>
      </c>
      <c r="AU981" s="0" t="s">
        <v>5389</v>
      </c>
      <c r="AV981" s="0" t="s">
        <v>113</v>
      </c>
      <c r="AY981" s="0" t="s">
        <v>9428</v>
      </c>
      <c r="BU981" s="0" t="s">
        <v>9429</v>
      </c>
      <c r="CJ981" s="0" t="s">
        <v>9430</v>
      </c>
      <c r="CO981" s="0" t="s">
        <v>9424</v>
      </c>
    </row>
    <row r="982" customFormat="false" ht="65" hidden="false" customHeight="false" outlineLevel="0" collapsed="false">
      <c r="A982" s="0" t="s">
        <v>527</v>
      </c>
      <c r="B982" s="0" t="s">
        <v>2996</v>
      </c>
      <c r="C982" s="0" t="s">
        <v>9431</v>
      </c>
      <c r="D982" s="0" t="s">
        <v>243</v>
      </c>
      <c r="E982" s="0" t="s">
        <v>9432</v>
      </c>
      <c r="F982" s="0" t="s">
        <v>255</v>
      </c>
      <c r="G982" s="0" t="s">
        <v>256</v>
      </c>
      <c r="L982" s="0" t="str">
        <f aca="false">"1779"</f>
        <v>1779</v>
      </c>
      <c r="M982" s="0" t="s">
        <v>553</v>
      </c>
      <c r="O982" s="0" t="s">
        <v>2329</v>
      </c>
      <c r="U982" s="1" t="s">
        <v>9433</v>
      </c>
      <c r="V982" s="1" t="s">
        <v>9434</v>
      </c>
      <c r="AD982" s="1" t="s">
        <v>557</v>
      </c>
      <c r="AE982" s="1" t="s">
        <v>9435</v>
      </c>
      <c r="AF982" s="1" t="s">
        <v>263</v>
      </c>
      <c r="AT982" s="0" t="s">
        <v>1352</v>
      </c>
      <c r="AU982" s="0" t="s">
        <v>112</v>
      </c>
      <c r="BD982" s="0" t="s">
        <v>265</v>
      </c>
      <c r="BE982" s="0" t="s">
        <v>9436</v>
      </c>
      <c r="BF982" s="0" t="s">
        <v>541</v>
      </c>
      <c r="BJ982" s="1" t="s">
        <v>229</v>
      </c>
      <c r="BK982" s="1" t="s">
        <v>267</v>
      </c>
      <c r="BL982" s="1" t="s">
        <v>9437</v>
      </c>
      <c r="BM982" s="0" t="s">
        <v>560</v>
      </c>
      <c r="BU982" s="1" t="s">
        <v>9438</v>
      </c>
      <c r="BX982" s="1" t="s">
        <v>9439</v>
      </c>
      <c r="CF982" s="0" t="s">
        <v>9440</v>
      </c>
      <c r="CG982" s="0" t="s">
        <v>123</v>
      </c>
      <c r="CH982" s="0" t="s">
        <v>124</v>
      </c>
      <c r="CI982" s="1" t="s">
        <v>9439</v>
      </c>
      <c r="CJ982" s="1" t="s">
        <v>9441</v>
      </c>
      <c r="CL982" s="1" t="s">
        <v>9442</v>
      </c>
      <c r="CM982" s="1" t="s">
        <v>9442</v>
      </c>
      <c r="CO982" s="1" t="s">
        <v>3011</v>
      </c>
      <c r="CR982" s="0" t="s">
        <v>9443</v>
      </c>
    </row>
    <row r="983" customFormat="false" ht="22.5" hidden="false" customHeight="false" outlineLevel="0" collapsed="false">
      <c r="A983" s="0" t="s">
        <v>96</v>
      </c>
      <c r="B983" s="0" t="s">
        <v>9444</v>
      </c>
      <c r="C983" s="0" t="s">
        <v>98</v>
      </c>
      <c r="D983" s="0" t="s">
        <v>99</v>
      </c>
      <c r="E983" s="0" t="s">
        <v>9445</v>
      </c>
      <c r="F983" s="1" t="s">
        <v>149</v>
      </c>
      <c r="H983" s="0" t="s">
        <v>102</v>
      </c>
      <c r="I983" s="0" t="str">
        <f aca="false">"1797"</f>
        <v>1797</v>
      </c>
      <c r="J983" s="0" t="str">
        <f aca="false">"1798"</f>
        <v>1798</v>
      </c>
      <c r="K983" s="0" t="s">
        <v>9446</v>
      </c>
      <c r="L983" s="0" t="str">
        <f aca="false">"1797"</f>
        <v>1797</v>
      </c>
      <c r="M983" s="0" t="s">
        <v>715</v>
      </c>
      <c r="O983" s="0" t="s">
        <v>9447</v>
      </c>
      <c r="R983" s="0" t="s">
        <v>9448</v>
      </c>
      <c r="T983" s="0" t="s">
        <v>247</v>
      </c>
      <c r="U983" s="0" t="s">
        <v>9449</v>
      </c>
      <c r="V983" s="0" t="s">
        <v>9450</v>
      </c>
      <c r="AD983" s="1" t="s">
        <v>2185</v>
      </c>
      <c r="AE983" s="1" t="s">
        <v>9451</v>
      </c>
      <c r="AF983" s="0" t="s">
        <v>109</v>
      </c>
      <c r="AT983" s="0" t="s">
        <v>1352</v>
      </c>
      <c r="AU983" s="0" t="s">
        <v>112</v>
      </c>
      <c r="BD983" s="0" t="s">
        <v>873</v>
      </c>
      <c r="BE983" s="0" t="s">
        <v>9452</v>
      </c>
      <c r="BF983" s="0" t="s">
        <v>207</v>
      </c>
      <c r="BJ983" s="0" t="s">
        <v>118</v>
      </c>
      <c r="BU983" s="0" t="s">
        <v>9453</v>
      </c>
      <c r="BW983" s="0" t="s">
        <v>9454</v>
      </c>
      <c r="BX983" s="0" t="s">
        <v>9455</v>
      </c>
      <c r="CH983" s="0" t="s">
        <v>169</v>
      </c>
      <c r="CI983" s="0" t="s">
        <v>9455</v>
      </c>
      <c r="CJ983" s="0" t="s">
        <v>9456</v>
      </c>
      <c r="CO983" s="0" t="s">
        <v>9444</v>
      </c>
      <c r="CR983" s="0" t="s">
        <v>9457</v>
      </c>
    </row>
    <row r="984" customFormat="false" ht="86.25" hidden="false" customHeight="false" outlineLevel="0" collapsed="false">
      <c r="A984" s="0" t="s">
        <v>96</v>
      </c>
      <c r="B984" s="0" t="s">
        <v>9458</v>
      </c>
      <c r="C984" s="0" t="s">
        <v>98</v>
      </c>
      <c r="D984" s="0" t="s">
        <v>99</v>
      </c>
      <c r="E984" s="0" t="s">
        <v>9459</v>
      </c>
      <c r="F984" s="1" t="s">
        <v>149</v>
      </c>
      <c r="H984" s="0" t="s">
        <v>102</v>
      </c>
      <c r="L984" s="0" t="str">
        <f aca="false">"1795"</f>
        <v>1795</v>
      </c>
      <c r="AD984" s="1" t="s">
        <v>9460</v>
      </c>
      <c r="AE984" s="1" t="s">
        <v>9461</v>
      </c>
      <c r="AF984" s="0" t="s">
        <v>109</v>
      </c>
      <c r="AT984" s="0" t="s">
        <v>1352</v>
      </c>
      <c r="AU984" s="0" t="s">
        <v>112</v>
      </c>
      <c r="BB984" s="0" t="s">
        <v>735</v>
      </c>
      <c r="BU984" s="1" t="s">
        <v>9462</v>
      </c>
      <c r="BW984" s="1" t="s">
        <v>9463</v>
      </c>
      <c r="BX984" s="0" t="s">
        <v>9464</v>
      </c>
      <c r="CF984" s="0" t="s">
        <v>9465</v>
      </c>
      <c r="CG984" s="0" t="s">
        <v>123</v>
      </c>
      <c r="CH984" s="1" t="s">
        <v>4481</v>
      </c>
      <c r="CI984" s="0" t="s">
        <v>9464</v>
      </c>
      <c r="CJ984" s="0" t="s">
        <v>9466</v>
      </c>
      <c r="CL984" s="0" t="s">
        <v>9467</v>
      </c>
      <c r="CM984" s="0" t="s">
        <v>9467</v>
      </c>
      <c r="CO984" s="0" t="s">
        <v>9458</v>
      </c>
      <c r="CR984" s="0" t="s">
        <v>9468</v>
      </c>
    </row>
    <row r="985" customFormat="false" ht="96.85" hidden="false" customHeight="false" outlineLevel="0" collapsed="false">
      <c r="A985" s="0" t="s">
        <v>527</v>
      </c>
      <c r="B985" s="0" t="s">
        <v>9469</v>
      </c>
      <c r="C985" s="0" t="s">
        <v>98</v>
      </c>
      <c r="D985" s="0" t="s">
        <v>99</v>
      </c>
      <c r="E985" s="0" t="s">
        <v>9470</v>
      </c>
      <c r="F985" s="0" t="s">
        <v>255</v>
      </c>
      <c r="G985" s="0" t="s">
        <v>256</v>
      </c>
      <c r="L985" s="0" t="str">
        <f aca="false">"1627"</f>
        <v>1627</v>
      </c>
      <c r="M985" s="0" t="s">
        <v>553</v>
      </c>
      <c r="O985" s="0" t="s">
        <v>615</v>
      </c>
      <c r="U985" s="1" t="s">
        <v>9471</v>
      </c>
      <c r="V985" s="1" t="s">
        <v>9472</v>
      </c>
      <c r="AD985" s="1" t="s">
        <v>557</v>
      </c>
      <c r="AE985" s="1" t="s">
        <v>9473</v>
      </c>
      <c r="AF985" s="1" t="s">
        <v>263</v>
      </c>
      <c r="AT985" s="0" t="s">
        <v>1352</v>
      </c>
      <c r="AU985" s="0" t="s">
        <v>112</v>
      </c>
      <c r="BD985" s="0" t="s">
        <v>265</v>
      </c>
      <c r="BE985" s="0" t="s">
        <v>620</v>
      </c>
      <c r="BF985" s="0" t="s">
        <v>541</v>
      </c>
      <c r="BJ985" s="1" t="s">
        <v>229</v>
      </c>
      <c r="BK985" s="1" t="s">
        <v>267</v>
      </c>
      <c r="BL985" s="1" t="s">
        <v>9474</v>
      </c>
      <c r="BM985" s="0" t="s">
        <v>541</v>
      </c>
      <c r="BN985" s="1" t="s">
        <v>2466</v>
      </c>
      <c r="BO985" s="1" t="s">
        <v>2538</v>
      </c>
      <c r="BU985" s="1" t="s">
        <v>9475</v>
      </c>
      <c r="BX985" s="1" t="s">
        <v>9476</v>
      </c>
      <c r="CF985" s="0" t="s">
        <v>9477</v>
      </c>
      <c r="CG985" s="0" t="s">
        <v>123</v>
      </c>
      <c r="CH985" s="0" t="s">
        <v>1265</v>
      </c>
      <c r="CI985" s="1" t="s">
        <v>9476</v>
      </c>
      <c r="CJ985" s="1" t="s">
        <v>9478</v>
      </c>
      <c r="CL985" s="1" t="s">
        <v>9479</v>
      </c>
      <c r="CM985" s="1" t="s">
        <v>9479</v>
      </c>
      <c r="CO985" s="1" t="s">
        <v>9480</v>
      </c>
      <c r="CR985" s="0" t="s">
        <v>9481</v>
      </c>
    </row>
    <row r="986" customFormat="false" ht="65" hidden="false" customHeight="false" outlineLevel="0" collapsed="false">
      <c r="A986" s="0" t="s">
        <v>527</v>
      </c>
      <c r="B986" s="0" t="s">
        <v>9482</v>
      </c>
      <c r="C986" s="0" t="s">
        <v>98</v>
      </c>
      <c r="D986" s="0" t="s">
        <v>99</v>
      </c>
      <c r="E986" s="0" t="s">
        <v>9483</v>
      </c>
      <c r="F986" s="0" t="s">
        <v>255</v>
      </c>
      <c r="G986" s="0" t="s">
        <v>529</v>
      </c>
      <c r="L986" s="0" t="str">
        <f aca="false">"1748"</f>
        <v>1748</v>
      </c>
      <c r="M986" s="0" t="s">
        <v>553</v>
      </c>
      <c r="O986" s="0" t="s">
        <v>3262</v>
      </c>
      <c r="U986" s="1" t="s">
        <v>9484</v>
      </c>
      <c r="V986" s="1" t="s">
        <v>9485</v>
      </c>
      <c r="AD986" s="1" t="s">
        <v>557</v>
      </c>
      <c r="AE986" s="1" t="s">
        <v>9486</v>
      </c>
      <c r="AF986" s="1" t="s">
        <v>263</v>
      </c>
      <c r="AT986" s="0" t="s">
        <v>1352</v>
      </c>
      <c r="AU986" s="0" t="s">
        <v>112</v>
      </c>
      <c r="BD986" s="0" t="s">
        <v>265</v>
      </c>
      <c r="BE986" s="0" t="s">
        <v>9487</v>
      </c>
      <c r="BF986" s="0" t="s">
        <v>655</v>
      </c>
      <c r="BJ986" s="1" t="s">
        <v>467</v>
      </c>
      <c r="BK986" s="1" t="s">
        <v>267</v>
      </c>
      <c r="BL986" s="1" t="s">
        <v>9488</v>
      </c>
      <c r="BM986" s="1" t="s">
        <v>955</v>
      </c>
      <c r="BN986" s="1" t="s">
        <v>606</v>
      </c>
      <c r="BO986" s="1" t="s">
        <v>638</v>
      </c>
      <c r="BU986" s="1" t="s">
        <v>9489</v>
      </c>
      <c r="BX986" s="1" t="s">
        <v>9490</v>
      </c>
      <c r="CE986" s="0" t="s">
        <v>641</v>
      </c>
      <c r="CF986" s="0" t="s">
        <v>9491</v>
      </c>
      <c r="CG986" s="0" t="s">
        <v>123</v>
      </c>
      <c r="CH986" s="0" t="s">
        <v>145</v>
      </c>
      <c r="CI986" s="1" t="s">
        <v>9490</v>
      </c>
      <c r="CJ986" s="1" t="s">
        <v>9492</v>
      </c>
      <c r="CL986" s="1" t="s">
        <v>9493</v>
      </c>
      <c r="CM986" s="1" t="s">
        <v>9493</v>
      </c>
      <c r="CO986" s="1" t="s">
        <v>9494</v>
      </c>
      <c r="CR986" s="0" t="s">
        <v>9495</v>
      </c>
    </row>
    <row r="987" customFormat="false" ht="12.8" hidden="false" customHeight="false" outlineLevel="0" collapsed="false">
      <c r="A987" s="0" t="s">
        <v>9496</v>
      </c>
      <c r="B987" s="0" t="s">
        <v>9497</v>
      </c>
      <c r="C987" s="0" t="s">
        <v>9498</v>
      </c>
      <c r="D987" s="0" t="s">
        <v>99</v>
      </c>
      <c r="E987" s="0" t="s">
        <v>830</v>
      </c>
      <c r="F987" s="0" t="s">
        <v>192</v>
      </c>
      <c r="H987" s="0" t="s">
        <v>102</v>
      </c>
      <c r="L987" s="0" t="str">
        <f aca="false">"1755"</f>
        <v>1755</v>
      </c>
      <c r="AT987" s="0" t="s">
        <v>139</v>
      </c>
      <c r="AU987" s="0" t="s">
        <v>112</v>
      </c>
      <c r="AV987" s="0" t="s">
        <v>113</v>
      </c>
      <c r="BX987" s="0" t="s">
        <v>9499</v>
      </c>
      <c r="BY987" s="0" t="s">
        <v>818</v>
      </c>
      <c r="BZ987" s="0" t="s">
        <v>9496</v>
      </c>
      <c r="CI987" s="0" t="s">
        <v>9499</v>
      </c>
      <c r="CQ987" s="0" t="s">
        <v>9500</v>
      </c>
      <c r="CR987" s="0" t="s">
        <v>9501</v>
      </c>
    </row>
    <row r="988" customFormat="false" ht="12.8" hidden="false" customHeight="false" outlineLevel="0" collapsed="false">
      <c r="A988" s="0" t="s">
        <v>9496</v>
      </c>
      <c r="B988" s="0" t="s">
        <v>9502</v>
      </c>
      <c r="C988" s="0" t="s">
        <v>9498</v>
      </c>
      <c r="D988" s="0" t="s">
        <v>99</v>
      </c>
      <c r="E988" s="0" t="s">
        <v>972</v>
      </c>
      <c r="F988" s="0" t="s">
        <v>192</v>
      </c>
      <c r="H988" s="0" t="s">
        <v>102</v>
      </c>
      <c r="L988" s="0" t="str">
        <f aca="false">"1763"</f>
        <v>1763</v>
      </c>
      <c r="AT988" s="0" t="s">
        <v>139</v>
      </c>
      <c r="AU988" s="0" t="s">
        <v>112</v>
      </c>
      <c r="AV988" s="0" t="s">
        <v>113</v>
      </c>
      <c r="BX988" s="0" t="s">
        <v>9503</v>
      </c>
      <c r="BY988" s="0" t="s">
        <v>962</v>
      </c>
      <c r="BZ988" s="0" t="s">
        <v>9496</v>
      </c>
      <c r="CI988" s="0" t="s">
        <v>9503</v>
      </c>
      <c r="CQ988" s="0" t="s">
        <v>9504</v>
      </c>
      <c r="CR988" s="0" t="s">
        <v>9505</v>
      </c>
    </row>
    <row r="989" customFormat="false" ht="22.5" hidden="false" customHeight="false" outlineLevel="0" collapsed="false">
      <c r="A989" s="0" t="s">
        <v>445</v>
      </c>
      <c r="B989" s="0" t="s">
        <v>4493</v>
      </c>
      <c r="C989" s="0" t="s">
        <v>1213</v>
      </c>
      <c r="D989" s="0" t="s">
        <v>1214</v>
      </c>
      <c r="E989" s="0" t="s">
        <v>5330</v>
      </c>
      <c r="L989" s="0" t="str">
        <f aca="false">"1762"</f>
        <v>1762</v>
      </c>
      <c r="M989" s="1" t="s">
        <v>898</v>
      </c>
      <c r="O989" s="1" t="s">
        <v>9506</v>
      </c>
      <c r="T989" s="0" t="s">
        <v>5332</v>
      </c>
      <c r="AS989" s="0" t="s">
        <v>4251</v>
      </c>
      <c r="AT989" s="0" t="s">
        <v>906</v>
      </c>
      <c r="AU989" s="0" t="s">
        <v>5389</v>
      </c>
      <c r="AW989" s="0" t="s">
        <v>907</v>
      </c>
    </row>
    <row r="990" customFormat="false" ht="12.8" hidden="false" customHeight="false" outlineLevel="0" collapsed="false">
      <c r="A990" s="0" t="s">
        <v>445</v>
      </c>
      <c r="B990" s="0" t="s">
        <v>9507</v>
      </c>
      <c r="C990" s="0" t="s">
        <v>5286</v>
      </c>
      <c r="D990" s="0" t="s">
        <v>360</v>
      </c>
      <c r="E990" s="0" t="s">
        <v>9508</v>
      </c>
      <c r="L990" s="0" t="str">
        <f aca="false">"1698"</f>
        <v>1698</v>
      </c>
      <c r="M990" s="0" t="s">
        <v>870</v>
      </c>
      <c r="O990" s="0" t="s">
        <v>9509</v>
      </c>
      <c r="AS990" s="0" t="s">
        <v>4346</v>
      </c>
      <c r="AT990" s="0" t="s">
        <v>906</v>
      </c>
      <c r="AU990" s="0" t="s">
        <v>892</v>
      </c>
      <c r="AY990" s="0" t="s">
        <v>9510</v>
      </c>
      <c r="CJ990" s="0" t="s">
        <v>9511</v>
      </c>
      <c r="CO990" s="0" t="s">
        <v>9512</v>
      </c>
    </row>
    <row r="991" customFormat="false" ht="12.8" hidden="false" customHeight="false" outlineLevel="0" collapsed="false">
      <c r="A991" s="0" t="s">
        <v>445</v>
      </c>
      <c r="B991" s="0" t="s">
        <v>9513</v>
      </c>
      <c r="C991" s="0" t="s">
        <v>1685</v>
      </c>
      <c r="D991" s="0" t="s">
        <v>1686</v>
      </c>
      <c r="E991" s="0" t="s">
        <v>9514</v>
      </c>
      <c r="L991" s="0" t="str">
        <f aca="false">"1642"</f>
        <v>1642</v>
      </c>
      <c r="M991" s="0" t="s">
        <v>9515</v>
      </c>
      <c r="O991" s="0" t="s">
        <v>9516</v>
      </c>
      <c r="T991" s="0" t="s">
        <v>243</v>
      </c>
      <c r="Z991" s="0" t="s">
        <v>9517</v>
      </c>
      <c r="AB991" s="0" t="s">
        <v>9518</v>
      </c>
      <c r="AS991" s="0" t="s">
        <v>1116</v>
      </c>
      <c r="AT991" s="0" t="s">
        <v>906</v>
      </c>
      <c r="AU991" s="0" t="s">
        <v>5389</v>
      </c>
      <c r="BC991" s="0" t="str">
        <f aca="false">"594882877"</f>
        <v>594882877</v>
      </c>
      <c r="BX991" s="0" t="s">
        <v>9519</v>
      </c>
      <c r="CI991" s="0" t="s">
        <v>9519</v>
      </c>
      <c r="CJ991" s="0" t="s">
        <v>9520</v>
      </c>
      <c r="CO991" s="0" t="s">
        <v>9521</v>
      </c>
    </row>
    <row r="992" customFormat="false" ht="43.75" hidden="false" customHeight="false" outlineLevel="0" collapsed="false">
      <c r="A992" s="0" t="s">
        <v>445</v>
      </c>
      <c r="B992" s="0" t="s">
        <v>9522</v>
      </c>
      <c r="C992" s="0" t="s">
        <v>1685</v>
      </c>
      <c r="D992" s="0" t="s">
        <v>1686</v>
      </c>
      <c r="E992" s="0" t="s">
        <v>9523</v>
      </c>
      <c r="L992" s="0" t="str">
        <f aca="false">"1748"</f>
        <v>1748</v>
      </c>
      <c r="M992" s="1" t="s">
        <v>898</v>
      </c>
      <c r="O992" s="1" t="s">
        <v>9524</v>
      </c>
      <c r="T992" s="0" t="s">
        <v>4417</v>
      </c>
      <c r="AA992" s="0" t="str">
        <f aca="false">"10747834"</f>
        <v>10747834</v>
      </c>
      <c r="AB992" s="0" t="s">
        <v>9525</v>
      </c>
      <c r="AG992" s="0" t="s">
        <v>1685</v>
      </c>
      <c r="AH992" s="0" t="s">
        <v>1686</v>
      </c>
      <c r="AI992" s="0" t="s">
        <v>9526</v>
      </c>
      <c r="AJ992" s="0" t="s">
        <v>9527</v>
      </c>
      <c r="AM992" s="0" t="s">
        <v>9528</v>
      </c>
      <c r="AS992" s="0" t="s">
        <v>1116</v>
      </c>
      <c r="AT992" s="0" t="s">
        <v>9529</v>
      </c>
      <c r="AU992" s="0" t="s">
        <v>5389</v>
      </c>
      <c r="AZ992" s="0" t="s">
        <v>9530</v>
      </c>
      <c r="BC992" s="0" t="str">
        <f aca="false">"147489504"</f>
        <v>147489504</v>
      </c>
      <c r="BU992" s="1" t="s">
        <v>1891</v>
      </c>
      <c r="BX992" s="1" t="s">
        <v>9531</v>
      </c>
      <c r="CF992" s="0" t="s">
        <v>9532</v>
      </c>
      <c r="CG992" s="0" t="s">
        <v>123</v>
      </c>
      <c r="CH992" s="0" t="s">
        <v>145</v>
      </c>
      <c r="CI992" s="1" t="s">
        <v>9531</v>
      </c>
      <c r="CJ992" s="0" t="s">
        <v>9533</v>
      </c>
      <c r="CL992" s="0" t="s">
        <v>9534</v>
      </c>
      <c r="CM992" s="0" t="s">
        <v>9534</v>
      </c>
      <c r="CO992" s="0" t="s">
        <v>9535</v>
      </c>
      <c r="CR992" s="0" t="s">
        <v>9536</v>
      </c>
    </row>
    <row r="993" customFormat="false" ht="22.5" hidden="false" customHeight="false" outlineLevel="0" collapsed="false">
      <c r="A993" s="0" t="s">
        <v>445</v>
      </c>
      <c r="B993" s="0" t="s">
        <v>9537</v>
      </c>
      <c r="C993" s="0" t="s">
        <v>224</v>
      </c>
      <c r="D993" s="0" t="s">
        <v>225</v>
      </c>
      <c r="E993" s="0" t="s">
        <v>9538</v>
      </c>
      <c r="L993" s="0" t="str">
        <f aca="false">"1630"</f>
        <v>1630</v>
      </c>
      <c r="M993" s="0" t="s">
        <v>448</v>
      </c>
      <c r="O993" s="0" t="s">
        <v>2894</v>
      </c>
      <c r="R993" s="1" t="s">
        <v>2905</v>
      </c>
      <c r="T993" s="0" t="s">
        <v>1050</v>
      </c>
      <c r="Z993" s="0" t="s">
        <v>9539</v>
      </c>
      <c r="AB993" s="0" t="s">
        <v>9540</v>
      </c>
      <c r="AS993" s="0" t="s">
        <v>9541</v>
      </c>
      <c r="AT993" s="0" t="s">
        <v>2601</v>
      </c>
      <c r="AU993" s="0" t="s">
        <v>2457</v>
      </c>
      <c r="AY993" s="0" t="s">
        <v>9542</v>
      </c>
      <c r="AZ993" s="0" t="s">
        <v>2900</v>
      </c>
      <c r="BS993" s="0" t="s">
        <v>2901</v>
      </c>
      <c r="BT993" s="0" t="str">
        <f aca="false">"1"</f>
        <v>1</v>
      </c>
      <c r="BX993" s="0" t="s">
        <v>9543</v>
      </c>
      <c r="CI993" s="0" t="s">
        <v>9543</v>
      </c>
    </row>
    <row r="994" customFormat="false" ht="22.5" hidden="false" customHeight="false" outlineLevel="0" collapsed="false">
      <c r="A994" s="0" t="s">
        <v>445</v>
      </c>
      <c r="B994" s="0" t="s">
        <v>9544</v>
      </c>
      <c r="C994" s="0" t="s">
        <v>224</v>
      </c>
      <c r="D994" s="0" t="s">
        <v>225</v>
      </c>
      <c r="E994" s="0" t="s">
        <v>9545</v>
      </c>
      <c r="L994" s="0" t="str">
        <f aca="false">"1630"</f>
        <v>1630</v>
      </c>
      <c r="M994" s="0" t="s">
        <v>448</v>
      </c>
      <c r="O994" s="0" t="s">
        <v>2894</v>
      </c>
      <c r="R994" s="1" t="s">
        <v>2905</v>
      </c>
      <c r="T994" s="0" t="s">
        <v>1050</v>
      </c>
      <c r="Z994" s="0" t="s">
        <v>9546</v>
      </c>
      <c r="AB994" s="0" t="s">
        <v>9547</v>
      </c>
      <c r="AS994" s="0" t="s">
        <v>6412</v>
      </c>
      <c r="AT994" s="0" t="s">
        <v>2601</v>
      </c>
      <c r="AU994" s="0" t="s">
        <v>2457</v>
      </c>
      <c r="AY994" s="0" t="s">
        <v>9548</v>
      </c>
      <c r="AZ994" s="0" t="s">
        <v>9549</v>
      </c>
      <c r="BS994" s="0" t="s">
        <v>2901</v>
      </c>
      <c r="BT994" s="0" t="str">
        <f aca="false">"3"</f>
        <v>3</v>
      </c>
      <c r="BX994" s="0" t="s">
        <v>9550</v>
      </c>
      <c r="CI994" s="0" t="s">
        <v>9550</v>
      </c>
    </row>
    <row r="995" customFormat="false" ht="12.8" hidden="false" customHeight="false" outlineLevel="0" collapsed="false">
      <c r="A995" s="0" t="s">
        <v>445</v>
      </c>
      <c r="B995" s="0" t="s">
        <v>9551</v>
      </c>
      <c r="C995" s="0" t="s">
        <v>224</v>
      </c>
      <c r="D995" s="0" t="s">
        <v>225</v>
      </c>
      <c r="E995" s="0" t="s">
        <v>9552</v>
      </c>
      <c r="L995" s="0" t="str">
        <f aca="false">"1630"</f>
        <v>1630</v>
      </c>
      <c r="M995" s="0" t="s">
        <v>448</v>
      </c>
      <c r="O995" s="0" t="s">
        <v>2894</v>
      </c>
      <c r="R995" s="0" t="s">
        <v>9553</v>
      </c>
      <c r="T995" s="0" t="s">
        <v>1050</v>
      </c>
      <c r="Z995" s="0" t="s">
        <v>9554</v>
      </c>
      <c r="AB995" s="0" t="s">
        <v>9555</v>
      </c>
      <c r="AS995" s="0" t="s">
        <v>9556</v>
      </c>
      <c r="AT995" s="0" t="s">
        <v>2601</v>
      </c>
      <c r="AU995" s="0" t="s">
        <v>2457</v>
      </c>
      <c r="AY995" s="0" t="s">
        <v>9557</v>
      </c>
      <c r="AZ995" s="0" t="s">
        <v>9549</v>
      </c>
      <c r="BS995" s="0" t="s">
        <v>2901</v>
      </c>
      <c r="BT995" s="0" t="str">
        <f aca="false">"4"</f>
        <v>4</v>
      </c>
      <c r="BX995" s="0" t="s">
        <v>9558</v>
      </c>
      <c r="CI995" s="0" t="s">
        <v>9558</v>
      </c>
    </row>
    <row r="996" customFormat="false" ht="12.8" hidden="false" customHeight="false" outlineLevel="0" collapsed="false">
      <c r="A996" s="0" t="s">
        <v>445</v>
      </c>
      <c r="B996" s="0" t="s">
        <v>9559</v>
      </c>
      <c r="C996" s="0" t="s">
        <v>224</v>
      </c>
      <c r="D996" s="0" t="s">
        <v>225</v>
      </c>
      <c r="E996" s="0" t="s">
        <v>9560</v>
      </c>
      <c r="L996" s="0" t="str">
        <f aca="false">"1630"</f>
        <v>1630</v>
      </c>
      <c r="M996" s="0" t="s">
        <v>448</v>
      </c>
      <c r="O996" s="0" t="s">
        <v>2894</v>
      </c>
      <c r="R996" s="0" t="s">
        <v>9553</v>
      </c>
      <c r="T996" s="0" t="s">
        <v>1050</v>
      </c>
      <c r="Z996" s="0" t="s">
        <v>9561</v>
      </c>
      <c r="AB996" s="0" t="s">
        <v>9562</v>
      </c>
      <c r="AS996" s="0" t="s">
        <v>9563</v>
      </c>
      <c r="AT996" s="0" t="s">
        <v>2601</v>
      </c>
      <c r="AU996" s="0" t="s">
        <v>2457</v>
      </c>
      <c r="AY996" s="0" t="s">
        <v>9557</v>
      </c>
      <c r="AZ996" s="0" t="s">
        <v>9549</v>
      </c>
      <c r="BS996" s="0" t="s">
        <v>2901</v>
      </c>
      <c r="BT996" s="0" t="str">
        <f aca="false">"5"</f>
        <v>5</v>
      </c>
      <c r="BX996" s="0" t="s">
        <v>9564</v>
      </c>
      <c r="CI996" s="0" t="s">
        <v>9564</v>
      </c>
    </row>
    <row r="997" customFormat="false" ht="12.8" hidden="false" customHeight="false" outlineLevel="0" collapsed="false">
      <c r="A997" s="0" t="s">
        <v>445</v>
      </c>
      <c r="B997" s="0" t="s">
        <v>9565</v>
      </c>
      <c r="C997" s="0" t="s">
        <v>224</v>
      </c>
      <c r="D997" s="0" t="s">
        <v>225</v>
      </c>
      <c r="E997" s="0" t="s">
        <v>9566</v>
      </c>
      <c r="L997" s="0" t="str">
        <f aca="false">"1630"</f>
        <v>1630</v>
      </c>
      <c r="M997" s="0" t="s">
        <v>448</v>
      </c>
      <c r="O997" s="0" t="s">
        <v>2894</v>
      </c>
      <c r="R997" s="0" t="s">
        <v>9553</v>
      </c>
      <c r="T997" s="0" t="s">
        <v>1050</v>
      </c>
      <c r="Z997" s="0" t="s">
        <v>9567</v>
      </c>
      <c r="AB997" s="0" t="s">
        <v>9568</v>
      </c>
      <c r="AS997" s="0" t="s">
        <v>9569</v>
      </c>
      <c r="AT997" s="0" t="s">
        <v>2601</v>
      </c>
      <c r="AU997" s="0" t="s">
        <v>2457</v>
      </c>
      <c r="AY997" s="0" t="s">
        <v>9557</v>
      </c>
      <c r="AZ997" s="0" t="s">
        <v>9549</v>
      </c>
      <c r="BS997" s="0" t="s">
        <v>2901</v>
      </c>
      <c r="BT997" s="0" t="str">
        <f aca="false">"6"</f>
        <v>6</v>
      </c>
      <c r="BX997" s="0" t="s">
        <v>9570</v>
      </c>
      <c r="CI997" s="0" t="s">
        <v>9570</v>
      </c>
    </row>
    <row r="998" customFormat="false" ht="65" hidden="false" customHeight="false" outlineLevel="0" collapsed="false">
      <c r="A998" s="0" t="s">
        <v>527</v>
      </c>
      <c r="B998" s="0" t="s">
        <v>9571</v>
      </c>
      <c r="C998" s="0" t="s">
        <v>9572</v>
      </c>
      <c r="D998" s="0" t="s">
        <v>398</v>
      </c>
      <c r="E998" s="0" t="s">
        <v>9573</v>
      </c>
      <c r="F998" s="0" t="s">
        <v>255</v>
      </c>
      <c r="G998" s="0" t="s">
        <v>256</v>
      </c>
      <c r="L998" s="0" t="str">
        <f aca="false">"1763"</f>
        <v>1763</v>
      </c>
      <c r="M998" s="0" t="s">
        <v>553</v>
      </c>
      <c r="O998" s="0" t="s">
        <v>2329</v>
      </c>
      <c r="T998" s="0" t="s">
        <v>1150</v>
      </c>
      <c r="U998" s="1" t="s">
        <v>9574</v>
      </c>
      <c r="V998" s="1" t="s">
        <v>9575</v>
      </c>
      <c r="AD998" s="1" t="s">
        <v>951</v>
      </c>
      <c r="AE998" s="1" t="s">
        <v>9576</v>
      </c>
      <c r="AF998" s="1" t="s">
        <v>953</v>
      </c>
      <c r="AI998" s="0" t="s">
        <v>9577</v>
      </c>
      <c r="AT998" s="0" t="s">
        <v>1352</v>
      </c>
      <c r="AU998" s="0" t="s">
        <v>872</v>
      </c>
      <c r="BD998" s="1" t="s">
        <v>9578</v>
      </c>
      <c r="BE998" s="1" t="s">
        <v>9579</v>
      </c>
      <c r="BF998" s="1" t="s">
        <v>9580</v>
      </c>
      <c r="BJ998" s="1" t="s">
        <v>229</v>
      </c>
      <c r="BK998" s="1" t="s">
        <v>267</v>
      </c>
      <c r="BL998" s="1" t="s">
        <v>9581</v>
      </c>
      <c r="BM998" s="1" t="s">
        <v>579</v>
      </c>
      <c r="BU998" s="0" t="s">
        <v>9582</v>
      </c>
      <c r="BV998" s="0" t="s">
        <v>9583</v>
      </c>
      <c r="BX998" s="1" t="s">
        <v>9584</v>
      </c>
      <c r="CC998" s="0" t="s">
        <v>9585</v>
      </c>
      <c r="CG998" s="0" t="s">
        <v>123</v>
      </c>
      <c r="CH998" s="0" t="s">
        <v>4311</v>
      </c>
      <c r="CI998" s="1" t="s">
        <v>9584</v>
      </c>
      <c r="CJ998" s="1" t="s">
        <v>9586</v>
      </c>
      <c r="CO998" s="1" t="s">
        <v>9587</v>
      </c>
      <c r="CR998" s="1" t="s">
        <v>9588</v>
      </c>
    </row>
    <row r="999" customFormat="false" ht="12.8" hidden="false" customHeight="false" outlineLevel="0" collapsed="false">
      <c r="A999" s="0" t="s">
        <v>445</v>
      </c>
      <c r="B999" s="0" t="s">
        <v>4182</v>
      </c>
      <c r="C999" s="0" t="s">
        <v>3546</v>
      </c>
      <c r="D999" s="0" t="s">
        <v>1113</v>
      </c>
      <c r="E999" s="0" t="s">
        <v>9589</v>
      </c>
      <c r="M999" s="0" t="s">
        <v>448</v>
      </c>
      <c r="O999" s="0" t="s">
        <v>9590</v>
      </c>
      <c r="U999" s="0" t="s">
        <v>5598</v>
      </c>
      <c r="AP999" s="0" t="s">
        <v>3549</v>
      </c>
      <c r="AQ999" s="0" t="str">
        <f aca="false">"107"</f>
        <v>107</v>
      </c>
      <c r="AT999" s="0" t="s">
        <v>906</v>
      </c>
      <c r="AU999" s="0" t="s">
        <v>892</v>
      </c>
      <c r="AW999" s="0" t="s">
        <v>907</v>
      </c>
      <c r="BX999" s="0" t="s">
        <v>9591</v>
      </c>
      <c r="CI999" s="0" t="s">
        <v>9591</v>
      </c>
      <c r="CJ999" s="0" t="s">
        <v>9592</v>
      </c>
      <c r="CO999" s="0" t="s">
        <v>4182</v>
      </c>
    </row>
    <row r="1000" customFormat="false" ht="33.1" hidden="false" customHeight="false" outlineLevel="0" collapsed="false">
      <c r="A1000" s="0" t="s">
        <v>96</v>
      </c>
      <c r="B1000" s="0" t="s">
        <v>9593</v>
      </c>
      <c r="C1000" s="0" t="s">
        <v>98</v>
      </c>
      <c r="D1000" s="0" t="s">
        <v>99</v>
      </c>
      <c r="E1000" s="0" t="s">
        <v>9594</v>
      </c>
      <c r="F1000" s="0" t="s">
        <v>131</v>
      </c>
      <c r="H1000" s="0" t="s">
        <v>102</v>
      </c>
      <c r="K1000" s="0" t="s">
        <v>9595</v>
      </c>
      <c r="L1000" s="0" t="str">
        <f aca="false">"1797"</f>
        <v>1797</v>
      </c>
      <c r="M1000" s="0" t="s">
        <v>715</v>
      </c>
      <c r="O1000" s="0" t="s">
        <v>9447</v>
      </c>
      <c r="R1000" s="0" t="s">
        <v>9448</v>
      </c>
      <c r="T1000" s="0" t="s">
        <v>247</v>
      </c>
      <c r="U1000" s="1" t="s">
        <v>9596</v>
      </c>
      <c r="V1000" s="1" t="s">
        <v>9597</v>
      </c>
      <c r="AD1000" s="1" t="s">
        <v>9598</v>
      </c>
      <c r="AE1000" s="1" t="s">
        <v>9599</v>
      </c>
      <c r="AF1000" s="0" t="s">
        <v>109</v>
      </c>
      <c r="AT1000" s="0" t="s">
        <v>1352</v>
      </c>
      <c r="AU1000" s="0" t="s">
        <v>112</v>
      </c>
      <c r="BD1000" s="0" t="s">
        <v>873</v>
      </c>
      <c r="BE1000" s="0" t="s">
        <v>9600</v>
      </c>
      <c r="BF1000" s="0" t="s">
        <v>142</v>
      </c>
      <c r="BJ1000" s="0" t="s">
        <v>118</v>
      </c>
      <c r="BU1000" s="0" t="s">
        <v>9601</v>
      </c>
      <c r="BW1000" s="0" t="s">
        <v>9602</v>
      </c>
      <c r="BX1000" s="0" t="s">
        <v>9603</v>
      </c>
      <c r="CH1000" s="0" t="s">
        <v>169</v>
      </c>
      <c r="CI1000" s="0" t="s">
        <v>9603</v>
      </c>
      <c r="CJ1000" s="0" t="s">
        <v>9604</v>
      </c>
      <c r="CO1000" s="0" t="s">
        <v>9593</v>
      </c>
      <c r="CR1000" s="0" t="s">
        <v>9605</v>
      </c>
    </row>
    <row r="1001" customFormat="false" ht="22.5" hidden="false" customHeight="false" outlineLevel="0" collapsed="false">
      <c r="A1001" s="0" t="s">
        <v>96</v>
      </c>
      <c r="B1001" s="0" t="s">
        <v>9606</v>
      </c>
      <c r="C1001" s="0" t="s">
        <v>98</v>
      </c>
      <c r="D1001" s="0" t="s">
        <v>99</v>
      </c>
      <c r="E1001" s="0" t="s">
        <v>9607</v>
      </c>
      <c r="F1001" s="1" t="s">
        <v>714</v>
      </c>
      <c r="H1001" s="0" t="s">
        <v>102</v>
      </c>
      <c r="K1001" s="0" t="s">
        <v>9608</v>
      </c>
      <c r="L1001" s="0" t="str">
        <f aca="false">"1802"</f>
        <v>1802</v>
      </c>
      <c r="AD1001" s="1" t="s">
        <v>285</v>
      </c>
      <c r="AE1001" s="1" t="s">
        <v>9609</v>
      </c>
      <c r="AF1001" s="0" t="s">
        <v>109</v>
      </c>
      <c r="AG1001" s="0" t="s">
        <v>98</v>
      </c>
      <c r="AH1001" s="0" t="s">
        <v>99</v>
      </c>
      <c r="AI1001" s="0" t="s">
        <v>9610</v>
      </c>
      <c r="AT1001" s="0" t="s">
        <v>1352</v>
      </c>
      <c r="AU1001" s="0" t="s">
        <v>872</v>
      </c>
      <c r="AY1001" s="0" t="s">
        <v>9611</v>
      </c>
      <c r="AZ1001" s="0" t="s">
        <v>9612</v>
      </c>
      <c r="BU1001" s="0" t="s">
        <v>9613</v>
      </c>
      <c r="BV1001" s="0" t="s">
        <v>9614</v>
      </c>
      <c r="BX1001" s="0" t="s">
        <v>9615</v>
      </c>
      <c r="CE1001" s="0" t="s">
        <v>641</v>
      </c>
      <c r="CH1001" s="0" t="s">
        <v>124</v>
      </c>
      <c r="CI1001" s="0" t="s">
        <v>9615</v>
      </c>
      <c r="CJ1001" s="0" t="s">
        <v>9616</v>
      </c>
      <c r="CO1001" s="0" t="s">
        <v>9606</v>
      </c>
      <c r="CR1001" s="0" t="s">
        <v>9617</v>
      </c>
    </row>
    <row r="1002" customFormat="false" ht="22.5" hidden="false" customHeight="false" outlineLevel="0" collapsed="false">
      <c r="A1002" s="0" t="s">
        <v>96</v>
      </c>
      <c r="B1002" s="0" t="s">
        <v>9618</v>
      </c>
      <c r="C1002" s="0" t="s">
        <v>98</v>
      </c>
      <c r="D1002" s="0" t="s">
        <v>99</v>
      </c>
      <c r="E1002" s="0" t="s">
        <v>9619</v>
      </c>
      <c r="F1002" s="1" t="s">
        <v>149</v>
      </c>
      <c r="H1002" s="0" t="s">
        <v>102</v>
      </c>
      <c r="K1002" s="0" t="s">
        <v>9620</v>
      </c>
      <c r="L1002" s="0" t="str">
        <f aca="false">"1795"</f>
        <v>1795</v>
      </c>
      <c r="M1002" s="0" t="s">
        <v>715</v>
      </c>
      <c r="O1002" s="0" t="s">
        <v>9621</v>
      </c>
      <c r="R1002" s="0" t="s">
        <v>9622</v>
      </c>
      <c r="T1002" s="0" t="s">
        <v>1346</v>
      </c>
      <c r="AD1002" s="0" t="s">
        <v>136</v>
      </c>
      <c r="AE1002" s="0" t="s">
        <v>9623</v>
      </c>
      <c r="AF1002" s="0" t="s">
        <v>109</v>
      </c>
      <c r="AT1002" s="0" t="s">
        <v>1352</v>
      </c>
      <c r="AU1002" s="0" t="s">
        <v>112</v>
      </c>
      <c r="BD1002" s="0" t="s">
        <v>873</v>
      </c>
      <c r="BF1002" s="0" t="s">
        <v>207</v>
      </c>
      <c r="BJ1002" s="0" t="s">
        <v>118</v>
      </c>
      <c r="BU1002" s="0" t="s">
        <v>9624</v>
      </c>
      <c r="BX1002" s="0" t="s">
        <v>9625</v>
      </c>
      <c r="CH1002" s="0" t="s">
        <v>124</v>
      </c>
      <c r="CI1002" s="0" t="s">
        <v>9625</v>
      </c>
      <c r="CJ1002" s="0" t="s">
        <v>9626</v>
      </c>
      <c r="CO1002" s="0" t="s">
        <v>9618</v>
      </c>
      <c r="CR1002" s="0" t="s">
        <v>9627</v>
      </c>
    </row>
    <row r="1003" customFormat="false" ht="22.5" hidden="false" customHeight="false" outlineLevel="0" collapsed="false">
      <c r="A1003" s="0" t="s">
        <v>96</v>
      </c>
      <c r="B1003" s="0" t="s">
        <v>9628</v>
      </c>
      <c r="C1003" s="0" t="s">
        <v>98</v>
      </c>
      <c r="D1003" s="0" t="s">
        <v>99</v>
      </c>
      <c r="E1003" s="0" t="s">
        <v>9629</v>
      </c>
      <c r="F1003" s="1" t="s">
        <v>149</v>
      </c>
      <c r="H1003" s="0" t="s">
        <v>102</v>
      </c>
      <c r="K1003" s="0" t="s">
        <v>9630</v>
      </c>
      <c r="L1003" s="0" t="str">
        <f aca="false">"1794"</f>
        <v>1794</v>
      </c>
      <c r="M1003" s="0" t="s">
        <v>715</v>
      </c>
      <c r="O1003" s="0" t="s">
        <v>9631</v>
      </c>
      <c r="R1003" s="0" t="s">
        <v>9632</v>
      </c>
      <c r="T1003" s="0" t="s">
        <v>1346</v>
      </c>
      <c r="AD1003" s="0" t="s">
        <v>136</v>
      </c>
      <c r="AE1003" s="0" t="s">
        <v>9633</v>
      </c>
      <c r="AF1003" s="0" t="s">
        <v>109</v>
      </c>
      <c r="AT1003" s="0" t="s">
        <v>1352</v>
      </c>
      <c r="AU1003" s="0" t="s">
        <v>112</v>
      </c>
      <c r="AY1003" s="0" t="s">
        <v>9634</v>
      </c>
      <c r="BD1003" s="0" t="s">
        <v>873</v>
      </c>
      <c r="BE1003" s="0" t="s">
        <v>9635</v>
      </c>
      <c r="BF1003" s="0" t="s">
        <v>207</v>
      </c>
      <c r="BJ1003" s="0" t="s">
        <v>118</v>
      </c>
      <c r="BU1003" s="0" t="s">
        <v>9636</v>
      </c>
      <c r="BX1003" s="0" t="s">
        <v>9637</v>
      </c>
      <c r="CH1003" s="0" t="s">
        <v>342</v>
      </c>
      <c r="CI1003" s="0" t="s">
        <v>9637</v>
      </c>
      <c r="CJ1003" s="0" t="s">
        <v>9638</v>
      </c>
      <c r="CO1003" s="0" t="s">
        <v>9628</v>
      </c>
      <c r="CR1003" s="0" t="s">
        <v>9639</v>
      </c>
    </row>
    <row r="1004" customFormat="false" ht="86.25" hidden="false" customHeight="false" outlineLevel="0" collapsed="false">
      <c r="A1004" s="0" t="s">
        <v>96</v>
      </c>
      <c r="B1004" s="0" t="s">
        <v>9640</v>
      </c>
      <c r="C1004" s="0" t="s">
        <v>98</v>
      </c>
      <c r="D1004" s="0" t="s">
        <v>99</v>
      </c>
      <c r="E1004" s="0" t="s">
        <v>9641</v>
      </c>
      <c r="F1004" s="0" t="s">
        <v>219</v>
      </c>
      <c r="H1004" s="0" t="s">
        <v>102</v>
      </c>
      <c r="L1004" s="0" t="str">
        <f aca="false">"1773"</f>
        <v>1773</v>
      </c>
      <c r="M1004" s="0" t="s">
        <v>150</v>
      </c>
      <c r="O1004" s="0" t="s">
        <v>3319</v>
      </c>
      <c r="T1004" s="0" t="s">
        <v>247</v>
      </c>
      <c r="U1004" s="1" t="s">
        <v>9642</v>
      </c>
      <c r="V1004" s="1" t="s">
        <v>9643</v>
      </c>
      <c r="AD1004" s="1" t="s">
        <v>9644</v>
      </c>
      <c r="AE1004" s="1" t="s">
        <v>9645</v>
      </c>
      <c r="AF1004" s="0" t="s">
        <v>109</v>
      </c>
      <c r="AT1004" s="0" t="s">
        <v>1352</v>
      </c>
      <c r="AU1004" s="0" t="s">
        <v>112</v>
      </c>
      <c r="AY1004" s="0" t="s">
        <v>9646</v>
      </c>
      <c r="BD1004" s="0" t="s">
        <v>140</v>
      </c>
      <c r="BE1004" s="0" t="s">
        <v>9647</v>
      </c>
      <c r="BF1004" s="0" t="s">
        <v>142</v>
      </c>
      <c r="BJ1004" s="0" t="s">
        <v>118</v>
      </c>
      <c r="BU1004" s="1" t="s">
        <v>9648</v>
      </c>
      <c r="BW1004" s="1" t="s">
        <v>9649</v>
      </c>
      <c r="BX1004" s="0" t="s">
        <v>9650</v>
      </c>
      <c r="CF1004" s="0" t="s">
        <v>9651</v>
      </c>
      <c r="CG1004" s="0" t="s">
        <v>123</v>
      </c>
      <c r="CH1004" s="1" t="s">
        <v>9652</v>
      </c>
      <c r="CI1004" s="0" t="s">
        <v>9650</v>
      </c>
      <c r="CJ1004" s="0" t="s">
        <v>9653</v>
      </c>
      <c r="CL1004" s="0" t="s">
        <v>9654</v>
      </c>
      <c r="CM1004" s="0" t="s">
        <v>9654</v>
      </c>
      <c r="CO1004" s="0" t="s">
        <v>9640</v>
      </c>
      <c r="CR1004" s="0" t="s">
        <v>9655</v>
      </c>
    </row>
    <row r="1005" customFormat="false" ht="404.35" hidden="false" customHeight="false" outlineLevel="0" collapsed="false">
      <c r="A1005" s="0" t="s">
        <v>9656</v>
      </c>
      <c r="B1005" s="0" t="s">
        <v>9657</v>
      </c>
      <c r="C1005" s="0" t="s">
        <v>3779</v>
      </c>
      <c r="D1005" s="0" t="s">
        <v>398</v>
      </c>
      <c r="E1005" s="0" t="s">
        <v>9658</v>
      </c>
      <c r="L1005" s="0" t="str">
        <f aca="false">"1763"</f>
        <v>1763</v>
      </c>
      <c r="M1005" s="0" t="s">
        <v>2367</v>
      </c>
      <c r="O1005" s="0" t="s">
        <v>9659</v>
      </c>
      <c r="T1005" s="0" t="s">
        <v>1150</v>
      </c>
      <c r="U1005" s="0" t="s">
        <v>9660</v>
      </c>
      <c r="V1005" s="0" t="s">
        <v>9661</v>
      </c>
      <c r="AA1005" s="0" t="str">
        <f aca="false">"11883715"</f>
        <v>11883715</v>
      </c>
      <c r="AB1005" s="0" t="s">
        <v>9662</v>
      </c>
      <c r="AO1005" s="0" t="s">
        <v>9663</v>
      </c>
      <c r="AS1005" s="0" t="s">
        <v>8170</v>
      </c>
      <c r="AT1005" s="0" t="s">
        <v>9664</v>
      </c>
      <c r="AU1005" s="0" t="s">
        <v>892</v>
      </c>
      <c r="AY1005" s="0" t="s">
        <v>9665</v>
      </c>
      <c r="AZ1005" s="0" t="s">
        <v>9666</v>
      </c>
      <c r="BC1005" s="0" t="str">
        <f aca="false">"641150172"</f>
        <v>641150172</v>
      </c>
      <c r="BX1005" s="1" t="s">
        <v>9667</v>
      </c>
      <c r="BY1005" s="0" t="s">
        <v>9668</v>
      </c>
      <c r="BZ1005" s="0" t="s">
        <v>9669</v>
      </c>
      <c r="CC1005" s="1" t="s">
        <v>9670</v>
      </c>
      <c r="CF1005" s="0" t="s">
        <v>9671</v>
      </c>
      <c r="CG1005" s="0" t="s">
        <v>123</v>
      </c>
      <c r="CH1005" s="0" t="s">
        <v>298</v>
      </c>
      <c r="CI1005" s="1" t="s">
        <v>9667</v>
      </c>
      <c r="CJ1005" s="0" t="s">
        <v>9672</v>
      </c>
      <c r="CL1005" s="0" t="s">
        <v>9673</v>
      </c>
      <c r="CM1005" s="0" t="s">
        <v>9673</v>
      </c>
      <c r="CO1005" s="0" t="s">
        <v>9657</v>
      </c>
      <c r="CQ1005" s="0" t="s">
        <v>9674</v>
      </c>
      <c r="CR1005" s="0" t="s">
        <v>9675</v>
      </c>
    </row>
    <row r="1006" customFormat="false" ht="22.5" hidden="false" customHeight="false" outlineLevel="0" collapsed="false">
      <c r="A1006" s="0" t="s">
        <v>9676</v>
      </c>
      <c r="B1006" s="0" t="s">
        <v>9677</v>
      </c>
      <c r="C1006" s="0" t="s">
        <v>9678</v>
      </c>
      <c r="D1006" s="0" t="s">
        <v>1113</v>
      </c>
      <c r="E1006" s="0" t="s">
        <v>9679</v>
      </c>
      <c r="L1006" s="0" t="str">
        <f aca="false">"1736"</f>
        <v>1736</v>
      </c>
      <c r="M1006" s="1" t="s">
        <v>9680</v>
      </c>
      <c r="O1006" s="1" t="s">
        <v>9681</v>
      </c>
      <c r="T1006" s="1" t="s">
        <v>9682</v>
      </c>
      <c r="W1006" s="0" t="s">
        <v>9683</v>
      </c>
      <c r="AT1006" s="0" t="s">
        <v>9664</v>
      </c>
      <c r="AU1006" s="0" t="s">
        <v>892</v>
      </c>
      <c r="AY1006" s="0" t="s">
        <v>9684</v>
      </c>
      <c r="AZ1006" s="0" t="s">
        <v>9685</v>
      </c>
      <c r="BU1006" s="0" t="s">
        <v>9686</v>
      </c>
      <c r="BX1006" s="0" t="s">
        <v>9687</v>
      </c>
      <c r="BY1006" s="0" t="s">
        <v>9688</v>
      </c>
      <c r="BZ1006" s="0" t="s">
        <v>326</v>
      </c>
      <c r="CI1006" s="0" t="s">
        <v>9687</v>
      </c>
      <c r="CJ1006" s="0" t="s">
        <v>9689</v>
      </c>
      <c r="CO1006" s="0" t="s">
        <v>9677</v>
      </c>
    </row>
    <row r="1007" customFormat="false" ht="12.8" hidden="false" customHeight="false" outlineLevel="0" collapsed="false">
      <c r="B1007" s="0" t="s">
        <v>9690</v>
      </c>
      <c r="E1007" s="0" t="s">
        <v>9691</v>
      </c>
      <c r="F1007" s="0" t="s">
        <v>192</v>
      </c>
      <c r="G1007" s="0" t="s">
        <v>102</v>
      </c>
      <c r="L1007" s="0" t="str">
        <f aca="false">"1763"</f>
        <v>1763</v>
      </c>
      <c r="M1007" s="0" t="s">
        <v>448</v>
      </c>
      <c r="O1007" s="0" t="s">
        <v>9692</v>
      </c>
      <c r="T1007" s="0" t="s">
        <v>4466</v>
      </c>
      <c r="AP1007" s="0" t="s">
        <v>4463</v>
      </c>
      <c r="AQ1007" s="0" t="s">
        <v>9693</v>
      </c>
      <c r="AY1007" s="0" t="s">
        <v>9694</v>
      </c>
      <c r="CJ1007" s="0" t="s">
        <v>9695</v>
      </c>
      <c r="CO1007" s="0" t="s">
        <v>9690</v>
      </c>
    </row>
    <row r="1008" customFormat="false" ht="65" hidden="false" customHeight="false" outlineLevel="0" collapsed="false">
      <c r="A1008" s="0" t="s">
        <v>326</v>
      </c>
      <c r="B1008" s="0" t="s">
        <v>9677</v>
      </c>
      <c r="C1008" s="0" t="s">
        <v>1213</v>
      </c>
      <c r="D1008" s="0" t="s">
        <v>1214</v>
      </c>
      <c r="E1008" s="0" t="s">
        <v>9688</v>
      </c>
      <c r="L1008" s="0" t="str">
        <f aca="false">"1738"</f>
        <v>1738</v>
      </c>
      <c r="M1008" s="1" t="s">
        <v>9696</v>
      </c>
      <c r="O1008" s="1" t="s">
        <v>9697</v>
      </c>
      <c r="T1008" s="0" t="s">
        <v>1150</v>
      </c>
      <c r="W1008" s="0" t="s">
        <v>9683</v>
      </c>
      <c r="AA1008" s="0" t="s">
        <v>9698</v>
      </c>
      <c r="AB1008" s="0" t="s">
        <v>9699</v>
      </c>
      <c r="AO1008" s="0" t="s">
        <v>3871</v>
      </c>
      <c r="AQ1008" s="0" t="s">
        <v>9700</v>
      </c>
      <c r="AT1008" s="0" t="s">
        <v>9664</v>
      </c>
      <c r="AU1008" s="0" t="s">
        <v>892</v>
      </c>
      <c r="AZ1008" s="0" t="s">
        <v>9684</v>
      </c>
      <c r="BS1008" s="0" t="s">
        <v>9701</v>
      </c>
      <c r="BT1008" s="0" t="str">
        <f aca="false">"5"</f>
        <v>5</v>
      </c>
      <c r="BX1008" s="1" t="s">
        <v>9702</v>
      </c>
      <c r="BY1008" s="0" t="s">
        <v>9703</v>
      </c>
      <c r="CF1008" s="0" t="s">
        <v>9704</v>
      </c>
      <c r="CG1008" s="0" t="s">
        <v>123</v>
      </c>
      <c r="CH1008" s="0" t="s">
        <v>342</v>
      </c>
      <c r="CI1008" s="1" t="s">
        <v>9702</v>
      </c>
      <c r="CL1008" s="0" t="s">
        <v>9705</v>
      </c>
      <c r="CM1008" s="0" t="s">
        <v>9705</v>
      </c>
      <c r="CQ1008" s="0" t="s">
        <v>9706</v>
      </c>
      <c r="CR1008" s="0" t="s">
        <v>9707</v>
      </c>
    </row>
    <row r="1009" customFormat="false" ht="43.75" hidden="false" customHeight="false" outlineLevel="0" collapsed="false">
      <c r="A1009" s="0" t="s">
        <v>326</v>
      </c>
      <c r="B1009" s="0" t="s">
        <v>9708</v>
      </c>
      <c r="C1009" s="0" t="s">
        <v>1213</v>
      </c>
      <c r="D1009" s="0" t="s">
        <v>1214</v>
      </c>
      <c r="E1009" s="0" t="s">
        <v>9709</v>
      </c>
      <c r="L1009" s="0" t="str">
        <f aca="false">"1738"</f>
        <v>1738</v>
      </c>
      <c r="M1009" s="1" t="s">
        <v>9710</v>
      </c>
      <c r="O1009" s="1" t="s">
        <v>9711</v>
      </c>
      <c r="U1009" s="1" t="s">
        <v>9712</v>
      </c>
      <c r="V1009" s="1" t="s">
        <v>9713</v>
      </c>
      <c r="AA1009" s="0" t="s">
        <v>9698</v>
      </c>
      <c r="AB1009" s="0" t="s">
        <v>9699</v>
      </c>
      <c r="AO1009" s="0" t="s">
        <v>3871</v>
      </c>
      <c r="AQ1009" s="0" t="s">
        <v>9714</v>
      </c>
      <c r="AR1009" s="0" t="str">
        <f aca="false">"6"</f>
        <v>6</v>
      </c>
      <c r="AT1009" s="0" t="s">
        <v>9664</v>
      </c>
      <c r="AU1009" s="0" t="s">
        <v>892</v>
      </c>
      <c r="AZ1009" s="0" t="s">
        <v>9715</v>
      </c>
      <c r="BS1009" s="0" t="s">
        <v>9701</v>
      </c>
      <c r="BT1009" s="0" t="str">
        <f aca="false">"5"</f>
        <v>5</v>
      </c>
      <c r="BX1009" s="1" t="s">
        <v>9716</v>
      </c>
      <c r="BY1009" s="0" t="s">
        <v>9703</v>
      </c>
      <c r="CF1009" s="0" t="s">
        <v>9717</v>
      </c>
      <c r="CG1009" s="0" t="s">
        <v>123</v>
      </c>
      <c r="CH1009" s="0" t="s">
        <v>342</v>
      </c>
      <c r="CI1009" s="1" t="s">
        <v>9716</v>
      </c>
      <c r="CJ1009" s="1" t="s">
        <v>9718</v>
      </c>
      <c r="CL1009" s="0" t="s">
        <v>9719</v>
      </c>
      <c r="CM1009" s="0" t="s">
        <v>9719</v>
      </c>
      <c r="CO1009" s="1" t="s">
        <v>9720</v>
      </c>
      <c r="CR1009" s="0" t="s">
        <v>9721</v>
      </c>
    </row>
    <row r="1010" customFormat="false" ht="65" hidden="false" customHeight="false" outlineLevel="0" collapsed="false">
      <c r="A1010" s="0" t="s">
        <v>2200</v>
      </c>
      <c r="B1010" s="0" t="s">
        <v>9722</v>
      </c>
      <c r="C1010" s="0" t="s">
        <v>3456</v>
      </c>
      <c r="D1010" s="0" t="s">
        <v>3457</v>
      </c>
      <c r="E1010" s="0" t="s">
        <v>9723</v>
      </c>
      <c r="L1010" s="0" t="str">
        <f aca="false">"1765"</f>
        <v>1765</v>
      </c>
      <c r="M1010" s="0" t="s">
        <v>870</v>
      </c>
      <c r="O1010" s="0" t="s">
        <v>9724</v>
      </c>
      <c r="R1010" s="0" t="s">
        <v>9725</v>
      </c>
      <c r="T1010" s="0" t="s">
        <v>9726</v>
      </c>
      <c r="AB1010" s="0" t="s">
        <v>9727</v>
      </c>
      <c r="AT1010" s="0" t="s">
        <v>338</v>
      </c>
      <c r="AU1010" s="0" t="s">
        <v>872</v>
      </c>
      <c r="BX1010" s="1" t="s">
        <v>9728</v>
      </c>
      <c r="CF1010" s="1" t="s">
        <v>9729</v>
      </c>
      <c r="CG1010" s="0" t="s">
        <v>123</v>
      </c>
      <c r="CH1010" s="0" t="s">
        <v>342</v>
      </c>
      <c r="CI1010" s="1" t="s">
        <v>9728</v>
      </c>
      <c r="CJ1010" s="0" t="s">
        <v>9730</v>
      </c>
      <c r="CL1010" s="1" t="s">
        <v>9731</v>
      </c>
      <c r="CM1010" s="1" t="s">
        <v>9731</v>
      </c>
      <c r="CO1010" s="0" t="s">
        <v>9732</v>
      </c>
      <c r="CR1010" s="0" t="s">
        <v>9733</v>
      </c>
    </row>
    <row r="1011" customFormat="false" ht="12.8" hidden="false" customHeight="false" outlineLevel="0" collapsed="false">
      <c r="A1011" s="0" t="s">
        <v>2200</v>
      </c>
      <c r="B1011" s="0" t="s">
        <v>9734</v>
      </c>
      <c r="C1011" s="0" t="s">
        <v>2347</v>
      </c>
      <c r="D1011" s="0" t="s">
        <v>329</v>
      </c>
      <c r="E1011" s="0" t="s">
        <v>9735</v>
      </c>
      <c r="L1011" s="0" t="str">
        <f aca="false">"1710"</f>
        <v>1710</v>
      </c>
      <c r="M1011" s="0" t="s">
        <v>870</v>
      </c>
      <c r="O1011" s="0" t="s">
        <v>9736</v>
      </c>
      <c r="R1011" s="0" t="s">
        <v>9737</v>
      </c>
      <c r="T1011" s="0" t="s">
        <v>329</v>
      </c>
      <c r="AB1011" s="0" t="s">
        <v>9738</v>
      </c>
      <c r="AG1011" s="0" t="s">
        <v>4585</v>
      </c>
      <c r="AH1011" s="0" t="s">
        <v>2147</v>
      </c>
      <c r="AI1011" s="0" t="s">
        <v>9739</v>
      </c>
      <c r="AO1011" s="0" t="s">
        <v>3883</v>
      </c>
      <c r="AT1011" s="0" t="s">
        <v>338</v>
      </c>
      <c r="AU1011" s="0" t="s">
        <v>872</v>
      </c>
      <c r="AY1011" s="0" t="s">
        <v>9740</v>
      </c>
      <c r="CJ1011" s="0" t="s">
        <v>9741</v>
      </c>
      <c r="CO1011" s="0" t="s">
        <v>9742</v>
      </c>
    </row>
    <row r="1012" customFormat="false" ht="43.75" hidden="false" customHeight="false" outlineLevel="0" collapsed="false">
      <c r="A1012" s="0" t="s">
        <v>3013</v>
      </c>
      <c r="B1012" s="0" t="s">
        <v>9743</v>
      </c>
      <c r="C1012" s="0" t="s">
        <v>98</v>
      </c>
      <c r="D1012" s="0" t="s">
        <v>99</v>
      </c>
      <c r="E1012" s="0" t="s">
        <v>9744</v>
      </c>
      <c r="F1012" s="0" t="s">
        <v>9745</v>
      </c>
      <c r="G1012" s="0" t="s">
        <v>256</v>
      </c>
      <c r="L1012" s="0" t="str">
        <f aca="false">"1765"</f>
        <v>1765</v>
      </c>
      <c r="M1012" s="1" t="s">
        <v>9746</v>
      </c>
      <c r="O1012" s="1" t="s">
        <v>9747</v>
      </c>
      <c r="T1012" s="0" t="s">
        <v>99</v>
      </c>
      <c r="U1012" s="1" t="s">
        <v>9748</v>
      </c>
      <c r="V1012" s="1" t="s">
        <v>9749</v>
      </c>
      <c r="AD1012" s="1" t="s">
        <v>557</v>
      </c>
      <c r="AE1012" s="1" t="s">
        <v>9750</v>
      </c>
      <c r="AF1012" s="1" t="s">
        <v>263</v>
      </c>
      <c r="AT1012" s="0" t="s">
        <v>1352</v>
      </c>
      <c r="AU1012" s="0" t="s">
        <v>112</v>
      </c>
      <c r="BD1012" s="1" t="s">
        <v>9751</v>
      </c>
      <c r="BE1012" s="1" t="s">
        <v>9752</v>
      </c>
      <c r="BF1012" s="1" t="s">
        <v>9753</v>
      </c>
      <c r="BJ1012" s="1" t="s">
        <v>229</v>
      </c>
      <c r="BK1012" s="1" t="s">
        <v>267</v>
      </c>
      <c r="BL1012" s="1" t="s">
        <v>9754</v>
      </c>
      <c r="BM1012" s="0" t="s">
        <v>560</v>
      </c>
      <c r="BN1012" s="0" t="s">
        <v>563</v>
      </c>
      <c r="BO1012" s="0" t="str">
        <f aca="false">"5"</f>
        <v>5</v>
      </c>
      <c r="BU1012" s="0" t="s">
        <v>9755</v>
      </c>
      <c r="BW1012" s="0" t="s">
        <v>9756</v>
      </c>
      <c r="BX1012" s="1" t="s">
        <v>9757</v>
      </c>
      <c r="CE1012" s="0" t="s">
        <v>641</v>
      </c>
      <c r="CH1012" s="0" t="s">
        <v>298</v>
      </c>
      <c r="CI1012" s="1" t="s">
        <v>9757</v>
      </c>
      <c r="CJ1012" s="1" t="s">
        <v>9758</v>
      </c>
      <c r="CO1012" s="1" t="s">
        <v>9759</v>
      </c>
      <c r="CR1012" s="0" t="s">
        <v>9760</v>
      </c>
    </row>
    <row r="1013" customFormat="false" ht="54.35" hidden="false" customHeight="false" outlineLevel="0" collapsed="false">
      <c r="A1013" s="0" t="s">
        <v>252</v>
      </c>
      <c r="B1013" s="0" t="s">
        <v>9761</v>
      </c>
      <c r="C1013" s="0" t="s">
        <v>98</v>
      </c>
      <c r="D1013" s="0" t="s">
        <v>99</v>
      </c>
      <c r="E1013" s="0" t="s">
        <v>9762</v>
      </c>
      <c r="F1013" s="0" t="s">
        <v>9745</v>
      </c>
      <c r="G1013" s="0" t="s">
        <v>529</v>
      </c>
      <c r="L1013" s="0" t="str">
        <f aca="false">"1650"</f>
        <v>1650</v>
      </c>
      <c r="U1013" s="1" t="s">
        <v>9763</v>
      </c>
      <c r="V1013" s="1" t="s">
        <v>9764</v>
      </c>
      <c r="AD1013" s="1" t="s">
        <v>557</v>
      </c>
      <c r="AE1013" s="1" t="s">
        <v>9765</v>
      </c>
      <c r="AF1013" s="1" t="s">
        <v>263</v>
      </c>
      <c r="AT1013" s="0" t="s">
        <v>1352</v>
      </c>
      <c r="AU1013" s="0" t="s">
        <v>112</v>
      </c>
      <c r="BJ1013" s="1" t="s">
        <v>229</v>
      </c>
      <c r="BK1013" s="1" t="s">
        <v>9766</v>
      </c>
      <c r="BL1013" s="1" t="s">
        <v>9767</v>
      </c>
      <c r="BM1013" s="0" t="s">
        <v>541</v>
      </c>
      <c r="BN1013" s="0" t="s">
        <v>563</v>
      </c>
      <c r="BO1013" s="0" t="str">
        <f aca="false">"11"</f>
        <v>11</v>
      </c>
      <c r="BU1013" s="0" t="s">
        <v>9768</v>
      </c>
      <c r="BX1013" s="1" t="s">
        <v>9769</v>
      </c>
      <c r="CE1013" s="0" t="s">
        <v>641</v>
      </c>
      <c r="CH1013" s="0" t="s">
        <v>298</v>
      </c>
      <c r="CI1013" s="1" t="s">
        <v>9769</v>
      </c>
      <c r="CJ1013" s="1" t="s">
        <v>9770</v>
      </c>
      <c r="CO1013" s="1" t="s">
        <v>9771</v>
      </c>
      <c r="CR1013" s="0" t="s">
        <v>9772</v>
      </c>
    </row>
    <row r="1014" customFormat="false" ht="12.8" hidden="false" customHeight="false" outlineLevel="0" collapsed="false">
      <c r="A1014" s="0" t="s">
        <v>96</v>
      </c>
      <c r="B1014" s="0" t="s">
        <v>9773</v>
      </c>
      <c r="C1014" s="0" t="s">
        <v>397</v>
      </c>
      <c r="D1014" s="0" t="s">
        <v>398</v>
      </c>
      <c r="E1014" s="0" t="s">
        <v>9774</v>
      </c>
      <c r="L1014" s="0" t="str">
        <f aca="false">"1763"</f>
        <v>1763</v>
      </c>
      <c r="M1014" s="0" t="s">
        <v>5138</v>
      </c>
      <c r="O1014" s="0" t="s">
        <v>9775</v>
      </c>
      <c r="T1014" s="0" t="s">
        <v>398</v>
      </c>
      <c r="AB1014" s="0" t="s">
        <v>9776</v>
      </c>
      <c r="AD1014" s="0" t="s">
        <v>136</v>
      </c>
      <c r="AE1014" s="0" t="s">
        <v>9777</v>
      </c>
      <c r="AF1014" s="0" t="s">
        <v>109</v>
      </c>
      <c r="AT1014" s="0" t="s">
        <v>906</v>
      </c>
      <c r="AU1014" s="0" t="s">
        <v>5389</v>
      </c>
      <c r="AV1014" s="0" t="s">
        <v>113</v>
      </c>
      <c r="BC1014" s="0" t="str">
        <f aca="false">"898588405"</f>
        <v>898588405</v>
      </c>
      <c r="BW1014" s="0" t="s">
        <v>9778</v>
      </c>
      <c r="BX1014" s="0" t="s">
        <v>9779</v>
      </c>
      <c r="CI1014" s="0" t="s">
        <v>9779</v>
      </c>
      <c r="CJ1014" s="0" t="s">
        <v>9780</v>
      </c>
      <c r="CO1014" s="0" t="s">
        <v>9773</v>
      </c>
    </row>
    <row r="1015" customFormat="false" ht="12.8" hidden="false" customHeight="false" outlineLevel="0" collapsed="false">
      <c r="A1015" s="0" t="s">
        <v>96</v>
      </c>
      <c r="B1015" s="0" t="s">
        <v>9781</v>
      </c>
      <c r="C1015" s="0" t="s">
        <v>397</v>
      </c>
      <c r="D1015" s="0" t="s">
        <v>398</v>
      </c>
      <c r="E1015" s="0" t="s">
        <v>9782</v>
      </c>
      <c r="K1015" s="0" t="s">
        <v>9783</v>
      </c>
      <c r="M1015" s="0" t="s">
        <v>5138</v>
      </c>
      <c r="O1015" s="0" t="s">
        <v>3305</v>
      </c>
      <c r="AB1015" s="0" t="s">
        <v>9784</v>
      </c>
      <c r="AD1015" s="0" t="s">
        <v>136</v>
      </c>
      <c r="AE1015" s="0" t="s">
        <v>9785</v>
      </c>
      <c r="AF1015" s="0" t="s">
        <v>109</v>
      </c>
      <c r="AT1015" s="0" t="s">
        <v>1200</v>
      </c>
      <c r="AU1015" s="0" t="s">
        <v>892</v>
      </c>
      <c r="AV1015" s="0" t="s">
        <v>113</v>
      </c>
      <c r="AY1015" s="0" t="s">
        <v>9786</v>
      </c>
      <c r="AZ1015" s="0" t="s">
        <v>9787</v>
      </c>
      <c r="BC1015" s="0" t="s">
        <v>9788</v>
      </c>
      <c r="BU1015" s="0" t="s">
        <v>9789</v>
      </c>
      <c r="BW1015" s="0" t="s">
        <v>9790</v>
      </c>
      <c r="BX1015" s="0" t="s">
        <v>9791</v>
      </c>
      <c r="CI1015" s="0" t="s">
        <v>9791</v>
      </c>
      <c r="CJ1015" s="0" t="s">
        <v>9792</v>
      </c>
      <c r="CO1015" s="0" t="s">
        <v>9781</v>
      </c>
    </row>
    <row r="1016" customFormat="false" ht="12.8" hidden="false" customHeight="false" outlineLevel="0" collapsed="false">
      <c r="A1016" s="0" t="s">
        <v>96</v>
      </c>
      <c r="B1016" s="0" t="s">
        <v>9793</v>
      </c>
      <c r="C1016" s="0" t="s">
        <v>397</v>
      </c>
      <c r="D1016" s="0" t="s">
        <v>398</v>
      </c>
      <c r="E1016" s="0" t="s">
        <v>9794</v>
      </c>
      <c r="F1016" s="0" t="s">
        <v>219</v>
      </c>
      <c r="L1016" s="0" t="str">
        <f aca="false">"1763"</f>
        <v>1763</v>
      </c>
      <c r="AB1016" s="0" t="s">
        <v>9795</v>
      </c>
      <c r="AD1016" s="0" t="s">
        <v>136</v>
      </c>
      <c r="AE1016" s="0" t="s">
        <v>9796</v>
      </c>
      <c r="AF1016" s="0" t="s">
        <v>109</v>
      </c>
      <c r="AT1016" s="0" t="s">
        <v>906</v>
      </c>
      <c r="AU1016" s="0" t="s">
        <v>892</v>
      </c>
      <c r="AV1016" s="0" t="s">
        <v>113</v>
      </c>
      <c r="BC1016" s="2" t="s">
        <v>9797</v>
      </c>
      <c r="BW1016" s="0" t="s">
        <v>9798</v>
      </c>
      <c r="BX1016" s="0" t="s">
        <v>9799</v>
      </c>
      <c r="CI1016" s="0" t="s">
        <v>9799</v>
      </c>
      <c r="CJ1016" s="0" t="s">
        <v>9800</v>
      </c>
      <c r="CO1016" s="0" t="s">
        <v>9793</v>
      </c>
    </row>
    <row r="1017" customFormat="false" ht="22.5" hidden="false" customHeight="false" outlineLevel="0" collapsed="false">
      <c r="A1017" s="0" t="s">
        <v>445</v>
      </c>
      <c r="B1017" s="0" t="s">
        <v>9801</v>
      </c>
      <c r="C1017" s="0" t="s">
        <v>224</v>
      </c>
      <c r="D1017" s="0" t="s">
        <v>225</v>
      </c>
      <c r="E1017" s="0" t="s">
        <v>9802</v>
      </c>
      <c r="L1017" s="0" t="str">
        <f aca="false">"1718"</f>
        <v>1718</v>
      </c>
      <c r="M1017" s="1" t="s">
        <v>898</v>
      </c>
      <c r="O1017" s="1" t="s">
        <v>9803</v>
      </c>
      <c r="T1017" s="0" t="s">
        <v>1164</v>
      </c>
      <c r="AD1017" s="0" t="s">
        <v>136</v>
      </c>
      <c r="AE1017" s="0" t="s">
        <v>9804</v>
      </c>
      <c r="AF1017" s="0" t="s">
        <v>109</v>
      </c>
      <c r="AT1017" s="0" t="s">
        <v>906</v>
      </c>
      <c r="AU1017" s="0" t="s">
        <v>892</v>
      </c>
      <c r="AV1017" s="0" t="s">
        <v>113</v>
      </c>
      <c r="AZ1017" s="0" t="s">
        <v>9805</v>
      </c>
      <c r="BC1017" s="0" t="str">
        <f aca="false">"859826783"</f>
        <v>859826783</v>
      </c>
      <c r="CC1017" s="0" t="s">
        <v>9806</v>
      </c>
      <c r="CJ1017" s="0" t="s">
        <v>9807</v>
      </c>
      <c r="CO1017" s="0" t="s">
        <v>9808</v>
      </c>
    </row>
    <row r="1018" customFormat="false" ht="22.5" hidden="false" customHeight="false" outlineLevel="0" collapsed="false">
      <c r="A1018" s="0" t="s">
        <v>445</v>
      </c>
      <c r="B1018" s="0" t="s">
        <v>9809</v>
      </c>
      <c r="C1018" s="0" t="s">
        <v>224</v>
      </c>
      <c r="D1018" s="0" t="s">
        <v>225</v>
      </c>
      <c r="E1018" s="0" t="s">
        <v>9810</v>
      </c>
      <c r="L1018" s="0" t="str">
        <f aca="false">"1718"</f>
        <v>1718</v>
      </c>
      <c r="M1018" s="1" t="s">
        <v>898</v>
      </c>
      <c r="O1018" s="1" t="s">
        <v>9811</v>
      </c>
      <c r="T1018" s="0" t="s">
        <v>2718</v>
      </c>
      <c r="AB1018" s="0" t="s">
        <v>9812</v>
      </c>
      <c r="AS1018" s="0" t="s">
        <v>1139</v>
      </c>
      <c r="AT1018" s="0" t="s">
        <v>906</v>
      </c>
      <c r="AU1018" s="0" t="s">
        <v>892</v>
      </c>
      <c r="BC1018" s="0" t="str">
        <f aca="false">"769025501"</f>
        <v>769025501</v>
      </c>
      <c r="BX1018" s="0" t="s">
        <v>9813</v>
      </c>
      <c r="CI1018" s="0" t="s">
        <v>9813</v>
      </c>
      <c r="CJ1018" s="0" t="s">
        <v>9814</v>
      </c>
      <c r="CO1018" s="0" t="s">
        <v>9815</v>
      </c>
    </row>
    <row r="1019" customFormat="false" ht="86.25" hidden="false" customHeight="false" outlineLevel="0" collapsed="false">
      <c r="A1019" s="0" t="s">
        <v>5104</v>
      </c>
      <c r="B1019" s="0" t="s">
        <v>9816</v>
      </c>
      <c r="C1019" s="0" t="s">
        <v>98</v>
      </c>
      <c r="D1019" s="0" t="s">
        <v>99</v>
      </c>
      <c r="E1019" s="0" t="s">
        <v>9817</v>
      </c>
      <c r="F1019" s="1" t="s">
        <v>9818</v>
      </c>
      <c r="G1019" s="1" t="s">
        <v>9819</v>
      </c>
      <c r="H1019" s="0" t="s">
        <v>102</v>
      </c>
      <c r="L1019" s="0" t="str">
        <f aca="false">"1801"</f>
        <v>1801</v>
      </c>
      <c r="M1019" s="0" t="s">
        <v>1243</v>
      </c>
      <c r="O1019" s="0" t="s">
        <v>9820</v>
      </c>
      <c r="T1019" s="0" t="s">
        <v>398</v>
      </c>
      <c r="U1019" s="1" t="s">
        <v>9821</v>
      </c>
      <c r="V1019" s="1" t="s">
        <v>9822</v>
      </c>
      <c r="AD1019" s="1" t="s">
        <v>1260</v>
      </c>
      <c r="AE1019" s="1" t="s">
        <v>9823</v>
      </c>
      <c r="AF1019" s="0" t="s">
        <v>109</v>
      </c>
      <c r="AT1019" s="0" t="s">
        <v>1352</v>
      </c>
      <c r="AU1019" s="0" t="s">
        <v>112</v>
      </c>
      <c r="AY1019" s="0" t="s">
        <v>9824</v>
      </c>
      <c r="BD1019" s="0" t="s">
        <v>140</v>
      </c>
      <c r="BE1019" s="0" t="s">
        <v>9825</v>
      </c>
      <c r="BF1019" s="0" t="s">
        <v>9826</v>
      </c>
      <c r="BU1019" s="1" t="s">
        <v>9827</v>
      </c>
      <c r="BX1019" s="0" t="s">
        <v>9828</v>
      </c>
      <c r="CF1019" s="0" t="s">
        <v>9829</v>
      </c>
      <c r="CG1019" s="0" t="s">
        <v>123</v>
      </c>
      <c r="CH1019" s="0" t="s">
        <v>342</v>
      </c>
      <c r="CI1019" s="0" t="s">
        <v>9828</v>
      </c>
      <c r="CJ1019" s="0" t="s">
        <v>9830</v>
      </c>
      <c r="CL1019" s="0" t="s">
        <v>9831</v>
      </c>
      <c r="CM1019" s="0" t="s">
        <v>9831</v>
      </c>
      <c r="CO1019" s="0" t="s">
        <v>9816</v>
      </c>
      <c r="CR1019" s="0" t="s">
        <v>9832</v>
      </c>
    </row>
    <row r="1020" customFormat="false" ht="12.8" hidden="false" customHeight="false" outlineLevel="0" collapsed="false">
      <c r="A1020" s="0" t="s">
        <v>445</v>
      </c>
      <c r="B1020" s="0" t="s">
        <v>9833</v>
      </c>
      <c r="C1020" s="0" t="s">
        <v>224</v>
      </c>
      <c r="D1020" s="0" t="s">
        <v>225</v>
      </c>
      <c r="E1020" s="0" t="s">
        <v>9834</v>
      </c>
      <c r="L1020" s="0" t="str">
        <f aca="false">"1632"</f>
        <v>1632</v>
      </c>
      <c r="Z1020" s="0" t="s">
        <v>9835</v>
      </c>
      <c r="AB1020" s="0" t="s">
        <v>9836</v>
      </c>
      <c r="AS1020" s="0" t="s">
        <v>3214</v>
      </c>
      <c r="AT1020" s="0" t="s">
        <v>906</v>
      </c>
      <c r="AU1020" s="0" t="s">
        <v>892</v>
      </c>
      <c r="AY1020" s="0" t="s">
        <v>9837</v>
      </c>
      <c r="BC1020" s="2" t="s">
        <v>9838</v>
      </c>
      <c r="BX1020" s="0" t="s">
        <v>9839</v>
      </c>
      <c r="CI1020" s="0" t="s">
        <v>9839</v>
      </c>
      <c r="CJ1020" s="0" t="s">
        <v>9840</v>
      </c>
      <c r="CO1020" s="0" t="s">
        <v>9833</v>
      </c>
    </row>
    <row r="1021" customFormat="false" ht="22.5" hidden="false" customHeight="false" outlineLevel="0" collapsed="false">
      <c r="A1021" s="0" t="s">
        <v>445</v>
      </c>
      <c r="B1021" s="0" t="s">
        <v>9841</v>
      </c>
      <c r="C1021" s="0" t="s">
        <v>224</v>
      </c>
      <c r="D1021" s="0" t="s">
        <v>225</v>
      </c>
      <c r="E1021" s="0" t="s">
        <v>9842</v>
      </c>
      <c r="L1021" s="0" t="str">
        <f aca="false">"1665"</f>
        <v>1665</v>
      </c>
      <c r="M1021" s="1" t="s">
        <v>898</v>
      </c>
      <c r="O1021" s="1" t="s">
        <v>9843</v>
      </c>
      <c r="T1021" s="0" t="s">
        <v>7971</v>
      </c>
      <c r="Z1021" s="0" t="s">
        <v>9844</v>
      </c>
      <c r="AS1021" s="0" t="s">
        <v>1116</v>
      </c>
      <c r="AT1021" s="0" t="s">
        <v>906</v>
      </c>
      <c r="AU1021" s="0" t="s">
        <v>892</v>
      </c>
      <c r="AV1021" s="0" t="s">
        <v>113</v>
      </c>
      <c r="AY1021" s="0" t="s">
        <v>9845</v>
      </c>
      <c r="BC1021" s="0" t="str">
        <f aca="false">"535405480"</f>
        <v>535405480</v>
      </c>
      <c r="BX1021" s="0" t="s">
        <v>9846</v>
      </c>
      <c r="CI1021" s="0" t="s">
        <v>9846</v>
      </c>
      <c r="CJ1021" s="0" t="s">
        <v>9847</v>
      </c>
      <c r="CO1021" s="0" t="s">
        <v>9841</v>
      </c>
    </row>
    <row r="1022" customFormat="false" ht="12.8" hidden="false" customHeight="false" outlineLevel="0" collapsed="false">
      <c r="A1022" s="0" t="s">
        <v>445</v>
      </c>
      <c r="B1022" s="0" t="s">
        <v>9848</v>
      </c>
      <c r="C1022" s="0" t="s">
        <v>224</v>
      </c>
      <c r="D1022" s="0" t="s">
        <v>225</v>
      </c>
      <c r="E1022" s="0" t="s">
        <v>9849</v>
      </c>
      <c r="L1022" s="0" t="str">
        <f aca="false">"1677"</f>
        <v>1677</v>
      </c>
      <c r="Z1022" s="0" t="s">
        <v>9850</v>
      </c>
      <c r="AS1022" s="0" t="s">
        <v>2794</v>
      </c>
      <c r="AT1022" s="0" t="s">
        <v>906</v>
      </c>
      <c r="AU1022" s="0" t="s">
        <v>892</v>
      </c>
      <c r="AV1022" s="0" t="s">
        <v>113</v>
      </c>
      <c r="BC1022" s="0" t="str">
        <f aca="false">"535945248"</f>
        <v>535945248</v>
      </c>
      <c r="BX1022" s="0" t="s">
        <v>9851</v>
      </c>
      <c r="CI1022" s="0" t="s">
        <v>9851</v>
      </c>
    </row>
    <row r="1023" customFormat="false" ht="22.5" hidden="false" customHeight="false" outlineLevel="0" collapsed="false">
      <c r="A1023" s="0" t="s">
        <v>445</v>
      </c>
      <c r="B1023" s="0" t="s">
        <v>9852</v>
      </c>
      <c r="C1023" s="0" t="s">
        <v>224</v>
      </c>
      <c r="D1023" s="0" t="s">
        <v>225</v>
      </c>
      <c r="E1023" s="0" t="s">
        <v>9853</v>
      </c>
      <c r="L1023" s="0" t="str">
        <f aca="false">"1660"</f>
        <v>1660</v>
      </c>
      <c r="M1023" s="1" t="s">
        <v>898</v>
      </c>
      <c r="O1023" s="1" t="s">
        <v>9854</v>
      </c>
      <c r="T1023" s="0" t="s">
        <v>225</v>
      </c>
      <c r="U1023" s="0" t="s">
        <v>9855</v>
      </c>
      <c r="Z1023" s="0" t="s">
        <v>9856</v>
      </c>
      <c r="AB1023" s="0" t="s">
        <v>9857</v>
      </c>
      <c r="AS1023" s="0" t="s">
        <v>1710</v>
      </c>
      <c r="AT1023" s="0" t="s">
        <v>906</v>
      </c>
      <c r="AU1023" s="0" t="s">
        <v>892</v>
      </c>
      <c r="BC1023" s="0" t="str">
        <f aca="false">"536692300"</f>
        <v>536692300</v>
      </c>
      <c r="BX1023" s="0" t="s">
        <v>9858</v>
      </c>
      <c r="CI1023" s="0" t="s">
        <v>9858</v>
      </c>
      <c r="CJ1023" s="0" t="s">
        <v>9859</v>
      </c>
      <c r="CO1023" s="0" t="s">
        <v>9852</v>
      </c>
    </row>
    <row r="1024" customFormat="false" ht="33.1" hidden="false" customHeight="false" outlineLevel="0" collapsed="false">
      <c r="A1024" s="0" t="s">
        <v>2200</v>
      </c>
      <c r="B1024" s="0" t="s">
        <v>9860</v>
      </c>
      <c r="C1024" s="0" t="s">
        <v>9861</v>
      </c>
      <c r="D1024" s="0" t="s">
        <v>3457</v>
      </c>
      <c r="E1024" s="0" t="s">
        <v>9862</v>
      </c>
      <c r="L1024" s="0" t="str">
        <f aca="false">"1764"</f>
        <v>1764</v>
      </c>
      <c r="R1024" s="0" t="s">
        <v>9863</v>
      </c>
      <c r="T1024" s="0" t="s">
        <v>3952</v>
      </c>
      <c r="U1024" s="1" t="s">
        <v>9864</v>
      </c>
      <c r="V1024" s="1" t="s">
        <v>9865</v>
      </c>
      <c r="AT1024" s="0" t="s">
        <v>338</v>
      </c>
      <c r="AU1024" s="0" t="s">
        <v>872</v>
      </c>
      <c r="CJ1024" s="0" t="s">
        <v>9866</v>
      </c>
      <c r="CO1024" s="0" t="s">
        <v>9867</v>
      </c>
    </row>
    <row r="1025" customFormat="false" ht="22.5" hidden="false" customHeight="false" outlineLevel="0" collapsed="false">
      <c r="A1025" s="0" t="s">
        <v>445</v>
      </c>
      <c r="B1025" s="0" t="s">
        <v>9868</v>
      </c>
      <c r="C1025" s="0" t="s">
        <v>224</v>
      </c>
      <c r="D1025" s="0" t="s">
        <v>225</v>
      </c>
      <c r="E1025" s="0" t="s">
        <v>9869</v>
      </c>
      <c r="L1025" s="0" t="str">
        <f aca="false">"1650"</f>
        <v>1650</v>
      </c>
      <c r="M1025" s="1" t="s">
        <v>898</v>
      </c>
      <c r="O1025" s="1" t="s">
        <v>9870</v>
      </c>
      <c r="R1025" s="0" t="s">
        <v>9871</v>
      </c>
      <c r="T1025" s="0" t="s">
        <v>930</v>
      </c>
      <c r="Z1025" s="0" t="s">
        <v>9872</v>
      </c>
      <c r="AB1025" s="0" t="s">
        <v>9873</v>
      </c>
      <c r="AS1025" s="0" t="s">
        <v>2012</v>
      </c>
      <c r="AT1025" s="0" t="s">
        <v>906</v>
      </c>
      <c r="AU1025" s="0" t="s">
        <v>892</v>
      </c>
      <c r="BC1025" s="0" t="str">
        <f aca="false">"538802162"</f>
        <v>538802162</v>
      </c>
      <c r="BX1025" s="0" t="s">
        <v>9874</v>
      </c>
      <c r="CI1025" s="0" t="s">
        <v>9874</v>
      </c>
      <c r="CJ1025" s="0" t="s">
        <v>9875</v>
      </c>
      <c r="CO1025" s="0" t="s">
        <v>9868</v>
      </c>
    </row>
    <row r="1026" customFormat="false" ht="22.5" hidden="false" customHeight="false" outlineLevel="0" collapsed="false">
      <c r="A1026" s="0" t="s">
        <v>445</v>
      </c>
      <c r="B1026" s="0" t="s">
        <v>9876</v>
      </c>
      <c r="C1026" s="0" t="s">
        <v>224</v>
      </c>
      <c r="D1026" s="0" t="s">
        <v>225</v>
      </c>
      <c r="E1026" s="0" t="s">
        <v>9877</v>
      </c>
      <c r="L1026" s="0" t="str">
        <f aca="false">"1649"</f>
        <v>1649</v>
      </c>
      <c r="M1026" s="1" t="s">
        <v>193</v>
      </c>
      <c r="O1026" s="1" t="s">
        <v>9878</v>
      </c>
      <c r="T1026" s="0" t="s">
        <v>2688</v>
      </c>
      <c r="U1026" s="0" t="s">
        <v>9879</v>
      </c>
      <c r="Z1026" s="0" t="s">
        <v>9880</v>
      </c>
      <c r="AB1026" s="0" t="s">
        <v>9881</v>
      </c>
      <c r="AS1026" s="0" t="s">
        <v>9882</v>
      </c>
      <c r="AT1026" s="0" t="s">
        <v>906</v>
      </c>
      <c r="AU1026" s="0" t="s">
        <v>892</v>
      </c>
      <c r="AY1026" s="0" t="s">
        <v>9883</v>
      </c>
      <c r="BC1026" s="0" t="s">
        <v>9884</v>
      </c>
      <c r="BX1026" s="0" t="s">
        <v>9885</v>
      </c>
      <c r="CI1026" s="0" t="s">
        <v>9885</v>
      </c>
      <c r="CJ1026" s="0" t="s">
        <v>9886</v>
      </c>
      <c r="CO1026" s="0" t="s">
        <v>9887</v>
      </c>
    </row>
    <row r="1027" customFormat="false" ht="33.1" hidden="false" customHeight="false" outlineLevel="0" collapsed="false">
      <c r="A1027" s="0" t="s">
        <v>880</v>
      </c>
      <c r="B1027" s="0" t="s">
        <v>9888</v>
      </c>
      <c r="C1027" s="0" t="s">
        <v>9889</v>
      </c>
      <c r="D1027" s="0" t="s">
        <v>3457</v>
      </c>
      <c r="E1027" s="0" t="s">
        <v>9890</v>
      </c>
      <c r="L1027" s="0" t="str">
        <f aca="false">"1764"</f>
        <v>1764</v>
      </c>
      <c r="M1027" s="0" t="s">
        <v>2367</v>
      </c>
      <c r="O1027" s="0" t="s">
        <v>9891</v>
      </c>
      <c r="T1027" s="0" t="s">
        <v>3952</v>
      </c>
      <c r="U1027" s="1" t="s">
        <v>9864</v>
      </c>
      <c r="V1027" s="1" t="s">
        <v>9865</v>
      </c>
      <c r="W1027" s="0" t="s">
        <v>9892</v>
      </c>
      <c r="AB1027" s="0" t="s">
        <v>9893</v>
      </c>
      <c r="AT1027" s="0" t="s">
        <v>338</v>
      </c>
      <c r="AU1027" s="0" t="s">
        <v>872</v>
      </c>
      <c r="AY1027" s="0" t="s">
        <v>9894</v>
      </c>
      <c r="BX1027" s="1" t="s">
        <v>9895</v>
      </c>
      <c r="CG1027" s="0" t="s">
        <v>123</v>
      </c>
      <c r="CH1027" s="0" t="s">
        <v>454</v>
      </c>
      <c r="CI1027" s="1" t="s">
        <v>9895</v>
      </c>
      <c r="CJ1027" s="0" t="s">
        <v>9896</v>
      </c>
      <c r="CL1027" s="1" t="s">
        <v>9897</v>
      </c>
      <c r="CM1027" s="1" t="s">
        <v>9897</v>
      </c>
      <c r="CO1027" s="0" t="s">
        <v>9898</v>
      </c>
      <c r="CR1027" s="0" t="s">
        <v>9899</v>
      </c>
    </row>
    <row r="1028" customFormat="false" ht="22.5" hidden="false" customHeight="false" outlineLevel="0" collapsed="false">
      <c r="A1028" s="0" t="s">
        <v>445</v>
      </c>
      <c r="B1028" s="0" t="s">
        <v>9900</v>
      </c>
      <c r="C1028" s="0" t="s">
        <v>224</v>
      </c>
      <c r="D1028" s="0" t="s">
        <v>225</v>
      </c>
      <c r="E1028" s="0" t="s">
        <v>9901</v>
      </c>
      <c r="L1028" s="0" t="str">
        <f aca="false">"1648"</f>
        <v>1648</v>
      </c>
      <c r="M1028" s="1" t="s">
        <v>898</v>
      </c>
      <c r="O1028" s="1" t="s">
        <v>9902</v>
      </c>
      <c r="T1028" s="0" t="s">
        <v>225</v>
      </c>
      <c r="Z1028" s="0" t="s">
        <v>9903</v>
      </c>
      <c r="AB1028" s="0" t="s">
        <v>9904</v>
      </c>
      <c r="AS1028" s="0" t="s">
        <v>1139</v>
      </c>
      <c r="AT1028" s="0" t="s">
        <v>906</v>
      </c>
      <c r="AU1028" s="0" t="s">
        <v>892</v>
      </c>
      <c r="BC1028" s="0" t="str">
        <f aca="false">"571117988"</f>
        <v>571117988</v>
      </c>
      <c r="BX1028" s="0" t="s">
        <v>9905</v>
      </c>
      <c r="CI1028" s="0" t="s">
        <v>9905</v>
      </c>
      <c r="CJ1028" s="0" t="s">
        <v>9906</v>
      </c>
      <c r="CO1028" s="0" t="s">
        <v>9900</v>
      </c>
    </row>
    <row r="1029" customFormat="false" ht="33.1" hidden="false" customHeight="false" outlineLevel="0" collapsed="false">
      <c r="A1029" s="0" t="s">
        <v>2200</v>
      </c>
      <c r="B1029" s="0" t="s">
        <v>9907</v>
      </c>
      <c r="C1029" s="0" t="s">
        <v>4585</v>
      </c>
      <c r="D1029" s="0" t="s">
        <v>2147</v>
      </c>
      <c r="E1029" s="0" t="s">
        <v>9908</v>
      </c>
      <c r="L1029" s="0" t="str">
        <f aca="false">"1764"</f>
        <v>1764</v>
      </c>
      <c r="M1029" s="0" t="s">
        <v>870</v>
      </c>
      <c r="O1029" s="0" t="s">
        <v>9909</v>
      </c>
      <c r="R1029" s="0" t="s">
        <v>9910</v>
      </c>
      <c r="T1029" s="0" t="s">
        <v>329</v>
      </c>
      <c r="U1029" s="1" t="s">
        <v>9864</v>
      </c>
      <c r="V1029" s="1" t="s">
        <v>9865</v>
      </c>
      <c r="AB1029" s="1" t="s">
        <v>9911</v>
      </c>
      <c r="AG1029" s="0" t="s">
        <v>2136</v>
      </c>
      <c r="AH1029" s="0" t="s">
        <v>329</v>
      </c>
      <c r="AI1029" s="0" t="s">
        <v>9912</v>
      </c>
      <c r="AT1029" s="0" t="s">
        <v>338</v>
      </c>
      <c r="AU1029" s="0" t="s">
        <v>872</v>
      </c>
      <c r="CJ1029" s="0" t="s">
        <v>9913</v>
      </c>
      <c r="CO1029" s="0" t="s">
        <v>9907</v>
      </c>
    </row>
    <row r="1030" customFormat="false" ht="22.5" hidden="false" customHeight="false" outlineLevel="0" collapsed="false">
      <c r="A1030" s="0" t="s">
        <v>445</v>
      </c>
      <c r="B1030" s="0" t="s">
        <v>9914</v>
      </c>
      <c r="C1030" s="0" t="s">
        <v>242</v>
      </c>
      <c r="D1030" s="0" t="s">
        <v>243</v>
      </c>
      <c r="E1030" s="0" t="s">
        <v>9915</v>
      </c>
      <c r="L1030" s="0" t="str">
        <f aca="false">"1746"</f>
        <v>1746</v>
      </c>
      <c r="M1030" s="0" t="s">
        <v>448</v>
      </c>
      <c r="O1030" s="0" t="s">
        <v>9916</v>
      </c>
      <c r="AA1030" s="0" t="str">
        <f aca="false">"11473282"</f>
        <v>11473282</v>
      </c>
      <c r="AB1030" s="0" t="s">
        <v>9917</v>
      </c>
      <c r="AG1030" s="0" t="s">
        <v>1685</v>
      </c>
      <c r="AH1030" s="0" t="s">
        <v>1686</v>
      </c>
      <c r="AI1030" s="0" t="s">
        <v>9918</v>
      </c>
      <c r="AS1030" s="0" t="s">
        <v>4113</v>
      </c>
      <c r="AT1030" s="0" t="s">
        <v>3623</v>
      </c>
      <c r="AU1030" s="0" t="s">
        <v>872</v>
      </c>
      <c r="AY1030" s="0" t="s">
        <v>9919</v>
      </c>
      <c r="AZ1030" s="0" t="s">
        <v>9920</v>
      </c>
      <c r="BC1030" s="0" t="str">
        <f aca="false">"147715814"</f>
        <v>147715814</v>
      </c>
      <c r="BX1030" s="1" t="s">
        <v>9921</v>
      </c>
      <c r="CI1030" s="1" t="s">
        <v>9921</v>
      </c>
      <c r="CJ1030" s="0" t="s">
        <v>9922</v>
      </c>
      <c r="CO1030" s="0" t="s">
        <v>9914</v>
      </c>
      <c r="CP1030" s="0" t="s">
        <v>9923</v>
      </c>
      <c r="CR1030" s="0" t="s">
        <v>9924</v>
      </c>
    </row>
    <row r="1031" customFormat="false" ht="12.8" hidden="false" customHeight="false" outlineLevel="0" collapsed="false">
      <c r="A1031" s="0" t="s">
        <v>5941</v>
      </c>
      <c r="B1031" s="0" t="s">
        <v>9925</v>
      </c>
      <c r="C1031" s="0" t="s">
        <v>242</v>
      </c>
      <c r="D1031" s="0" t="s">
        <v>243</v>
      </c>
      <c r="E1031" s="0" t="s">
        <v>9926</v>
      </c>
      <c r="F1031" s="0" t="s">
        <v>192</v>
      </c>
      <c r="H1031" s="0" t="s">
        <v>102</v>
      </c>
      <c r="L1031" s="0" t="str">
        <f aca="false">"1746"</f>
        <v>1746</v>
      </c>
      <c r="M1031" s="0" t="s">
        <v>448</v>
      </c>
      <c r="O1031" s="0" t="s">
        <v>9927</v>
      </c>
      <c r="AA1031" s="0" t="str">
        <f aca="false">"11473282"</f>
        <v>11473282</v>
      </c>
      <c r="AB1031" s="0" t="s">
        <v>9928</v>
      </c>
      <c r="AG1031" s="0" t="s">
        <v>1685</v>
      </c>
      <c r="AH1031" s="0" t="s">
        <v>1686</v>
      </c>
      <c r="AI1031" s="0" t="s">
        <v>9918</v>
      </c>
      <c r="AP1031" s="0" t="s">
        <v>9914</v>
      </c>
      <c r="AQ1031" s="0" t="s">
        <v>9929</v>
      </c>
      <c r="AS1031" s="0" t="s">
        <v>9930</v>
      </c>
      <c r="AT1031" s="0" t="s">
        <v>2601</v>
      </c>
      <c r="AU1031" s="0" t="s">
        <v>872</v>
      </c>
      <c r="AY1031" s="0" t="s">
        <v>9931</v>
      </c>
      <c r="BC1031" s="0" t="str">
        <f aca="false">"147715814"</f>
        <v>147715814</v>
      </c>
      <c r="BV1031" s="0" t="s">
        <v>9932</v>
      </c>
      <c r="CJ1031" s="0" t="s">
        <v>9933</v>
      </c>
      <c r="CO1031" s="0" t="s">
        <v>9934</v>
      </c>
    </row>
    <row r="1032" customFormat="false" ht="22.5" hidden="false" customHeight="false" outlineLevel="0" collapsed="false">
      <c r="A1032" s="0" t="s">
        <v>445</v>
      </c>
      <c r="B1032" s="0" t="s">
        <v>9935</v>
      </c>
      <c r="C1032" s="0" t="s">
        <v>242</v>
      </c>
      <c r="D1032" s="0" t="s">
        <v>243</v>
      </c>
      <c r="E1032" s="0" t="s">
        <v>9936</v>
      </c>
      <c r="L1032" s="0" t="str">
        <f aca="false">"1745"</f>
        <v>1745</v>
      </c>
      <c r="M1032" s="1" t="s">
        <v>1148</v>
      </c>
      <c r="O1032" s="1" t="s">
        <v>9937</v>
      </c>
      <c r="T1032" s="0" t="s">
        <v>1050</v>
      </c>
      <c r="AA1032" s="0" t="str">
        <f aca="false">"10140107"</f>
        <v>10140107</v>
      </c>
      <c r="AB1032" s="0" t="s">
        <v>9938</v>
      </c>
      <c r="AS1032" s="0" t="s">
        <v>4346</v>
      </c>
      <c r="AT1032" s="0" t="s">
        <v>906</v>
      </c>
      <c r="AU1032" s="0" t="s">
        <v>892</v>
      </c>
      <c r="AY1032" s="0" t="s">
        <v>9939</v>
      </c>
      <c r="CJ1032" s="0" t="s">
        <v>9940</v>
      </c>
      <c r="CO1032" s="0" t="s">
        <v>9941</v>
      </c>
    </row>
    <row r="1033" customFormat="false" ht="12.8" hidden="false" customHeight="false" outlineLevel="0" collapsed="false">
      <c r="A1033" s="0" t="s">
        <v>445</v>
      </c>
      <c r="B1033" s="0" t="s">
        <v>9942</v>
      </c>
      <c r="C1033" s="0" t="s">
        <v>242</v>
      </c>
      <c r="D1033" s="0" t="s">
        <v>243</v>
      </c>
      <c r="E1033" s="0" t="s">
        <v>9943</v>
      </c>
      <c r="L1033" s="0" t="str">
        <f aca="false">"1707"</f>
        <v>1707</v>
      </c>
      <c r="M1033" s="0" t="s">
        <v>870</v>
      </c>
      <c r="O1033" s="0" t="s">
        <v>9944</v>
      </c>
      <c r="T1033" s="0" t="s">
        <v>1050</v>
      </c>
      <c r="AA1033" s="0" t="str">
        <f aca="false">"11476834"</f>
        <v>11476834</v>
      </c>
      <c r="AB1033" s="0" t="s">
        <v>9945</v>
      </c>
      <c r="AG1033" s="0" t="s">
        <v>1685</v>
      </c>
      <c r="AH1033" s="0" t="s">
        <v>1686</v>
      </c>
      <c r="AI1033" s="0" t="s">
        <v>9946</v>
      </c>
      <c r="AS1033" s="0" t="s">
        <v>4346</v>
      </c>
      <c r="AT1033" s="0" t="s">
        <v>906</v>
      </c>
      <c r="AU1033" s="0" t="s">
        <v>892</v>
      </c>
      <c r="BC1033" s="0" t="str">
        <f aca="false">"265651476"</f>
        <v>265651476</v>
      </c>
      <c r="CJ1033" s="0" t="s">
        <v>9947</v>
      </c>
      <c r="CO1033" s="0" t="s">
        <v>9948</v>
      </c>
    </row>
    <row r="1034" customFormat="false" ht="22.5" hidden="false" customHeight="false" outlineLevel="0" collapsed="false">
      <c r="A1034" s="0" t="s">
        <v>445</v>
      </c>
      <c r="B1034" s="0" t="s">
        <v>9949</v>
      </c>
      <c r="C1034" s="0" t="s">
        <v>1783</v>
      </c>
      <c r="D1034" s="0" t="s">
        <v>1150</v>
      </c>
      <c r="E1034" s="0" t="s">
        <v>9950</v>
      </c>
      <c r="L1034" s="0" t="str">
        <f aca="false">"1746"</f>
        <v>1746</v>
      </c>
      <c r="M1034" s="1" t="s">
        <v>193</v>
      </c>
      <c r="O1034" s="1" t="s">
        <v>9951</v>
      </c>
      <c r="T1034" s="0" t="s">
        <v>5299</v>
      </c>
      <c r="AA1034" s="0" t="str">
        <f aca="false">"13048783"</f>
        <v>13048783</v>
      </c>
      <c r="AB1034" s="0" t="s">
        <v>9952</v>
      </c>
      <c r="AS1034" s="0" t="s">
        <v>9953</v>
      </c>
      <c r="AT1034" s="0" t="s">
        <v>906</v>
      </c>
      <c r="AU1034" s="0" t="s">
        <v>892</v>
      </c>
      <c r="AY1034" s="0" t="s">
        <v>9954</v>
      </c>
      <c r="AZ1034" s="0" t="s">
        <v>9955</v>
      </c>
      <c r="BC1034" s="0" t="str">
        <f aca="false">"837296382"</f>
        <v>837296382</v>
      </c>
      <c r="BV1034" s="0" t="s">
        <v>9956</v>
      </c>
      <c r="CJ1034" s="0" t="s">
        <v>9957</v>
      </c>
      <c r="CO1034" s="0" t="s">
        <v>9949</v>
      </c>
    </row>
    <row r="1035" customFormat="false" ht="12.8" hidden="false" customHeight="false" outlineLevel="0" collapsed="false">
      <c r="A1035" s="0" t="s">
        <v>2200</v>
      </c>
      <c r="B1035" s="0" t="s">
        <v>9958</v>
      </c>
      <c r="C1035" s="0" t="s">
        <v>2202</v>
      </c>
      <c r="D1035" s="0" t="s">
        <v>329</v>
      </c>
      <c r="E1035" s="0" t="s">
        <v>9959</v>
      </c>
      <c r="L1035" s="0" t="str">
        <f aca="false">"1697"</f>
        <v>1697</v>
      </c>
      <c r="M1035" s="0" t="s">
        <v>2367</v>
      </c>
      <c r="O1035" s="0" t="s">
        <v>9960</v>
      </c>
      <c r="R1035" s="0" t="s">
        <v>9961</v>
      </c>
      <c r="T1035" s="0" t="s">
        <v>3471</v>
      </c>
      <c r="AB1035" s="0" t="s">
        <v>9962</v>
      </c>
      <c r="AT1035" s="0" t="s">
        <v>338</v>
      </c>
      <c r="AU1035" s="0" t="s">
        <v>872</v>
      </c>
      <c r="BX1035" s="0" t="s">
        <v>9963</v>
      </c>
      <c r="CG1035" s="0" t="s">
        <v>123</v>
      </c>
      <c r="CH1035" s="0" t="s">
        <v>169</v>
      </c>
      <c r="CI1035" s="0" t="s">
        <v>9963</v>
      </c>
      <c r="CJ1035" s="0" t="s">
        <v>9964</v>
      </c>
      <c r="CL1035" s="0" t="s">
        <v>9965</v>
      </c>
      <c r="CM1035" s="0" t="s">
        <v>9965</v>
      </c>
      <c r="CO1035" s="0" t="s">
        <v>9966</v>
      </c>
      <c r="CR1035" s="0" t="s">
        <v>9967</v>
      </c>
    </row>
    <row r="1036" customFormat="false" ht="22.5" hidden="false" customHeight="false" outlineLevel="0" collapsed="false">
      <c r="A1036" s="0" t="s">
        <v>2200</v>
      </c>
      <c r="E1036" s="0" t="str">
        <f aca="false">"208"</f>
        <v>208</v>
      </c>
      <c r="L1036" s="0" t="str">
        <f aca="false">"1739"</f>
        <v>1739</v>
      </c>
      <c r="M1036" s="0" t="s">
        <v>3905</v>
      </c>
      <c r="O1036" s="0" t="s">
        <v>9968</v>
      </c>
      <c r="R1036" s="0" t="s">
        <v>9969</v>
      </c>
      <c r="T1036" s="0" t="s">
        <v>329</v>
      </c>
      <c r="U1036" s="1" t="s">
        <v>2376</v>
      </c>
      <c r="V1036" s="0" t="s">
        <v>9970</v>
      </c>
      <c r="AB1036" s="0" t="s">
        <v>9971</v>
      </c>
      <c r="AG1036" s="0" t="s">
        <v>4585</v>
      </c>
      <c r="AH1036" s="0" t="s">
        <v>2147</v>
      </c>
      <c r="AI1036" s="0" t="s">
        <v>9972</v>
      </c>
      <c r="AT1036" s="0" t="s">
        <v>338</v>
      </c>
      <c r="AU1036" s="0" t="s">
        <v>872</v>
      </c>
      <c r="CE1036" s="0" t="s">
        <v>9973</v>
      </c>
    </row>
    <row r="1037" customFormat="false" ht="22.5" hidden="false" customHeight="false" outlineLevel="0" collapsed="false">
      <c r="A1037" s="0" t="s">
        <v>190</v>
      </c>
      <c r="B1037" s="0" t="s">
        <v>9974</v>
      </c>
      <c r="C1037" s="0" t="s">
        <v>224</v>
      </c>
      <c r="D1037" s="0" t="s">
        <v>225</v>
      </c>
      <c r="E1037" s="0" t="s">
        <v>9975</v>
      </c>
      <c r="L1037" s="0" t="str">
        <f aca="false">"1984"</f>
        <v>1984</v>
      </c>
      <c r="M1037" s="1" t="s">
        <v>9976</v>
      </c>
      <c r="O1037" s="1" t="s">
        <v>9977</v>
      </c>
      <c r="T1037" s="0" t="s">
        <v>5060</v>
      </c>
      <c r="AS1037" s="0" t="s">
        <v>9978</v>
      </c>
      <c r="AT1037" s="0" t="s">
        <v>906</v>
      </c>
      <c r="AU1037" s="0" t="s">
        <v>892</v>
      </c>
      <c r="BC1037" s="0" t="str">
        <f aca="false">"274484978"</f>
        <v>274484978</v>
      </c>
      <c r="CJ1037" s="0" t="s">
        <v>9979</v>
      </c>
      <c r="CO1037" s="0" t="s">
        <v>9980</v>
      </c>
      <c r="CP1037" s="0" t="s">
        <v>9981</v>
      </c>
    </row>
    <row r="1038" customFormat="false" ht="12.8" hidden="false" customHeight="false" outlineLevel="0" collapsed="false">
      <c r="A1038" s="0" t="s">
        <v>445</v>
      </c>
      <c r="B1038" s="0" t="s">
        <v>9980</v>
      </c>
      <c r="C1038" s="0" t="s">
        <v>224</v>
      </c>
      <c r="D1038" s="0" t="s">
        <v>225</v>
      </c>
      <c r="E1038" s="0" t="s">
        <v>9975</v>
      </c>
      <c r="M1038" s="0" t="s">
        <v>448</v>
      </c>
      <c r="O1038" s="0" t="s">
        <v>6646</v>
      </c>
      <c r="AP1038" s="0" t="s">
        <v>9974</v>
      </c>
      <c r="AQ1038" s="0" t="s">
        <v>9982</v>
      </c>
      <c r="AT1038" s="0" t="s">
        <v>906</v>
      </c>
      <c r="AU1038" s="0" t="s">
        <v>892</v>
      </c>
      <c r="AW1038" s="0" t="s">
        <v>907</v>
      </c>
    </row>
    <row r="1039" customFormat="false" ht="33.1" hidden="false" customHeight="false" outlineLevel="0" collapsed="false">
      <c r="A1039" s="0" t="s">
        <v>326</v>
      </c>
      <c r="B1039" s="0" t="s">
        <v>9983</v>
      </c>
      <c r="C1039" s="0" t="s">
        <v>9984</v>
      </c>
      <c r="D1039" s="0" t="s">
        <v>1346</v>
      </c>
      <c r="E1039" s="0" t="s">
        <v>9985</v>
      </c>
      <c r="L1039" s="0" t="str">
        <f aca="false">"1716"</f>
        <v>1716</v>
      </c>
      <c r="M1039" s="0" t="s">
        <v>2367</v>
      </c>
      <c r="O1039" s="0" t="s">
        <v>9659</v>
      </c>
      <c r="T1039" s="0" t="s">
        <v>1346</v>
      </c>
      <c r="U1039" s="0" t="s">
        <v>9986</v>
      </c>
      <c r="V1039" s="0" t="s">
        <v>9987</v>
      </c>
      <c r="AG1039" s="0" t="s">
        <v>9988</v>
      </c>
      <c r="AH1039" s="0" t="s">
        <v>1625</v>
      </c>
      <c r="AI1039" s="0" t="s">
        <v>9989</v>
      </c>
      <c r="AM1039" s="0" t="s">
        <v>9990</v>
      </c>
      <c r="AT1039" s="0" t="s">
        <v>9664</v>
      </c>
      <c r="AU1039" s="0" t="s">
        <v>892</v>
      </c>
      <c r="BX1039" s="1" t="s">
        <v>9991</v>
      </c>
      <c r="CF1039" s="0" t="s">
        <v>9992</v>
      </c>
      <c r="CG1039" s="0" t="s">
        <v>123</v>
      </c>
      <c r="CH1039" s="0" t="s">
        <v>625</v>
      </c>
      <c r="CI1039" s="1" t="s">
        <v>9991</v>
      </c>
      <c r="CJ1039" s="0" t="s">
        <v>9993</v>
      </c>
      <c r="CL1039" s="0" t="s">
        <v>9994</v>
      </c>
      <c r="CM1039" s="0" t="s">
        <v>9994</v>
      </c>
      <c r="CO1039" s="0" t="s">
        <v>9983</v>
      </c>
      <c r="CR1039" s="0" t="s">
        <v>9995</v>
      </c>
    </row>
    <row r="1040" customFormat="false" ht="22.5" hidden="false" customHeight="false" outlineLevel="0" collapsed="false">
      <c r="A1040" s="0" t="s">
        <v>445</v>
      </c>
      <c r="B1040" s="0" t="s">
        <v>9996</v>
      </c>
      <c r="C1040" s="0" t="s">
        <v>224</v>
      </c>
      <c r="D1040" s="0" t="s">
        <v>225</v>
      </c>
      <c r="E1040" s="0" t="s">
        <v>9997</v>
      </c>
      <c r="L1040" s="0" t="str">
        <f aca="false">"1653"</f>
        <v>1653</v>
      </c>
      <c r="M1040" s="1" t="s">
        <v>898</v>
      </c>
      <c r="O1040" s="1" t="s">
        <v>9998</v>
      </c>
      <c r="T1040" s="0" t="s">
        <v>99</v>
      </c>
      <c r="Z1040" s="0" t="s">
        <v>9999</v>
      </c>
      <c r="AB1040" s="0" t="s">
        <v>10000</v>
      </c>
      <c r="AS1040" s="0" t="s">
        <v>10001</v>
      </c>
      <c r="AT1040" s="0" t="s">
        <v>906</v>
      </c>
      <c r="AU1040" s="0" t="s">
        <v>872</v>
      </c>
      <c r="AY1040" s="0" t="s">
        <v>10002</v>
      </c>
      <c r="BC1040" s="0" t="str">
        <f aca="false">"314844260"</f>
        <v>314844260</v>
      </c>
      <c r="BX1040" s="0" t="s">
        <v>10003</v>
      </c>
      <c r="CI1040" s="0" t="s">
        <v>10003</v>
      </c>
      <c r="CJ1040" s="0" t="s">
        <v>10004</v>
      </c>
      <c r="CO1040" s="0" t="s">
        <v>10005</v>
      </c>
    </row>
    <row r="1041" customFormat="false" ht="361.85" hidden="false" customHeight="false" outlineLevel="0" collapsed="false">
      <c r="A1041" s="0" t="s">
        <v>2200</v>
      </c>
      <c r="B1041" s="0" t="s">
        <v>10006</v>
      </c>
      <c r="C1041" s="0" t="s">
        <v>1213</v>
      </c>
      <c r="D1041" s="0" t="s">
        <v>1214</v>
      </c>
      <c r="E1041" s="0" t="s">
        <v>10007</v>
      </c>
      <c r="L1041" s="0" t="str">
        <f aca="false">"1733"</f>
        <v>1733</v>
      </c>
      <c r="M1041" s="0" t="s">
        <v>2367</v>
      </c>
      <c r="O1041" s="0" t="s">
        <v>9659</v>
      </c>
      <c r="U1041" s="1" t="s">
        <v>10008</v>
      </c>
      <c r="V1041" s="1" t="s">
        <v>10009</v>
      </c>
      <c r="W1041" s="0" t="s">
        <v>10010</v>
      </c>
      <c r="AT1041" s="0" t="s">
        <v>9664</v>
      </c>
      <c r="AU1041" s="0" t="s">
        <v>892</v>
      </c>
      <c r="AZ1041" s="0" t="s">
        <v>10011</v>
      </c>
      <c r="BS1041" s="0" t="s">
        <v>9701</v>
      </c>
      <c r="BT1041" s="0" t="str">
        <f aca="false">"6"</f>
        <v>6</v>
      </c>
      <c r="BX1041" s="1" t="s">
        <v>10012</v>
      </c>
      <c r="CC1041" s="1" t="s">
        <v>10013</v>
      </c>
      <c r="CF1041" s="0" t="s">
        <v>10014</v>
      </c>
      <c r="CG1041" s="0" t="s">
        <v>123</v>
      </c>
      <c r="CH1041" s="1" t="s">
        <v>10015</v>
      </c>
      <c r="CI1041" s="1" t="s">
        <v>10012</v>
      </c>
      <c r="CJ1041" s="0" t="s">
        <v>10016</v>
      </c>
      <c r="CL1041" s="0" t="s">
        <v>10017</v>
      </c>
      <c r="CM1041" s="0" t="s">
        <v>10017</v>
      </c>
      <c r="CO1041" s="0" t="s">
        <v>10006</v>
      </c>
      <c r="CR1041" s="0" t="s">
        <v>10018</v>
      </c>
    </row>
    <row r="1042" customFormat="false" ht="12.8" hidden="false" customHeight="false" outlineLevel="0" collapsed="false">
      <c r="A1042" s="0" t="s">
        <v>5941</v>
      </c>
      <c r="B1042" s="0" t="s">
        <v>10019</v>
      </c>
      <c r="C1042" s="0" t="s">
        <v>224</v>
      </c>
      <c r="D1042" s="0" t="s">
        <v>225</v>
      </c>
      <c r="E1042" s="0" t="s">
        <v>10020</v>
      </c>
      <c r="F1042" s="0" t="s">
        <v>192</v>
      </c>
      <c r="H1042" s="0" t="s">
        <v>102</v>
      </c>
      <c r="M1042" s="0" t="s">
        <v>448</v>
      </c>
      <c r="O1042" s="0" t="s">
        <v>5933</v>
      </c>
      <c r="T1042" s="0" t="s">
        <v>360</v>
      </c>
      <c r="AP1042" s="0" t="s">
        <v>6173</v>
      </c>
      <c r="AQ1042" s="0" t="s">
        <v>10021</v>
      </c>
      <c r="AT1042" s="0" t="s">
        <v>2601</v>
      </c>
      <c r="AU1042" s="0" t="s">
        <v>872</v>
      </c>
      <c r="AY1042" s="0" t="s">
        <v>10022</v>
      </c>
      <c r="AZ1042" s="0" t="s">
        <v>10023</v>
      </c>
      <c r="CJ1042" s="0" t="s">
        <v>10024</v>
      </c>
      <c r="CO1042" s="0" t="s">
        <v>10019</v>
      </c>
    </row>
    <row r="1043" customFormat="false" ht="12.8" hidden="false" customHeight="false" outlineLevel="0" collapsed="false">
      <c r="A1043" s="0" t="s">
        <v>5941</v>
      </c>
      <c r="B1043" s="0" t="s">
        <v>10025</v>
      </c>
      <c r="C1043" s="0" t="s">
        <v>224</v>
      </c>
      <c r="D1043" s="0" t="s">
        <v>225</v>
      </c>
      <c r="E1043" s="0" t="s">
        <v>10026</v>
      </c>
      <c r="F1043" s="0" t="s">
        <v>192</v>
      </c>
      <c r="H1043" s="0" t="s">
        <v>102</v>
      </c>
      <c r="L1043" s="0" t="str">
        <f aca="false">"1658"</f>
        <v>1658</v>
      </c>
      <c r="M1043" s="0" t="s">
        <v>448</v>
      </c>
      <c r="O1043" s="0" t="s">
        <v>5933</v>
      </c>
      <c r="T1043" s="0" t="s">
        <v>360</v>
      </c>
      <c r="AP1043" s="0" t="s">
        <v>6173</v>
      </c>
      <c r="AQ1043" s="0" t="s">
        <v>10027</v>
      </c>
      <c r="AS1043" s="0" t="s">
        <v>6717</v>
      </c>
      <c r="AT1043" s="0" t="s">
        <v>2601</v>
      </c>
      <c r="AU1043" s="0" t="s">
        <v>872</v>
      </c>
      <c r="CJ1043" s="0" t="s">
        <v>10028</v>
      </c>
      <c r="CO1043" s="0" t="s">
        <v>10025</v>
      </c>
    </row>
    <row r="1044" customFormat="false" ht="298.1" hidden="false" customHeight="false" outlineLevel="0" collapsed="false">
      <c r="A1044" s="0" t="s">
        <v>326</v>
      </c>
      <c r="B1044" s="0" t="s">
        <v>10029</v>
      </c>
      <c r="C1044" s="0" t="s">
        <v>5791</v>
      </c>
      <c r="D1044" s="0" t="s">
        <v>1150</v>
      </c>
      <c r="E1044" s="0" t="s">
        <v>10030</v>
      </c>
      <c r="L1044" s="0" t="str">
        <f aca="false">"1755"</f>
        <v>1755</v>
      </c>
      <c r="M1044" s="0" t="s">
        <v>2367</v>
      </c>
      <c r="O1044" s="0" t="s">
        <v>9659</v>
      </c>
      <c r="U1044" s="1" t="s">
        <v>10031</v>
      </c>
      <c r="V1044" s="1" t="s">
        <v>10032</v>
      </c>
      <c r="W1044" s="0" t="s">
        <v>10033</v>
      </c>
      <c r="AG1044" s="0" t="s">
        <v>10034</v>
      </c>
      <c r="AH1044" s="0" t="s">
        <v>247</v>
      </c>
      <c r="AI1044" s="0" t="s">
        <v>10035</v>
      </c>
      <c r="AT1044" s="0" t="s">
        <v>9664</v>
      </c>
      <c r="AU1044" s="0" t="s">
        <v>892</v>
      </c>
      <c r="AZ1044" s="0" t="s">
        <v>10036</v>
      </c>
      <c r="BX1044" s="1" t="s">
        <v>10037</v>
      </c>
      <c r="CC1044" s="1" t="s">
        <v>10038</v>
      </c>
      <c r="CF1044" s="0" t="s">
        <v>10039</v>
      </c>
      <c r="CG1044" s="0" t="s">
        <v>123</v>
      </c>
      <c r="CH1044" s="0" t="s">
        <v>145</v>
      </c>
      <c r="CI1044" s="1" t="s">
        <v>10037</v>
      </c>
      <c r="CJ1044" s="0" t="s">
        <v>10040</v>
      </c>
      <c r="CL1044" s="1" t="s">
        <v>10041</v>
      </c>
      <c r="CM1044" s="1" t="s">
        <v>10041</v>
      </c>
      <c r="CO1044" s="0" t="s">
        <v>10029</v>
      </c>
      <c r="CR1044" s="0" t="s">
        <v>10042</v>
      </c>
    </row>
    <row r="1045" customFormat="false" ht="213.75" hidden="false" customHeight="false" outlineLevel="0" collapsed="false">
      <c r="A1045" s="0" t="s">
        <v>9676</v>
      </c>
      <c r="B1045" s="0" t="s">
        <v>10043</v>
      </c>
      <c r="E1045" s="0" t="s">
        <v>10044</v>
      </c>
      <c r="L1045" s="0" t="str">
        <f aca="false">"1627"</f>
        <v>1627</v>
      </c>
      <c r="M1045" s="0" t="s">
        <v>2367</v>
      </c>
      <c r="O1045" s="0" t="s">
        <v>10045</v>
      </c>
      <c r="U1045" s="1" t="s">
        <v>10046</v>
      </c>
      <c r="V1045" s="1" t="s">
        <v>10047</v>
      </c>
      <c r="AT1045" s="0" t="s">
        <v>9664</v>
      </c>
      <c r="AU1045" s="0" t="s">
        <v>892</v>
      </c>
      <c r="BX1045" s="1" t="s">
        <v>10048</v>
      </c>
      <c r="CC1045" s="1" t="s">
        <v>10049</v>
      </c>
      <c r="CF1045" s="0" t="s">
        <v>10050</v>
      </c>
      <c r="CG1045" s="0" t="s">
        <v>123</v>
      </c>
      <c r="CH1045" s="1" t="s">
        <v>10051</v>
      </c>
      <c r="CI1045" s="1" t="s">
        <v>10048</v>
      </c>
      <c r="CJ1045" s="0" t="s">
        <v>10052</v>
      </c>
      <c r="CL1045" s="0" t="s">
        <v>10053</v>
      </c>
      <c r="CM1045" s="0" t="s">
        <v>10053</v>
      </c>
      <c r="CO1045" s="0" t="s">
        <v>10054</v>
      </c>
      <c r="CR1045" s="0" t="s">
        <v>10055</v>
      </c>
    </row>
    <row r="1046" customFormat="false" ht="12.8" hidden="false" customHeight="false" outlineLevel="0" collapsed="false">
      <c r="A1046" s="0" t="s">
        <v>880</v>
      </c>
      <c r="B1046" s="0" t="s">
        <v>10056</v>
      </c>
      <c r="D1046" s="0" t="s">
        <v>308</v>
      </c>
      <c r="E1046" s="0" t="s">
        <v>10057</v>
      </c>
      <c r="F1046" s="0" t="s">
        <v>884</v>
      </c>
      <c r="G1046" s="0" t="s">
        <v>5549</v>
      </c>
      <c r="I1046" s="0" t="str">
        <f aca="false">"1686"</f>
        <v>1686</v>
      </c>
      <c r="J1046" s="0" t="str">
        <f aca="false">"1699"</f>
        <v>1699</v>
      </c>
      <c r="T1046" s="0" t="s">
        <v>308</v>
      </c>
      <c r="AB1046" s="0" t="s">
        <v>10058</v>
      </c>
      <c r="AT1046" s="0" t="s">
        <v>338</v>
      </c>
      <c r="AU1046" s="0" t="s">
        <v>872</v>
      </c>
      <c r="BX1046" s="0" t="s">
        <v>10059</v>
      </c>
      <c r="CI1046" s="0" t="s">
        <v>10059</v>
      </c>
      <c r="CJ1046" s="0" t="s">
        <v>10060</v>
      </c>
      <c r="CO1046" s="0" t="s">
        <v>10056</v>
      </c>
      <c r="CR1046" s="0" t="s">
        <v>10061</v>
      </c>
    </row>
    <row r="1047" customFormat="false" ht="12.8" hidden="false" customHeight="false" outlineLevel="0" collapsed="false">
      <c r="A1047" s="0" t="s">
        <v>880</v>
      </c>
      <c r="B1047" s="0" t="s">
        <v>10062</v>
      </c>
      <c r="D1047" s="0" t="s">
        <v>308</v>
      </c>
      <c r="E1047" s="0" t="s">
        <v>10063</v>
      </c>
      <c r="F1047" s="0" t="s">
        <v>884</v>
      </c>
      <c r="G1047" s="0" t="s">
        <v>5549</v>
      </c>
      <c r="L1047" s="0" t="str">
        <f aca="false">"1660"</f>
        <v>1660</v>
      </c>
      <c r="T1047" s="0" t="s">
        <v>308</v>
      </c>
      <c r="AO1047" s="0" t="s">
        <v>3482</v>
      </c>
      <c r="AT1047" s="0" t="s">
        <v>338</v>
      </c>
      <c r="AU1047" s="0" t="s">
        <v>872</v>
      </c>
      <c r="AY1047" s="0" t="s">
        <v>10064</v>
      </c>
      <c r="BW1047" s="0" t="s">
        <v>10065</v>
      </c>
      <c r="CJ1047" s="0" t="s">
        <v>10066</v>
      </c>
      <c r="CO1047" s="0" t="s">
        <v>10067</v>
      </c>
    </row>
    <row r="1048" customFormat="false" ht="12.8" hidden="false" customHeight="false" outlineLevel="0" collapsed="false">
      <c r="A1048" s="0" t="s">
        <v>2200</v>
      </c>
      <c r="C1048" s="0" t="s">
        <v>2136</v>
      </c>
      <c r="D1048" s="0" t="s">
        <v>329</v>
      </c>
      <c r="E1048" s="0" t="s">
        <v>10068</v>
      </c>
      <c r="L1048" s="0" t="str">
        <f aca="false">"1695"</f>
        <v>1695</v>
      </c>
      <c r="M1048" s="0" t="s">
        <v>870</v>
      </c>
      <c r="T1048" s="0" t="s">
        <v>10069</v>
      </c>
      <c r="AB1048" s="0" t="s">
        <v>10070</v>
      </c>
      <c r="AT1048" s="0" t="s">
        <v>338</v>
      </c>
      <c r="AU1048" s="0" t="s">
        <v>112</v>
      </c>
      <c r="CJ1048" s="0" t="s">
        <v>10071</v>
      </c>
      <c r="CO1048" s="0" t="s">
        <v>10072</v>
      </c>
    </row>
    <row r="1049" customFormat="false" ht="33.1" hidden="false" customHeight="false" outlineLevel="0" collapsed="false">
      <c r="A1049" s="0" t="s">
        <v>445</v>
      </c>
      <c r="B1049" s="0" t="s">
        <v>10073</v>
      </c>
      <c r="C1049" s="0" t="s">
        <v>4747</v>
      </c>
      <c r="D1049" s="0" t="s">
        <v>4139</v>
      </c>
      <c r="E1049" s="0" t="s">
        <v>10074</v>
      </c>
      <c r="F1049" s="0" t="s">
        <v>192</v>
      </c>
      <c r="H1049" s="0" t="s">
        <v>102</v>
      </c>
      <c r="L1049" s="0" t="str">
        <f aca="false">"1755"</f>
        <v>1755</v>
      </c>
      <c r="M1049" s="1" t="s">
        <v>1414</v>
      </c>
      <c r="O1049" s="1" t="s">
        <v>10075</v>
      </c>
      <c r="T1049" s="0" t="s">
        <v>4139</v>
      </c>
      <c r="AA1049" s="0" t="str">
        <f aca="false">"12562564"</f>
        <v>12562564</v>
      </c>
      <c r="AT1049" s="0" t="s">
        <v>2601</v>
      </c>
      <c r="AU1049" s="0" t="s">
        <v>872</v>
      </c>
      <c r="AY1049" s="0" t="s">
        <v>10076</v>
      </c>
      <c r="AZ1049" s="0" t="s">
        <v>10077</v>
      </c>
      <c r="BD1049" s="0" t="s">
        <v>873</v>
      </c>
      <c r="BE1049" s="1" t="s">
        <v>10078</v>
      </c>
      <c r="BJ1049" s="0" t="s">
        <v>118</v>
      </c>
      <c r="BV1049" s="0" t="s">
        <v>10079</v>
      </c>
      <c r="BX1049" s="0" t="s">
        <v>10080</v>
      </c>
      <c r="CC1049" s="0" t="s">
        <v>10081</v>
      </c>
      <c r="CI1049" s="0" t="s">
        <v>10080</v>
      </c>
      <c r="CJ1049" s="0" t="s">
        <v>10082</v>
      </c>
      <c r="CO1049" s="0" t="s">
        <v>10073</v>
      </c>
      <c r="CR1049" s="0" t="s">
        <v>10083</v>
      </c>
    </row>
    <row r="1050" customFormat="false" ht="22.5" hidden="false" customHeight="false" outlineLevel="0" collapsed="false">
      <c r="A1050" s="0" t="s">
        <v>2200</v>
      </c>
      <c r="B1050" s="0" t="s">
        <v>10084</v>
      </c>
      <c r="C1050" s="0" t="s">
        <v>2202</v>
      </c>
      <c r="D1050" s="0" t="s">
        <v>329</v>
      </c>
      <c r="E1050" s="0" t="s">
        <v>10085</v>
      </c>
      <c r="G1050" s="0" t="s">
        <v>102</v>
      </c>
      <c r="L1050" s="0" t="str">
        <f aca="false">"1671"</f>
        <v>1671</v>
      </c>
      <c r="M1050" s="0" t="s">
        <v>870</v>
      </c>
      <c r="O1050" s="0" t="s">
        <v>10086</v>
      </c>
      <c r="R1050" s="0" t="s">
        <v>10087</v>
      </c>
      <c r="T1050" s="0" t="s">
        <v>3471</v>
      </c>
      <c r="AB1050" s="0" t="s">
        <v>10088</v>
      </c>
      <c r="AG1050" s="0" t="s">
        <v>10089</v>
      </c>
      <c r="AH1050" s="0" t="s">
        <v>10090</v>
      </c>
      <c r="AI1050" s="0" t="s">
        <v>10091</v>
      </c>
      <c r="AT1050" s="0" t="s">
        <v>338</v>
      </c>
      <c r="AU1050" s="0" t="s">
        <v>112</v>
      </c>
      <c r="BX1050" s="1" t="s">
        <v>10092</v>
      </c>
      <c r="CF1050" s="0" t="s">
        <v>10093</v>
      </c>
      <c r="CG1050" s="0" t="s">
        <v>123</v>
      </c>
      <c r="CH1050" s="0" t="s">
        <v>625</v>
      </c>
      <c r="CI1050" s="1" t="s">
        <v>10092</v>
      </c>
      <c r="CJ1050" s="0" t="s">
        <v>10094</v>
      </c>
      <c r="CL1050" s="0" t="s">
        <v>10095</v>
      </c>
      <c r="CM1050" s="0" t="s">
        <v>10095</v>
      </c>
      <c r="CO1050" s="0" t="s">
        <v>10096</v>
      </c>
      <c r="CR1050" s="0" t="s">
        <v>10097</v>
      </c>
    </row>
    <row r="1051" customFormat="false" ht="22.5" hidden="false" customHeight="false" outlineLevel="0" collapsed="false">
      <c r="A1051" s="0" t="s">
        <v>10098</v>
      </c>
      <c r="B1051" s="0" t="s">
        <v>10099</v>
      </c>
      <c r="C1051" s="0" t="s">
        <v>1056</v>
      </c>
      <c r="D1051" s="0" t="s">
        <v>1057</v>
      </c>
      <c r="E1051" s="0" t="s">
        <v>10100</v>
      </c>
      <c r="L1051" s="0" t="str">
        <f aca="false">"1713"</f>
        <v>1713</v>
      </c>
      <c r="M1051" s="0" t="s">
        <v>2367</v>
      </c>
      <c r="O1051" s="0" t="s">
        <v>10101</v>
      </c>
      <c r="U1051" s="1" t="s">
        <v>10102</v>
      </c>
      <c r="V1051" s="1" t="s">
        <v>10103</v>
      </c>
      <c r="W1051" s="0" t="s">
        <v>10104</v>
      </c>
      <c r="AT1051" s="0" t="s">
        <v>9664</v>
      </c>
      <c r="AU1051" s="0" t="s">
        <v>892</v>
      </c>
      <c r="BX1051" s="1" t="s">
        <v>10105</v>
      </c>
      <c r="CF1051" s="0" t="s">
        <v>10106</v>
      </c>
      <c r="CG1051" s="0" t="s">
        <v>123</v>
      </c>
      <c r="CH1051" s="0" t="s">
        <v>342</v>
      </c>
      <c r="CI1051" s="1" t="s">
        <v>10105</v>
      </c>
      <c r="CJ1051" s="0" t="s">
        <v>10107</v>
      </c>
      <c r="CL1051" s="1" t="s">
        <v>10108</v>
      </c>
      <c r="CM1051" s="1" t="s">
        <v>10108</v>
      </c>
      <c r="CO1051" s="0" t="s">
        <v>10099</v>
      </c>
      <c r="CR1051" s="0" t="s">
        <v>10109</v>
      </c>
    </row>
    <row r="1052" customFormat="false" ht="86.25" hidden="false" customHeight="false" outlineLevel="0" collapsed="false">
      <c r="A1052" s="0" t="s">
        <v>326</v>
      </c>
      <c r="B1052" s="0" t="s">
        <v>10110</v>
      </c>
      <c r="C1052" s="0" t="s">
        <v>3779</v>
      </c>
      <c r="D1052" s="0" t="s">
        <v>398</v>
      </c>
      <c r="E1052" s="0" t="s">
        <v>10111</v>
      </c>
      <c r="L1052" s="0" t="str">
        <f aca="false">"1714"</f>
        <v>1714</v>
      </c>
      <c r="M1052" s="1" t="s">
        <v>10112</v>
      </c>
      <c r="O1052" s="1" t="s">
        <v>10113</v>
      </c>
      <c r="T1052" s="0" t="s">
        <v>1150</v>
      </c>
      <c r="U1052" s="1" t="s">
        <v>10114</v>
      </c>
      <c r="V1052" s="1" t="s">
        <v>10115</v>
      </c>
      <c r="AA1052" s="0" t="str">
        <f aca="false">"10522840"</f>
        <v>10522840</v>
      </c>
      <c r="AB1052" s="0" t="s">
        <v>10116</v>
      </c>
      <c r="AT1052" s="0" t="s">
        <v>9664</v>
      </c>
      <c r="BU1052" s="1" t="s">
        <v>10117</v>
      </c>
      <c r="BX1052" s="1" t="s">
        <v>10118</v>
      </c>
      <c r="CF1052" s="0" t="s">
        <v>10119</v>
      </c>
      <c r="CG1052" s="0" t="s">
        <v>123</v>
      </c>
      <c r="CH1052" s="0" t="s">
        <v>342</v>
      </c>
      <c r="CI1052" s="1" t="s">
        <v>10118</v>
      </c>
      <c r="CJ1052" s="0" t="s">
        <v>10120</v>
      </c>
      <c r="CL1052" s="0" t="s">
        <v>10121</v>
      </c>
      <c r="CM1052" s="0" t="s">
        <v>10121</v>
      </c>
      <c r="CO1052" s="0" t="s">
        <v>10110</v>
      </c>
      <c r="CR1052" s="0" t="s">
        <v>10122</v>
      </c>
    </row>
    <row r="1053" customFormat="false" ht="33.1" hidden="false" customHeight="false" outlineLevel="0" collapsed="false">
      <c r="A1053" s="0" t="s">
        <v>9676</v>
      </c>
      <c r="B1053" s="0" t="s">
        <v>10123</v>
      </c>
      <c r="C1053" s="0" t="s">
        <v>1213</v>
      </c>
      <c r="D1053" s="0" t="s">
        <v>1214</v>
      </c>
      <c r="E1053" s="0" t="s">
        <v>10124</v>
      </c>
      <c r="L1053" s="0" t="str">
        <f aca="false">"1713"</f>
        <v>1713</v>
      </c>
      <c r="M1053" s="1" t="s">
        <v>10112</v>
      </c>
      <c r="O1053" s="1" t="s">
        <v>10125</v>
      </c>
      <c r="W1053" s="0" t="s">
        <v>10126</v>
      </c>
      <c r="AB1053" s="0" t="s">
        <v>10127</v>
      </c>
      <c r="AP1053" s="0" t="s">
        <v>10128</v>
      </c>
      <c r="AQ1053" s="0" t="s">
        <v>10129</v>
      </c>
      <c r="AT1053" s="0" t="s">
        <v>9664</v>
      </c>
      <c r="BX1053" s="1" t="s">
        <v>10130</v>
      </c>
      <c r="CG1053" s="0" t="s">
        <v>123</v>
      </c>
      <c r="CH1053" s="1" t="s">
        <v>10051</v>
      </c>
      <c r="CI1053" s="1" t="s">
        <v>10130</v>
      </c>
      <c r="CJ1053" s="0" t="s">
        <v>10131</v>
      </c>
      <c r="CL1053" s="1" t="s">
        <v>10132</v>
      </c>
      <c r="CM1053" s="1" t="s">
        <v>10132</v>
      </c>
      <c r="CO1053" s="0" t="s">
        <v>10123</v>
      </c>
      <c r="CR1053" s="0" t="s">
        <v>10133</v>
      </c>
    </row>
    <row r="1054" customFormat="false" ht="12.8" hidden="false" customHeight="false" outlineLevel="0" collapsed="false">
      <c r="A1054" s="0" t="s">
        <v>445</v>
      </c>
      <c r="B1054" s="0" t="s">
        <v>10134</v>
      </c>
      <c r="C1054" s="0" t="s">
        <v>1213</v>
      </c>
      <c r="D1054" s="0" t="s">
        <v>1214</v>
      </c>
      <c r="E1054" s="0" t="s">
        <v>10135</v>
      </c>
      <c r="F1054" s="0" t="s">
        <v>192</v>
      </c>
      <c r="H1054" s="0" t="s">
        <v>102</v>
      </c>
      <c r="L1054" s="0" t="str">
        <f aca="false">"1763"</f>
        <v>1763</v>
      </c>
      <c r="M1054" s="0" t="s">
        <v>448</v>
      </c>
      <c r="O1054" s="0" t="s">
        <v>9692</v>
      </c>
      <c r="T1054" s="0" t="s">
        <v>4466</v>
      </c>
      <c r="AP1054" s="0" t="s">
        <v>4463</v>
      </c>
      <c r="AQ1054" s="0" t="s">
        <v>9172</v>
      </c>
      <c r="AT1054" s="0" t="s">
        <v>2601</v>
      </c>
      <c r="AU1054" s="0" t="s">
        <v>892</v>
      </c>
      <c r="AY1054" s="0" t="s">
        <v>10136</v>
      </c>
      <c r="CJ1054" s="0" t="s">
        <v>10137</v>
      </c>
      <c r="CO1054" s="0" t="s">
        <v>10134</v>
      </c>
    </row>
    <row r="1055" customFormat="false" ht="12.8" hidden="false" customHeight="false" outlineLevel="0" collapsed="false">
      <c r="A1055" s="0" t="s">
        <v>445</v>
      </c>
      <c r="B1055" s="0" t="s">
        <v>10138</v>
      </c>
      <c r="C1055" s="0" t="s">
        <v>1213</v>
      </c>
      <c r="D1055" s="0" t="s">
        <v>1214</v>
      </c>
      <c r="E1055" s="0" t="s">
        <v>10139</v>
      </c>
      <c r="F1055" s="0" t="s">
        <v>192</v>
      </c>
      <c r="H1055" s="0" t="s">
        <v>102</v>
      </c>
      <c r="L1055" s="0" t="str">
        <f aca="false">"1763"</f>
        <v>1763</v>
      </c>
      <c r="M1055" s="0" t="s">
        <v>448</v>
      </c>
      <c r="O1055" s="0" t="s">
        <v>10140</v>
      </c>
      <c r="T1055" s="0" t="s">
        <v>4466</v>
      </c>
      <c r="AP1055" s="0" t="s">
        <v>4463</v>
      </c>
      <c r="AQ1055" s="0" t="s">
        <v>10141</v>
      </c>
      <c r="AT1055" s="0" t="s">
        <v>2601</v>
      </c>
      <c r="AU1055" s="0" t="s">
        <v>892</v>
      </c>
      <c r="AY1055" s="0" t="s">
        <v>10142</v>
      </c>
    </row>
    <row r="1056" customFormat="false" ht="12.8" hidden="false" customHeight="false" outlineLevel="0" collapsed="false">
      <c r="A1056" s="0" t="s">
        <v>445</v>
      </c>
      <c r="B1056" s="0" t="s">
        <v>10143</v>
      </c>
      <c r="E1056" s="0" t="s">
        <v>10144</v>
      </c>
      <c r="F1056" s="0" t="s">
        <v>192</v>
      </c>
      <c r="H1056" s="0" t="s">
        <v>102</v>
      </c>
      <c r="L1056" s="0" t="str">
        <f aca="false">"1763"</f>
        <v>1763</v>
      </c>
      <c r="M1056" s="0" t="s">
        <v>448</v>
      </c>
      <c r="O1056" s="0" t="s">
        <v>10145</v>
      </c>
      <c r="T1056" s="0" t="s">
        <v>4466</v>
      </c>
      <c r="AP1056" s="0" t="s">
        <v>4463</v>
      </c>
      <c r="AQ1056" s="0" t="s">
        <v>10146</v>
      </c>
      <c r="AT1056" s="0" t="s">
        <v>2601</v>
      </c>
      <c r="AU1056" s="0" t="s">
        <v>892</v>
      </c>
      <c r="AY1056" s="0" t="s">
        <v>10147</v>
      </c>
      <c r="AZ1056" s="0" t="s">
        <v>10148</v>
      </c>
    </row>
    <row r="1057" customFormat="false" ht="12.8" hidden="false" customHeight="false" outlineLevel="0" collapsed="false">
      <c r="A1057" s="0" t="s">
        <v>445</v>
      </c>
      <c r="B1057" s="0" t="s">
        <v>10149</v>
      </c>
      <c r="E1057" s="0" t="s">
        <v>10150</v>
      </c>
      <c r="F1057" s="0" t="s">
        <v>192</v>
      </c>
      <c r="H1057" s="0" t="s">
        <v>102</v>
      </c>
      <c r="L1057" s="0" t="str">
        <f aca="false">"1763"</f>
        <v>1763</v>
      </c>
      <c r="M1057" s="0" t="s">
        <v>448</v>
      </c>
      <c r="O1057" s="0" t="s">
        <v>10140</v>
      </c>
      <c r="T1057" s="0" t="s">
        <v>4466</v>
      </c>
      <c r="AP1057" s="0" t="s">
        <v>4463</v>
      </c>
      <c r="AQ1057" s="0" t="s">
        <v>10151</v>
      </c>
      <c r="AT1057" s="0" t="s">
        <v>2601</v>
      </c>
      <c r="AU1057" s="0" t="s">
        <v>892</v>
      </c>
      <c r="AY1057" s="0" t="s">
        <v>10152</v>
      </c>
    </row>
    <row r="1058" customFormat="false" ht="12.8" hidden="false" customHeight="false" outlineLevel="0" collapsed="false">
      <c r="A1058" s="0" t="s">
        <v>445</v>
      </c>
      <c r="B1058" s="0" t="s">
        <v>10153</v>
      </c>
      <c r="C1058" s="0" t="s">
        <v>1213</v>
      </c>
      <c r="D1058" s="0" t="s">
        <v>1214</v>
      </c>
      <c r="E1058" s="0" t="s">
        <v>10154</v>
      </c>
      <c r="F1058" s="0" t="s">
        <v>192</v>
      </c>
      <c r="H1058" s="0" t="s">
        <v>102</v>
      </c>
      <c r="L1058" s="0" t="str">
        <f aca="false">"1763"</f>
        <v>1763</v>
      </c>
      <c r="T1058" s="0" t="s">
        <v>4466</v>
      </c>
      <c r="AP1058" s="0" t="s">
        <v>4463</v>
      </c>
      <c r="AQ1058" s="0" t="s">
        <v>10155</v>
      </c>
      <c r="AT1058" s="0" t="s">
        <v>2601</v>
      </c>
      <c r="AU1058" s="0" t="s">
        <v>892</v>
      </c>
    </row>
    <row r="1059" customFormat="false" ht="33.1" hidden="false" customHeight="false" outlineLevel="0" collapsed="false">
      <c r="A1059" s="0" t="s">
        <v>2200</v>
      </c>
      <c r="B1059" s="0" t="s">
        <v>10156</v>
      </c>
      <c r="C1059" s="0" t="s">
        <v>2202</v>
      </c>
      <c r="D1059" s="0" t="s">
        <v>329</v>
      </c>
      <c r="E1059" s="0" t="s">
        <v>10157</v>
      </c>
      <c r="L1059" s="0" t="str">
        <f aca="false">"1649"</f>
        <v>1649</v>
      </c>
      <c r="M1059" s="0" t="s">
        <v>870</v>
      </c>
      <c r="O1059" s="0" t="s">
        <v>10158</v>
      </c>
      <c r="R1059" s="0" t="s">
        <v>10159</v>
      </c>
      <c r="T1059" s="0" t="s">
        <v>2147</v>
      </c>
      <c r="U1059" s="0" t="s">
        <v>5352</v>
      </c>
      <c r="AB1059" s="0" t="s">
        <v>10160</v>
      </c>
      <c r="AP1059" s="0" t="s">
        <v>10161</v>
      </c>
      <c r="AT1059" s="0" t="s">
        <v>338</v>
      </c>
      <c r="AU1059" s="0" t="s">
        <v>112</v>
      </c>
      <c r="BX1059" s="1" t="s">
        <v>10162</v>
      </c>
      <c r="CF1059" s="0" t="s">
        <v>10163</v>
      </c>
      <c r="CG1059" s="0" t="s">
        <v>123</v>
      </c>
      <c r="CH1059" s="0" t="s">
        <v>342</v>
      </c>
      <c r="CI1059" s="1" t="s">
        <v>10162</v>
      </c>
      <c r="CJ1059" s="0" t="s">
        <v>10164</v>
      </c>
      <c r="CL1059" s="0" t="s">
        <v>10165</v>
      </c>
      <c r="CM1059" s="0" t="s">
        <v>10165</v>
      </c>
      <c r="CO1059" s="0" t="s">
        <v>10156</v>
      </c>
      <c r="CR1059" s="0" t="s">
        <v>10166</v>
      </c>
    </row>
    <row r="1060" customFormat="false" ht="12.8" hidden="false" customHeight="false" outlineLevel="0" collapsed="false">
      <c r="A1060" s="0" t="s">
        <v>2200</v>
      </c>
      <c r="B1060" s="0" t="s">
        <v>10161</v>
      </c>
      <c r="C1060" s="0" t="s">
        <v>2202</v>
      </c>
      <c r="D1060" s="0" t="s">
        <v>329</v>
      </c>
      <c r="E1060" s="0" t="s">
        <v>10167</v>
      </c>
      <c r="L1060" s="0" t="str">
        <f aca="false">"1649"</f>
        <v>1649</v>
      </c>
      <c r="M1060" s="0" t="s">
        <v>870</v>
      </c>
      <c r="O1060" s="0" t="s">
        <v>10158</v>
      </c>
      <c r="R1060" s="0" t="s">
        <v>10159</v>
      </c>
      <c r="T1060" s="0" t="s">
        <v>2147</v>
      </c>
      <c r="AB1060" s="0" t="s">
        <v>10160</v>
      </c>
      <c r="AT1060" s="0" t="s">
        <v>338</v>
      </c>
      <c r="AU1060" s="0" t="s">
        <v>872</v>
      </c>
      <c r="BX1060" s="0" t="s">
        <v>10168</v>
      </c>
      <c r="CI1060" s="0" t="s">
        <v>10168</v>
      </c>
      <c r="CP1060" s="0" t="s">
        <v>10169</v>
      </c>
      <c r="CR1060" s="0" t="s">
        <v>10170</v>
      </c>
    </row>
    <row r="1061" customFormat="false" ht="22.5" hidden="false" customHeight="false" outlineLevel="0" collapsed="false">
      <c r="A1061" s="0" t="s">
        <v>2200</v>
      </c>
      <c r="B1061" s="0" t="s">
        <v>9867</v>
      </c>
      <c r="C1061" s="0" t="s">
        <v>2202</v>
      </c>
      <c r="D1061" s="0" t="s">
        <v>329</v>
      </c>
      <c r="E1061" s="0" t="s">
        <v>10171</v>
      </c>
      <c r="L1061" s="0" t="str">
        <f aca="false">"1764"</f>
        <v>1764</v>
      </c>
      <c r="M1061" s="0" t="s">
        <v>870</v>
      </c>
      <c r="O1061" s="0" t="s">
        <v>10172</v>
      </c>
      <c r="T1061" s="0" t="s">
        <v>10173</v>
      </c>
      <c r="U1061" s="1" t="s">
        <v>10174</v>
      </c>
      <c r="V1061" s="1" t="s">
        <v>10175</v>
      </c>
      <c r="AB1061" s="0" t="s">
        <v>10176</v>
      </c>
      <c r="AT1061" s="0" t="s">
        <v>338</v>
      </c>
      <c r="AU1061" s="0" t="s">
        <v>872</v>
      </c>
      <c r="BX1061" s="0" t="s">
        <v>10177</v>
      </c>
      <c r="CF1061" s="1" t="s">
        <v>10178</v>
      </c>
      <c r="CG1061" s="0" t="s">
        <v>123</v>
      </c>
      <c r="CH1061" s="1" t="s">
        <v>9652</v>
      </c>
      <c r="CI1061" s="0" t="s">
        <v>10177</v>
      </c>
      <c r="CJ1061" s="0" t="s">
        <v>10179</v>
      </c>
      <c r="CL1061" s="0" t="s">
        <v>10180</v>
      </c>
      <c r="CM1061" s="0" t="s">
        <v>10180</v>
      </c>
      <c r="CO1061" s="0" t="s">
        <v>9867</v>
      </c>
      <c r="CR1061" s="0" t="s">
        <v>10181</v>
      </c>
    </row>
    <row r="1062" customFormat="false" ht="12.8" hidden="false" customHeight="false" outlineLevel="0" collapsed="false">
      <c r="A1062" s="0" t="s">
        <v>2200</v>
      </c>
      <c r="C1062" s="0" t="s">
        <v>867</v>
      </c>
      <c r="D1062" s="0" t="s">
        <v>868</v>
      </c>
      <c r="E1062" s="0" t="s">
        <v>10182</v>
      </c>
      <c r="I1062" s="0" t="str">
        <f aca="false">"1687"</f>
        <v>1687</v>
      </c>
      <c r="J1062" s="0" t="str">
        <f aca="false">"1721"</f>
        <v>1721</v>
      </c>
      <c r="M1062" s="0" t="s">
        <v>870</v>
      </c>
      <c r="O1062" s="0" t="s">
        <v>10183</v>
      </c>
      <c r="R1062" s="0" t="s">
        <v>10184</v>
      </c>
      <c r="T1062" s="0" t="s">
        <v>329</v>
      </c>
      <c r="AB1062" s="0" t="s">
        <v>10185</v>
      </c>
      <c r="AT1062" s="0" t="s">
        <v>338</v>
      </c>
      <c r="AU1062" s="0" t="s">
        <v>872</v>
      </c>
      <c r="AV1062" s="0" t="s">
        <v>113</v>
      </c>
      <c r="BX1062" s="0" t="s">
        <v>10186</v>
      </c>
      <c r="CG1062" s="0" t="s">
        <v>123</v>
      </c>
      <c r="CH1062" s="0" t="s">
        <v>298</v>
      </c>
      <c r="CI1062" s="0" t="s">
        <v>10186</v>
      </c>
      <c r="CL1062" s="0" t="s">
        <v>10187</v>
      </c>
      <c r="CM1062" s="0" t="s">
        <v>10187</v>
      </c>
      <c r="CR1062" s="0" t="s">
        <v>10188</v>
      </c>
    </row>
    <row r="1063" customFormat="false" ht="12.8" hidden="false" customHeight="false" outlineLevel="0" collapsed="false">
      <c r="C1063" s="0" t="s">
        <v>2136</v>
      </c>
      <c r="D1063" s="0" t="s">
        <v>329</v>
      </c>
      <c r="E1063" s="0" t="s">
        <v>10189</v>
      </c>
      <c r="L1063" s="0" t="str">
        <f aca="false">"1774"</f>
        <v>1774</v>
      </c>
      <c r="T1063" s="0" t="s">
        <v>10173</v>
      </c>
      <c r="AB1063" s="0" t="s">
        <v>10190</v>
      </c>
      <c r="AT1063" s="0" t="s">
        <v>338</v>
      </c>
      <c r="AU1063" s="0" t="s">
        <v>112</v>
      </c>
      <c r="BX1063" s="0" t="s">
        <v>10191</v>
      </c>
      <c r="CG1063" s="0" t="s">
        <v>123</v>
      </c>
      <c r="CH1063" s="0" t="s">
        <v>454</v>
      </c>
      <c r="CI1063" s="0" t="s">
        <v>10191</v>
      </c>
      <c r="CL1063" s="0" t="s">
        <v>10192</v>
      </c>
      <c r="CM1063" s="0" t="s">
        <v>10192</v>
      </c>
      <c r="CR1063" s="0" t="s">
        <v>10193</v>
      </c>
    </row>
    <row r="1064" customFormat="false" ht="22.5" hidden="false" customHeight="false" outlineLevel="0" collapsed="false">
      <c r="B1064" s="0" t="s">
        <v>10084</v>
      </c>
      <c r="C1064" s="0" t="s">
        <v>3456</v>
      </c>
      <c r="D1064" s="0" t="s">
        <v>3457</v>
      </c>
      <c r="E1064" s="0" t="s">
        <v>10194</v>
      </c>
      <c r="G1064" s="0" t="s">
        <v>102</v>
      </c>
      <c r="L1064" s="0" t="str">
        <f aca="false">"1671"</f>
        <v>1671</v>
      </c>
      <c r="M1064" s="0" t="s">
        <v>870</v>
      </c>
      <c r="O1064" s="0" t="s">
        <v>10086</v>
      </c>
      <c r="T1064" s="0" t="s">
        <v>3471</v>
      </c>
      <c r="AB1064" s="0" t="s">
        <v>10195</v>
      </c>
      <c r="AT1064" s="0" t="s">
        <v>338</v>
      </c>
      <c r="AU1064" s="0" t="s">
        <v>112</v>
      </c>
      <c r="BX1064" s="1" t="s">
        <v>10196</v>
      </c>
      <c r="CF1064" s="0" t="s">
        <v>10197</v>
      </c>
      <c r="CG1064" s="0" t="s">
        <v>123</v>
      </c>
      <c r="CH1064" s="0" t="s">
        <v>169</v>
      </c>
      <c r="CI1064" s="1" t="s">
        <v>10196</v>
      </c>
      <c r="CJ1064" s="0" t="s">
        <v>10198</v>
      </c>
      <c r="CL1064" s="1" t="s">
        <v>10199</v>
      </c>
      <c r="CM1064" s="1" t="s">
        <v>10199</v>
      </c>
      <c r="CO1064" s="0" t="s">
        <v>10096</v>
      </c>
      <c r="CR1064" s="0" t="s">
        <v>10200</v>
      </c>
    </row>
    <row r="1065" customFormat="false" ht="75.6" hidden="false" customHeight="false" outlineLevel="0" collapsed="false">
      <c r="A1065" s="0" t="s">
        <v>326</v>
      </c>
      <c r="B1065" s="0" t="s">
        <v>10201</v>
      </c>
      <c r="C1065" s="0" t="s">
        <v>1783</v>
      </c>
      <c r="D1065" s="0" t="s">
        <v>1150</v>
      </c>
      <c r="E1065" s="0" t="s">
        <v>10202</v>
      </c>
      <c r="L1065" s="0" t="str">
        <f aca="false">"1698"</f>
        <v>1698</v>
      </c>
      <c r="M1065" s="1" t="s">
        <v>4406</v>
      </c>
      <c r="O1065" s="1" t="s">
        <v>10203</v>
      </c>
      <c r="T1065" s="0" t="s">
        <v>1150</v>
      </c>
      <c r="U1065" s="1" t="s">
        <v>10204</v>
      </c>
      <c r="V1065" s="1" t="s">
        <v>10205</v>
      </c>
      <c r="W1065" s="1" t="s">
        <v>10206</v>
      </c>
      <c r="AA1065" s="0" t="s">
        <v>10207</v>
      </c>
      <c r="AB1065" s="0" t="s">
        <v>10208</v>
      </c>
      <c r="AT1065" s="0" t="s">
        <v>9664</v>
      </c>
      <c r="AU1065" s="0" t="s">
        <v>892</v>
      </c>
      <c r="AY1065" s="0" t="s">
        <v>10209</v>
      </c>
      <c r="BX1065" s="1" t="s">
        <v>10210</v>
      </c>
      <c r="BY1065" s="0" t="s">
        <v>10211</v>
      </c>
      <c r="BZ1065" s="0" t="s">
        <v>9669</v>
      </c>
      <c r="CG1065" s="0" t="s">
        <v>123</v>
      </c>
      <c r="CH1065" s="1" t="s">
        <v>3813</v>
      </c>
      <c r="CI1065" s="1" t="s">
        <v>10210</v>
      </c>
      <c r="CL1065" s="1" t="s">
        <v>10212</v>
      </c>
      <c r="CM1065" s="1" t="s">
        <v>10212</v>
      </c>
      <c r="CQ1065" s="0" t="s">
        <v>10213</v>
      </c>
      <c r="CR1065" s="0" t="s">
        <v>10214</v>
      </c>
    </row>
    <row r="1066" customFormat="false" ht="65" hidden="false" customHeight="false" outlineLevel="0" collapsed="false">
      <c r="A1066" s="0" t="s">
        <v>10215</v>
      </c>
      <c r="B1066" s="0" t="s">
        <v>10216</v>
      </c>
      <c r="C1066" s="0" t="s">
        <v>1783</v>
      </c>
      <c r="D1066" s="0" t="s">
        <v>1150</v>
      </c>
      <c r="E1066" s="0" t="s">
        <v>10217</v>
      </c>
      <c r="L1066" s="0" t="str">
        <f aca="false">"1650"</f>
        <v>1650</v>
      </c>
      <c r="M1066" s="0" t="s">
        <v>2367</v>
      </c>
      <c r="O1066" s="0" t="s">
        <v>10218</v>
      </c>
      <c r="T1066" s="0" t="s">
        <v>1150</v>
      </c>
      <c r="U1066" s="0" t="s">
        <v>10219</v>
      </c>
      <c r="V1066" s="0" t="s">
        <v>10220</v>
      </c>
      <c r="W1066" s="0" t="s">
        <v>10221</v>
      </c>
      <c r="AT1066" s="0" t="s">
        <v>9664</v>
      </c>
      <c r="AU1066" s="0" t="s">
        <v>892</v>
      </c>
      <c r="BU1066" s="1" t="s">
        <v>10222</v>
      </c>
      <c r="BX1066" s="0" t="s">
        <v>10223</v>
      </c>
      <c r="CC1066" s="1" t="s">
        <v>10224</v>
      </c>
      <c r="CF1066" s="0" t="s">
        <v>10225</v>
      </c>
      <c r="CG1066" s="0" t="s">
        <v>123</v>
      </c>
      <c r="CH1066" s="0" t="s">
        <v>298</v>
      </c>
      <c r="CI1066" s="0" t="s">
        <v>10223</v>
      </c>
      <c r="CJ1066" s="0" t="s">
        <v>10226</v>
      </c>
      <c r="CL1066" s="0" t="s">
        <v>10227</v>
      </c>
      <c r="CM1066" s="0" t="s">
        <v>10227</v>
      </c>
      <c r="CO1066" s="0" t="s">
        <v>10228</v>
      </c>
      <c r="CR1066" s="0" t="s">
        <v>10229</v>
      </c>
    </row>
    <row r="1067" customFormat="false" ht="128.75" hidden="false" customHeight="false" outlineLevel="0" collapsed="false">
      <c r="A1067" s="0" t="s">
        <v>10230</v>
      </c>
      <c r="B1067" s="0" t="s">
        <v>10231</v>
      </c>
      <c r="C1067" s="0" t="s">
        <v>3779</v>
      </c>
      <c r="D1067" s="0" t="s">
        <v>398</v>
      </c>
      <c r="E1067" s="0" t="s">
        <v>10232</v>
      </c>
      <c r="F1067" s="0" t="s">
        <v>884</v>
      </c>
      <c r="L1067" s="0" t="str">
        <f aca="false">"1649"</f>
        <v>1649</v>
      </c>
      <c r="M1067" s="0" t="s">
        <v>2367</v>
      </c>
      <c r="O1067" s="0" t="s">
        <v>10233</v>
      </c>
      <c r="T1067" s="0" t="s">
        <v>1346</v>
      </c>
      <c r="W1067" s="0" t="s">
        <v>10234</v>
      </c>
      <c r="AB1067" s="0" t="s">
        <v>10235</v>
      </c>
      <c r="AT1067" s="0" t="s">
        <v>9664</v>
      </c>
      <c r="BX1067" s="1" t="s">
        <v>10236</v>
      </c>
      <c r="CC1067" s="1" t="s">
        <v>10237</v>
      </c>
      <c r="CF1067" s="0" t="s">
        <v>10238</v>
      </c>
      <c r="CG1067" s="0" t="s">
        <v>123</v>
      </c>
      <c r="CH1067" s="0" t="s">
        <v>298</v>
      </c>
      <c r="CI1067" s="1" t="s">
        <v>10236</v>
      </c>
      <c r="CJ1067" s="0" t="s">
        <v>10239</v>
      </c>
      <c r="CL1067" s="1" t="s">
        <v>10240</v>
      </c>
      <c r="CM1067" s="1" t="s">
        <v>10240</v>
      </c>
      <c r="CO1067" s="0" t="s">
        <v>10231</v>
      </c>
      <c r="CR1067" s="0" t="s">
        <v>10241</v>
      </c>
    </row>
    <row r="1068" customFormat="false" ht="65" hidden="false" customHeight="false" outlineLevel="0" collapsed="false">
      <c r="A1068" s="0" t="s">
        <v>10098</v>
      </c>
      <c r="B1068" s="0" t="s">
        <v>10242</v>
      </c>
      <c r="C1068" s="0" t="s">
        <v>1056</v>
      </c>
      <c r="D1068" s="0" t="s">
        <v>1057</v>
      </c>
      <c r="E1068" s="0" t="s">
        <v>10243</v>
      </c>
      <c r="M1068" s="0" t="s">
        <v>2367</v>
      </c>
      <c r="O1068" s="0" t="s">
        <v>10101</v>
      </c>
      <c r="U1068" s="1" t="s">
        <v>10244</v>
      </c>
      <c r="V1068" s="1" t="s">
        <v>10245</v>
      </c>
      <c r="W1068" s="0" t="s">
        <v>10246</v>
      </c>
      <c r="AT1068" s="0" t="s">
        <v>9664</v>
      </c>
      <c r="AZ1068" s="0" t="s">
        <v>10247</v>
      </c>
      <c r="BV1068" s="1" t="s">
        <v>10248</v>
      </c>
      <c r="BX1068" s="1" t="s">
        <v>10249</v>
      </c>
      <c r="CG1068" s="0" t="s">
        <v>123</v>
      </c>
      <c r="CH1068" s="0" t="s">
        <v>342</v>
      </c>
      <c r="CI1068" s="1" t="s">
        <v>10249</v>
      </c>
      <c r="CL1068" s="1" t="s">
        <v>10250</v>
      </c>
      <c r="CM1068" s="1" t="s">
        <v>10250</v>
      </c>
      <c r="CR1068" s="0" t="s">
        <v>10251</v>
      </c>
    </row>
    <row r="1069" customFormat="false" ht="107.5" hidden="false" customHeight="false" outlineLevel="0" collapsed="false">
      <c r="A1069" s="0" t="s">
        <v>9676</v>
      </c>
      <c r="B1069" s="0" t="s">
        <v>10252</v>
      </c>
      <c r="C1069" s="0" t="s">
        <v>1429</v>
      </c>
      <c r="D1069" s="0" t="s">
        <v>99</v>
      </c>
      <c r="E1069" s="0" t="s">
        <v>10253</v>
      </c>
      <c r="L1069" s="0" t="str">
        <f aca="false">"1651"</f>
        <v>1651</v>
      </c>
      <c r="M1069" s="1" t="s">
        <v>9680</v>
      </c>
      <c r="O1069" s="1" t="s">
        <v>10254</v>
      </c>
      <c r="T1069" s="0" t="s">
        <v>99</v>
      </c>
      <c r="U1069" s="1" t="s">
        <v>10255</v>
      </c>
      <c r="V1069" s="1" t="s">
        <v>10256</v>
      </c>
      <c r="AG1069" s="0" t="s">
        <v>3779</v>
      </c>
      <c r="AH1069" s="0" t="s">
        <v>398</v>
      </c>
      <c r="AI1069" s="0" t="s">
        <v>10257</v>
      </c>
      <c r="AT1069" s="0" t="s">
        <v>9664</v>
      </c>
      <c r="BX1069" s="1" t="s">
        <v>10258</v>
      </c>
      <c r="CC1069" s="1" t="s">
        <v>10259</v>
      </c>
      <c r="CF1069" s="0" t="s">
        <v>10260</v>
      </c>
      <c r="CG1069" s="0" t="s">
        <v>123</v>
      </c>
      <c r="CH1069" s="0" t="s">
        <v>169</v>
      </c>
      <c r="CI1069" s="1" t="s">
        <v>10258</v>
      </c>
      <c r="CJ1069" s="0" t="s">
        <v>10261</v>
      </c>
      <c r="CL1069" s="1" t="s">
        <v>10262</v>
      </c>
      <c r="CM1069" s="1" t="s">
        <v>10262</v>
      </c>
      <c r="CO1069" s="0" t="s">
        <v>10263</v>
      </c>
      <c r="CR1069" s="0" t="s">
        <v>10264</v>
      </c>
    </row>
    <row r="1070" customFormat="false" ht="65" hidden="false" customHeight="false" outlineLevel="0" collapsed="false">
      <c r="B1070" s="0" t="s">
        <v>10265</v>
      </c>
      <c r="C1070" s="0" t="s">
        <v>10266</v>
      </c>
      <c r="D1070" s="0" t="s">
        <v>10267</v>
      </c>
      <c r="E1070" s="0" t="s">
        <v>10268</v>
      </c>
      <c r="L1070" s="0" t="str">
        <f aca="false">"1650"</f>
        <v>1650</v>
      </c>
      <c r="M1070" s="1" t="s">
        <v>10269</v>
      </c>
      <c r="O1070" s="1" t="s">
        <v>10270</v>
      </c>
      <c r="R1070" s="0" t="s">
        <v>10271</v>
      </c>
      <c r="T1070" s="0" t="s">
        <v>99</v>
      </c>
      <c r="U1070" s="1" t="s">
        <v>10272</v>
      </c>
      <c r="W1070" s="0" t="s">
        <v>10273</v>
      </c>
      <c r="AT1070" s="0" t="s">
        <v>9664</v>
      </c>
      <c r="AY1070" s="0" t="s">
        <v>10274</v>
      </c>
      <c r="BS1070" s="0" t="s">
        <v>10275</v>
      </c>
      <c r="BX1070" s="1" t="s">
        <v>10276</v>
      </c>
      <c r="CC1070" s="1" t="s">
        <v>10277</v>
      </c>
      <c r="CF1070" s="0" t="s">
        <v>10278</v>
      </c>
      <c r="CG1070" s="0" t="s">
        <v>123</v>
      </c>
      <c r="CH1070" s="1" t="s">
        <v>10279</v>
      </c>
      <c r="CI1070" s="1" t="s">
        <v>10276</v>
      </c>
      <c r="CJ1070" s="0" t="s">
        <v>10280</v>
      </c>
      <c r="CL1070" s="1" t="s">
        <v>10281</v>
      </c>
      <c r="CM1070" s="1" t="s">
        <v>10281</v>
      </c>
      <c r="CO1070" s="0" t="s">
        <v>10282</v>
      </c>
      <c r="CR1070" s="0" t="s">
        <v>10283</v>
      </c>
    </row>
    <row r="1071" customFormat="false" ht="43.75" hidden="false" customHeight="false" outlineLevel="0" collapsed="false">
      <c r="A1071" s="0" t="s">
        <v>445</v>
      </c>
      <c r="B1071" s="0" t="s">
        <v>10284</v>
      </c>
      <c r="C1071" s="0" t="s">
        <v>1685</v>
      </c>
      <c r="D1071" s="0" t="s">
        <v>1686</v>
      </c>
      <c r="E1071" s="0" t="s">
        <v>10285</v>
      </c>
      <c r="L1071" s="0" t="str">
        <f aca="false">"1762"</f>
        <v>1762</v>
      </c>
      <c r="M1071" s="0" t="s">
        <v>448</v>
      </c>
      <c r="O1071" s="0" t="s">
        <v>8103</v>
      </c>
      <c r="AP1071" s="0" t="s">
        <v>9254</v>
      </c>
      <c r="AS1071" s="0" t="s">
        <v>9930</v>
      </c>
      <c r="AT1071" s="0" t="s">
        <v>906</v>
      </c>
      <c r="AU1071" s="0" t="s">
        <v>112</v>
      </c>
      <c r="AY1071" s="0" t="s">
        <v>10286</v>
      </c>
      <c r="BX1071" s="0" t="s">
        <v>10287</v>
      </c>
      <c r="CF1071" s="1" t="s">
        <v>10288</v>
      </c>
      <c r="CG1071" s="0" t="s">
        <v>123</v>
      </c>
      <c r="CH1071" s="0" t="s">
        <v>1265</v>
      </c>
      <c r="CI1071" s="0" t="s">
        <v>10287</v>
      </c>
      <c r="CJ1071" s="0" t="s">
        <v>10289</v>
      </c>
      <c r="CL1071" s="0" t="s">
        <v>10290</v>
      </c>
      <c r="CM1071" s="0" t="s">
        <v>10290</v>
      </c>
      <c r="CO1071" s="0" t="s">
        <v>10284</v>
      </c>
      <c r="CR1071" s="0" t="s">
        <v>10291</v>
      </c>
    </row>
    <row r="1072" customFormat="false" ht="12.8" hidden="false" customHeight="false" outlineLevel="0" collapsed="false">
      <c r="B1072" s="0" t="s">
        <v>10292</v>
      </c>
      <c r="C1072" s="0" t="s">
        <v>2136</v>
      </c>
      <c r="D1072" s="0" t="s">
        <v>329</v>
      </c>
      <c r="E1072" s="0" t="s">
        <v>10293</v>
      </c>
      <c r="G1072" s="0" t="s">
        <v>5549</v>
      </c>
      <c r="L1072" s="0" t="str">
        <f aca="false">"1646"</f>
        <v>1646</v>
      </c>
      <c r="M1072" s="0" t="s">
        <v>870</v>
      </c>
      <c r="O1072" s="0" t="s">
        <v>10294</v>
      </c>
      <c r="R1072" s="0" t="s">
        <v>10295</v>
      </c>
      <c r="T1072" s="0" t="s">
        <v>10296</v>
      </c>
      <c r="U1072" s="0" t="s">
        <v>10297</v>
      </c>
      <c r="V1072" s="0" t="s">
        <v>10298</v>
      </c>
      <c r="AB1072" s="0" t="s">
        <v>10299</v>
      </c>
      <c r="AT1072" s="0" t="s">
        <v>338</v>
      </c>
      <c r="AU1072" s="0" t="s">
        <v>339</v>
      </c>
      <c r="AY1072" s="0" t="s">
        <v>10300</v>
      </c>
      <c r="CJ1072" s="0" t="s">
        <v>10301</v>
      </c>
      <c r="CO1072" s="0" t="s">
        <v>10302</v>
      </c>
    </row>
    <row r="1073" customFormat="false" ht="22.5" hidden="false" customHeight="false" outlineLevel="0" collapsed="false">
      <c r="B1073" s="0" t="s">
        <v>10303</v>
      </c>
      <c r="C1073" s="0" t="s">
        <v>2136</v>
      </c>
      <c r="D1073" s="0" t="s">
        <v>329</v>
      </c>
      <c r="E1073" s="0" t="s">
        <v>10304</v>
      </c>
      <c r="G1073" s="0" t="s">
        <v>102</v>
      </c>
      <c r="L1073" s="0" t="str">
        <f aca="false">"1679"</f>
        <v>1679</v>
      </c>
      <c r="M1073" s="0" t="s">
        <v>870</v>
      </c>
      <c r="O1073" s="0" t="s">
        <v>10305</v>
      </c>
      <c r="R1073" s="0" t="s">
        <v>10306</v>
      </c>
      <c r="T1073" s="0" t="s">
        <v>10307</v>
      </c>
      <c r="AG1073" s="0" t="s">
        <v>2347</v>
      </c>
      <c r="AH1073" s="0" t="s">
        <v>329</v>
      </c>
      <c r="AI1073" s="0" t="s">
        <v>10308</v>
      </c>
      <c r="AT1073" s="0" t="s">
        <v>338</v>
      </c>
      <c r="AY1073" s="0" t="s">
        <v>10309</v>
      </c>
      <c r="BX1073" s="1" t="s">
        <v>10310</v>
      </c>
      <c r="CG1073" s="0" t="s">
        <v>123</v>
      </c>
      <c r="CH1073" s="0" t="s">
        <v>124</v>
      </c>
      <c r="CI1073" s="1" t="s">
        <v>10310</v>
      </c>
      <c r="CJ1073" s="0" t="s">
        <v>10311</v>
      </c>
      <c r="CL1073" s="1" t="s">
        <v>10312</v>
      </c>
      <c r="CM1073" s="1" t="s">
        <v>10312</v>
      </c>
      <c r="CO1073" s="0" t="s">
        <v>10303</v>
      </c>
      <c r="CR1073" s="0" t="s">
        <v>10313</v>
      </c>
    </row>
    <row r="1074" customFormat="false" ht="12.8" hidden="false" customHeight="false" outlineLevel="0" collapsed="false">
      <c r="B1074" s="0" t="s">
        <v>10314</v>
      </c>
      <c r="C1074" s="0" t="s">
        <v>2136</v>
      </c>
      <c r="D1074" s="0" t="s">
        <v>329</v>
      </c>
      <c r="E1074" s="0" t="s">
        <v>10315</v>
      </c>
      <c r="G1074" s="0" t="s">
        <v>5549</v>
      </c>
      <c r="L1074" s="0" t="str">
        <f aca="false">"1660"</f>
        <v>1660</v>
      </c>
      <c r="M1074" s="0" t="s">
        <v>870</v>
      </c>
      <c r="O1074" s="0" t="s">
        <v>10316</v>
      </c>
      <c r="R1074" s="0" t="s">
        <v>10317</v>
      </c>
      <c r="T1074" s="0" t="s">
        <v>868</v>
      </c>
      <c r="AT1074" s="0" t="s">
        <v>338</v>
      </c>
      <c r="AY1074" s="0" t="s">
        <v>10318</v>
      </c>
      <c r="CD1074" s="0" t="s">
        <v>10319</v>
      </c>
      <c r="CJ1074" s="0" t="s">
        <v>10320</v>
      </c>
      <c r="CO1074" s="0" t="s">
        <v>10314</v>
      </c>
    </row>
    <row r="1075" customFormat="false" ht="12.8" hidden="false" customHeight="false" outlineLevel="0" collapsed="false">
      <c r="B1075" s="0" t="s">
        <v>10321</v>
      </c>
      <c r="C1075" s="0" t="s">
        <v>2136</v>
      </c>
      <c r="D1075" s="0" t="s">
        <v>329</v>
      </c>
      <c r="E1075" s="0" t="s">
        <v>10322</v>
      </c>
      <c r="L1075" s="0" t="str">
        <f aca="false">"1714"</f>
        <v>1714</v>
      </c>
      <c r="R1075" s="0" t="s">
        <v>10323</v>
      </c>
      <c r="T1075" s="0" t="s">
        <v>10324</v>
      </c>
      <c r="U1075" s="0" t="s">
        <v>10325</v>
      </c>
      <c r="V1075" s="0" t="s">
        <v>10326</v>
      </c>
      <c r="AB1075" s="0" t="s">
        <v>10327</v>
      </c>
      <c r="AT1075" s="0" t="s">
        <v>338</v>
      </c>
      <c r="AU1075" s="0" t="s">
        <v>112</v>
      </c>
      <c r="AY1075" s="0" t="s">
        <v>10328</v>
      </c>
      <c r="BX1075" s="0" t="s">
        <v>10329</v>
      </c>
      <c r="CF1075" s="0" t="s">
        <v>10330</v>
      </c>
      <c r="CG1075" s="0" t="s">
        <v>123</v>
      </c>
      <c r="CH1075" s="0" t="s">
        <v>342</v>
      </c>
      <c r="CI1075" s="0" t="s">
        <v>10329</v>
      </c>
      <c r="CJ1075" s="0" t="s">
        <v>10331</v>
      </c>
      <c r="CL1075" s="0" t="s">
        <v>10332</v>
      </c>
      <c r="CM1075" s="0" t="s">
        <v>10332</v>
      </c>
      <c r="CO1075" s="0" t="s">
        <v>10321</v>
      </c>
      <c r="CR1075" s="0" t="s">
        <v>10333</v>
      </c>
    </row>
    <row r="1076" customFormat="false" ht="65" hidden="false" customHeight="false" outlineLevel="0" collapsed="false">
      <c r="A1076" s="0" t="s">
        <v>10215</v>
      </c>
      <c r="B1076" s="0" t="s">
        <v>10334</v>
      </c>
      <c r="C1076" s="0" t="s">
        <v>3779</v>
      </c>
      <c r="D1076" s="0" t="s">
        <v>398</v>
      </c>
      <c r="E1076" s="0" t="s">
        <v>10335</v>
      </c>
      <c r="F1076" s="0" t="s">
        <v>884</v>
      </c>
      <c r="L1076" s="0" t="str">
        <f aca="false">"1711"</f>
        <v>1711</v>
      </c>
      <c r="M1076" s="0" t="s">
        <v>2367</v>
      </c>
      <c r="O1076" s="0" t="s">
        <v>9659</v>
      </c>
      <c r="W1076" s="0" t="s">
        <v>10336</v>
      </c>
      <c r="AB1076" s="0" t="s">
        <v>10337</v>
      </c>
      <c r="AO1076" s="0" t="s">
        <v>887</v>
      </c>
      <c r="AT1076" s="0" t="s">
        <v>9664</v>
      </c>
      <c r="BX1076" s="1" t="s">
        <v>10338</v>
      </c>
      <c r="CF1076" s="0" t="s">
        <v>10339</v>
      </c>
      <c r="CG1076" s="0" t="s">
        <v>123</v>
      </c>
      <c r="CH1076" s="1" t="s">
        <v>10051</v>
      </c>
      <c r="CI1076" s="1" t="s">
        <v>10338</v>
      </c>
      <c r="CJ1076" s="0" t="s">
        <v>10340</v>
      </c>
      <c r="CL1076" s="1" t="s">
        <v>10341</v>
      </c>
      <c r="CM1076" s="1" t="s">
        <v>10341</v>
      </c>
      <c r="CO1076" s="0" t="s">
        <v>10334</v>
      </c>
      <c r="CR1076" s="0" t="s">
        <v>10342</v>
      </c>
    </row>
    <row r="1077" customFormat="false" ht="33.1" hidden="false" customHeight="false" outlineLevel="0" collapsed="false">
      <c r="A1077" s="0" t="s">
        <v>326</v>
      </c>
      <c r="B1077" s="0" t="s">
        <v>10343</v>
      </c>
      <c r="C1077" s="0" t="s">
        <v>1213</v>
      </c>
      <c r="D1077" s="0" t="s">
        <v>1214</v>
      </c>
      <c r="E1077" s="0" t="s">
        <v>9703</v>
      </c>
      <c r="L1077" s="0" t="str">
        <f aca="false">"1738"</f>
        <v>1738</v>
      </c>
      <c r="M1077" s="1" t="s">
        <v>9696</v>
      </c>
      <c r="O1077" s="1" t="s">
        <v>9697</v>
      </c>
      <c r="T1077" s="0" t="s">
        <v>1150</v>
      </c>
      <c r="AB1077" s="0" t="s">
        <v>9699</v>
      </c>
      <c r="AR1077" s="0" t="str">
        <f aca="false">"6"</f>
        <v>6</v>
      </c>
      <c r="AT1077" s="0" t="s">
        <v>9664</v>
      </c>
      <c r="AY1077" s="0" t="s">
        <v>10344</v>
      </c>
      <c r="BS1077" s="0" t="s">
        <v>9701</v>
      </c>
      <c r="BT1077" s="0" t="s">
        <v>10345</v>
      </c>
      <c r="CQ1077" s="1" t="s">
        <v>10346</v>
      </c>
    </row>
    <row r="1078" customFormat="false" ht="22.5" hidden="false" customHeight="false" outlineLevel="0" collapsed="false">
      <c r="B1078" s="0" t="s">
        <v>2134</v>
      </c>
      <c r="D1078" s="0" t="s">
        <v>1209</v>
      </c>
      <c r="E1078" s="0" t="s">
        <v>10347</v>
      </c>
      <c r="L1078" s="0" t="str">
        <f aca="false">"1697"</f>
        <v>1697</v>
      </c>
      <c r="M1078" s="0" t="s">
        <v>2367</v>
      </c>
      <c r="T1078" s="0" t="s">
        <v>1209</v>
      </c>
      <c r="U1078" s="1" t="s">
        <v>10348</v>
      </c>
      <c r="V1078" s="0" t="s">
        <v>10349</v>
      </c>
      <c r="W1078" s="0" t="s">
        <v>2133</v>
      </c>
      <c r="AT1078" s="0" t="s">
        <v>338</v>
      </c>
      <c r="AU1078" s="0" t="s">
        <v>112</v>
      </c>
      <c r="BW1078" s="0" t="s">
        <v>10350</v>
      </c>
      <c r="CJ1078" s="0" t="s">
        <v>10351</v>
      </c>
      <c r="CO1078" s="0" t="s">
        <v>2134</v>
      </c>
      <c r="CP1078" s="0" t="s">
        <v>10352</v>
      </c>
    </row>
    <row r="1079" customFormat="false" ht="33.1" hidden="false" customHeight="false" outlineLevel="0" collapsed="false">
      <c r="A1079" s="0" t="s">
        <v>9669</v>
      </c>
      <c r="B1079" s="0" t="s">
        <v>10201</v>
      </c>
      <c r="C1079" s="0" t="s">
        <v>3779</v>
      </c>
      <c r="D1079" s="0" t="s">
        <v>398</v>
      </c>
      <c r="E1079" s="0" t="s">
        <v>10211</v>
      </c>
      <c r="H1079" s="0" t="s">
        <v>102</v>
      </c>
      <c r="L1079" s="0" t="str">
        <f aca="false">"1698"</f>
        <v>1698</v>
      </c>
      <c r="M1079" s="0" t="s">
        <v>2367</v>
      </c>
      <c r="O1079" s="0" t="s">
        <v>10353</v>
      </c>
      <c r="T1079" s="0" t="s">
        <v>1150</v>
      </c>
      <c r="AT1079" s="0" t="s">
        <v>10354</v>
      </c>
      <c r="AV1079" s="0" t="s">
        <v>892</v>
      </c>
      <c r="BX1079" s="1" t="s">
        <v>10355</v>
      </c>
      <c r="BY1079" s="0" t="s">
        <v>10202</v>
      </c>
      <c r="BZ1079" s="0" t="s">
        <v>326</v>
      </c>
      <c r="CG1079" s="0" t="s">
        <v>123</v>
      </c>
      <c r="CH1079" s="1" t="s">
        <v>3813</v>
      </c>
      <c r="CI1079" s="1" t="s">
        <v>10355</v>
      </c>
      <c r="CL1079" s="1" t="s">
        <v>10356</v>
      </c>
      <c r="CM1079" s="1" t="s">
        <v>10356</v>
      </c>
      <c r="CQ1079" s="0" t="s">
        <v>10357</v>
      </c>
      <c r="CR1079" s="0" t="s">
        <v>10358</v>
      </c>
    </row>
    <row r="1080" customFormat="false" ht="65" hidden="false" customHeight="false" outlineLevel="0" collapsed="false">
      <c r="A1080" s="0" t="s">
        <v>10230</v>
      </c>
      <c r="B1080" s="0" t="s">
        <v>9657</v>
      </c>
      <c r="C1080" s="0" t="s">
        <v>3779</v>
      </c>
      <c r="D1080" s="0" t="s">
        <v>398</v>
      </c>
      <c r="E1080" s="0" t="s">
        <v>9668</v>
      </c>
      <c r="L1080" s="0" t="str">
        <f aca="false">"1763"</f>
        <v>1763</v>
      </c>
      <c r="M1080" s="0" t="s">
        <v>2367</v>
      </c>
      <c r="O1080" s="0" t="s">
        <v>9659</v>
      </c>
      <c r="T1080" s="0" t="s">
        <v>1150</v>
      </c>
      <c r="U1080" s="0" t="s">
        <v>9660</v>
      </c>
      <c r="V1080" s="0" t="s">
        <v>10359</v>
      </c>
      <c r="W1080" s="0" t="s">
        <v>10360</v>
      </c>
      <c r="AT1080" s="0" t="s">
        <v>10354</v>
      </c>
      <c r="AY1080" s="0" t="s">
        <v>9665</v>
      </c>
      <c r="AZ1080" s="0" t="s">
        <v>9666</v>
      </c>
      <c r="BX1080" s="1" t="s">
        <v>10361</v>
      </c>
      <c r="BY1080" s="0" t="s">
        <v>9658</v>
      </c>
      <c r="BZ1080" s="0" t="s">
        <v>326</v>
      </c>
      <c r="CF1080" s="0" t="s">
        <v>10362</v>
      </c>
      <c r="CG1080" s="0" t="s">
        <v>123</v>
      </c>
      <c r="CH1080" s="0" t="s">
        <v>298</v>
      </c>
      <c r="CI1080" s="1" t="s">
        <v>10361</v>
      </c>
      <c r="CL1080" s="1" t="s">
        <v>10363</v>
      </c>
      <c r="CM1080" s="1" t="s">
        <v>10363</v>
      </c>
      <c r="CQ1080" s="0" t="s">
        <v>10364</v>
      </c>
      <c r="CR1080" s="0" t="s">
        <v>10365</v>
      </c>
    </row>
    <row r="1081" customFormat="false" ht="12.8" hidden="false" customHeight="false" outlineLevel="0" collapsed="false">
      <c r="B1081" s="0" t="s">
        <v>10128</v>
      </c>
      <c r="CP1081" s="0" t="s">
        <v>10366</v>
      </c>
    </row>
    <row r="1082" customFormat="false" ht="86.25" hidden="false" customHeight="false" outlineLevel="0" collapsed="false">
      <c r="A1082" s="0" t="s">
        <v>96</v>
      </c>
      <c r="B1082" s="0" t="s">
        <v>10367</v>
      </c>
      <c r="E1082" s="0" t="s">
        <v>10368</v>
      </c>
      <c r="F1082" s="1" t="s">
        <v>1471</v>
      </c>
      <c r="H1082" s="0" t="s">
        <v>772</v>
      </c>
      <c r="L1082" s="0" t="str">
        <f aca="false">"1630"</f>
        <v>1630</v>
      </c>
      <c r="T1082" s="0" t="s">
        <v>247</v>
      </c>
      <c r="U1082" s="1" t="s">
        <v>10369</v>
      </c>
      <c r="V1082" s="1" t="s">
        <v>10370</v>
      </c>
      <c r="Z1082" s="0" t="s">
        <v>10371</v>
      </c>
      <c r="AD1082" s="0" t="s">
        <v>155</v>
      </c>
      <c r="AE1082" s="0" t="s">
        <v>10372</v>
      </c>
      <c r="AF1082" s="0" t="s">
        <v>109</v>
      </c>
      <c r="AI1082" s="0" t="s">
        <v>10373</v>
      </c>
      <c r="AO1082" s="0" t="s">
        <v>161</v>
      </c>
      <c r="AT1082" s="0" t="s">
        <v>139</v>
      </c>
      <c r="AU1082" s="0" t="s">
        <v>112</v>
      </c>
      <c r="AV1082" s="0" t="s">
        <v>113</v>
      </c>
      <c r="AY1082" s="0" t="s">
        <v>10374</v>
      </c>
      <c r="BG1082" s="0" t="s">
        <v>98</v>
      </c>
      <c r="BH1082" s="0" t="s">
        <v>116</v>
      </c>
      <c r="BI1082" s="0" t="s">
        <v>1477</v>
      </c>
      <c r="BJ1082" s="0" t="s">
        <v>185</v>
      </c>
      <c r="BU1082" s="1" t="s">
        <v>10375</v>
      </c>
      <c r="BX1082" s="0" t="s">
        <v>10376</v>
      </c>
      <c r="CF1082" s="1" t="s">
        <v>10377</v>
      </c>
      <c r="CG1082" s="0" t="s">
        <v>123</v>
      </c>
      <c r="CH1082" s="0" t="s">
        <v>145</v>
      </c>
      <c r="CI1082" s="0" t="s">
        <v>10376</v>
      </c>
      <c r="CJ1082" s="0" t="s">
        <v>10378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dc:language>
  <cp:lastModifiedBy/>
  <cp:revision>0</cp:revision>
  <dc:subject/>
  <dc:title/>
</cp:coreProperties>
</file>