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rmem计算器T41" sheetId="10" r:id="rId1"/>
    <sheet name="rmem计算器T40 " sheetId="11" r:id="rId2"/>
    <sheet name="rmem计算器T31" sheetId="8" r:id="rId3"/>
    <sheet name="rmem计算器T21" sheetId="2" r:id="rId4"/>
    <sheet name="rmem计算器T30" sheetId="3" r:id="rId5"/>
    <sheet name="rmem计算器T20&amp;T10" sheetId="4" r:id="rId6"/>
    <sheet name="ChangeLog" sheetId="5" r:id="rId7"/>
  </sheets>
  <calcPr calcId="144525"/>
</workbook>
</file>

<file path=xl/sharedStrings.xml><?xml version="1.0" encoding="utf-8"?>
<sst xmlns="http://schemas.openxmlformats.org/spreadsheetml/2006/main" count="386" uniqueCount="89">
  <si>
    <r>
      <rPr>
        <b/>
        <sz val="12"/>
        <color rgb="FFFF0000"/>
        <rFont val="宋体"/>
        <charset val="134"/>
      </rPr>
      <t xml:space="preserve">使用说明：
1.设置Sensor、主路、次路、第三路分辨率和nrVbs大小；
2.设置编码是否开启，IVDC功能是否开启，编码MMA是否开启和编码LTR功能是否开启；
3.设置编码类型，在Codec一栏选择HEVC即265编码、选择AVC即264编码，不同编码类型内存使用不一样；
4.设置编码分辨率(需要注意编码尺寸和通道分辨率不同的情形）；
5.其余选项设置可以按照默认设置进行；
6.注意编码LTR不能与编码MMA共用；
</t>
    </r>
    <r>
      <rPr>
        <b/>
        <sz val="14"/>
        <color rgb="FFFF0000"/>
        <rFont val="宋体"/>
        <charset val="134"/>
      </rPr>
      <t>7.黄色标记部分为可配置部分；蓝色为对应输出的结果；灰色为不可配置部分；</t>
    </r>
    <r>
      <rPr>
        <b/>
        <sz val="12"/>
        <color rgb="FFFF0000"/>
        <rFont val="宋体"/>
        <charset val="134"/>
      </rPr>
      <t xml:space="preserve">
最后会自动算出内存分割cmdline，直接复制使用即可。</t>
    </r>
    <r>
      <rPr>
        <sz val="12"/>
        <color rgb="FFFF0000"/>
        <rFont val="宋体"/>
        <charset val="134"/>
      </rPr>
      <t xml:space="preserve">
</t>
    </r>
  </si>
  <si>
    <t>分辨率</t>
  </si>
  <si>
    <t>图像格式</t>
  </si>
  <si>
    <t>nrvbs</t>
  </si>
  <si>
    <t>FS En</t>
  </si>
  <si>
    <t>Encoder En</t>
  </si>
  <si>
    <t>IVDC En</t>
  </si>
  <si>
    <t>MMA</t>
  </si>
  <si>
    <t>LTR En</t>
  </si>
  <si>
    <t>编码类型</t>
  </si>
  <si>
    <t>OSD size</t>
  </si>
  <si>
    <t>ISP memopt</t>
  </si>
  <si>
    <t>Sensor分辨率</t>
  </si>
  <si>
    <t>主路</t>
  </si>
  <si>
    <t>NV12</t>
  </si>
  <si>
    <t>YES</t>
  </si>
  <si>
    <t>NO</t>
  </si>
  <si>
    <t>HEVC</t>
  </si>
  <si>
    <t>次路</t>
  </si>
  <si>
    <t>第三路</t>
  </si>
  <si>
    <t>内存设置</t>
  </si>
  <si>
    <t>芯片型号</t>
  </si>
  <si>
    <t>内存大小</t>
  </si>
  <si>
    <t>T41L</t>
  </si>
  <si>
    <t>码流</t>
  </si>
  <si>
    <t>En</t>
  </si>
  <si>
    <t>width</t>
  </si>
  <si>
    <t>height</t>
  </si>
  <si>
    <t>depth</t>
  </si>
  <si>
    <t>ncu</t>
  </si>
  <si>
    <t>编码width</t>
  </si>
  <si>
    <t>编码height</t>
  </si>
  <si>
    <t>Codec</t>
  </si>
  <si>
    <t>eGopMode</t>
  </si>
  <si>
    <t>uGopLength</t>
  </si>
  <si>
    <t>bEnableLt</t>
  </si>
  <si>
    <t>uNumB</t>
  </si>
  <si>
    <t>stream_buffer</t>
  </si>
  <si>
    <t>FORCE_REC</t>
  </si>
  <si>
    <t>OSD</t>
  </si>
  <si>
    <t>iVpubs</t>
  </si>
  <si>
    <t>总和</t>
  </si>
  <si>
    <t>DEFAULT</t>
  </si>
  <si>
    <t>注：jpeg消耗空间不大，这里不加入计算。</t>
  </si>
  <si>
    <t>开启IVDC功能之后，需要使用rmem内存，具体大小根据ivdc_mem_line设置计算。</t>
  </si>
  <si>
    <t>IVDC</t>
  </si>
  <si>
    <t xml:space="preserve">height </t>
  </si>
  <si>
    <t>IVDC memline</t>
  </si>
  <si>
    <t>剩余内存</t>
  </si>
  <si>
    <t>rmem</t>
  </si>
  <si>
    <t>Byte</t>
  </si>
  <si>
    <t>K</t>
  </si>
  <si>
    <t>M</t>
  </si>
  <si>
    <t>uboot cmdline:</t>
  </si>
  <si>
    <t>使用说明：
1.设置Sensor、主路、次路、第三路分辨率，图像格式和nrVbs大小；
2.设置内存大小
3.设置编码分辨率(需要注意编码尺寸和通道分辨率不同的情形）；
4.设置编码类型，在Codec一栏选择HEVC即265编码、选择AVC即264编码，不同编码类型内存使用不一样；
5、设置是否是能通道:En，是否是能jpeg编码:EnJpeg；
6、其余选项设置可以按照默认设置进行
最后会自动算出内存分割cmdline，直接复制使用即可。</t>
  </si>
  <si>
    <t>主摄设置分辨率</t>
  </si>
  <si>
    <t>　</t>
  </si>
  <si>
    <t>BGR0</t>
  </si>
  <si>
    <t>次摄设置分辨率</t>
  </si>
  <si>
    <t>128M</t>
  </si>
  <si>
    <t>T40</t>
  </si>
  <si>
    <t>主摄码流</t>
  </si>
  <si>
    <t>EnJpeg</t>
  </si>
  <si>
    <t>Yes</t>
  </si>
  <si>
    <t>No</t>
  </si>
  <si>
    <t>次摄码流</t>
  </si>
  <si>
    <t>注：jpeg消耗空间不大，这里不加入计算</t>
  </si>
  <si>
    <t>单摄</t>
  </si>
  <si>
    <t>双摄</t>
  </si>
  <si>
    <t>单摄uboot cmdline:</t>
  </si>
  <si>
    <t>双摄uboot cmdline:</t>
  </si>
  <si>
    <t>设置分辨率</t>
  </si>
  <si>
    <t>T31</t>
  </si>
  <si>
    <t>使用说明：
1.设置Sensor、主路、次路、第三路分辨率，图像格式和nrVbs大小；
2.设置内存大小
3.设置编码分辨率(需要注意编码尺寸和通道分辨率不同的情形）；
4、设置是否是能通道:En，是否是能jpeg编码:EnJpeg，是否使能EnLongRef（目前不使能）
最后会自动算出内存分割cmdline，直接复制使用即可。
5、下面两个API可以在SDK初始化之前指定编码输出buf和osd模块使用buf的大小来减少rmem使用。
 1）码流buffer: 编码输出buf，这个buf默认是根据分辨率按照经验压缩比计算得到。实际可以根据产品的码流控制来设置大小，需要设置比I帧大。例如在720p分辨率时设置1MB
 2）OSDBuf: OSD模块buf，这个buf存放的是osd叠加图片使用的，默认是分配1Mbyte，可以根据实际产品功能调小，例如512K。 
 内存优化调用: 
 extern "C" {
     //设置编码输出码流buf大小
     extern int IMP_Encoder_SetPoolSize(int size);
     //设置OSD模块使用大小
     extern int IMP_OSD_SetPoolSize(int size);
 }
 初始化SDK之前调用 IMP_OSD_SetPoolSize(180*1024)和IMP_Encoder_SetPoolSize(1*1024*1024);</t>
  </si>
  <si>
    <t>64M</t>
  </si>
  <si>
    <t>T21</t>
  </si>
  <si>
    <t>OSDBuf</t>
  </si>
  <si>
    <t>码流buffer</t>
  </si>
  <si>
    <t>EnLongRef</t>
  </si>
  <si>
    <t>RMEM</t>
  </si>
  <si>
    <t>使用说明：
1.设置Sensor、主路、次路、第三路分辨率，图像格式和nrVbs大小；
2.设置内存大小
3.确认HASTEMPDN类型，这个问调图像的同事
4.设置编码分辨率(需要注意编码尺寸和通道分辨率不同的情形）；
5、设置是否是能通道:En，是否是能jpeg编码:EnJpeg，是否是能Smart：EnSmart,若HSkip类型为N1X，则选NO，否则选Yes
最后会自动算出内存分割cmdline，直接复制使用即可。</t>
  </si>
  <si>
    <t>HASTEMPDN</t>
  </si>
  <si>
    <t>T30</t>
  </si>
  <si>
    <t>EnH264</t>
  </si>
  <si>
    <t>EnSmartH</t>
  </si>
  <si>
    <t>使用说明：
1.设置Sensor、主路、次路、第三路分辨率，图像格式和nrVbs大小；
2.设置内存大小
3.设置编码分辨率(需要注意编码尺寸和通道分辨率不同的情形）；
4、设置是否是能通道:En，是否是能jpeg编码:EnJpeg，是否是能Smart：EnSmart,若HSkip类型为N1X，则选NO，否则选Yes
最后会自动算出内存分割cmdline，直接复制使用即可。</t>
  </si>
  <si>
    <t>T20</t>
  </si>
  <si>
    <t>ispmem</t>
  </si>
  <si>
    <t>2016/11/28 v1.0初版，添加T20及之前芯片计算
2017/9/20 v1.1版本，添加T20及之前芯片smart内存计算
2017/11/30 V1.2版本，添加T30芯片内存计算
2019/7/10 V3.1版本。添加T31芯片内存计算
2022/10/8 T41 V1.2 版本。ivdc使用的内存从rmem申请，不在从mem申请，原因是mem碎片太多。
2022/10/18 T41 V1.3 版本。添加FS enabale开关，可以用于某路不开编码，只开算法内存计算。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</si>
</sst>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1">
    <font>
      <sz val="11"/>
      <color indexed="8"/>
      <name val="宋体"/>
      <charset val="134"/>
    </font>
    <font>
      <sz val="18"/>
      <color indexed="8"/>
      <name val="宋体"/>
      <charset val="134"/>
    </font>
    <font>
      <sz val="12"/>
      <color indexed="8"/>
      <name val="宋体"/>
      <charset val="134"/>
    </font>
    <font>
      <sz val="18"/>
      <color indexed="20"/>
      <name val="宋体"/>
      <charset val="134"/>
    </font>
    <font>
      <sz val="18"/>
      <name val="宋体"/>
      <charset val="134"/>
    </font>
    <font>
      <b/>
      <sz val="18"/>
      <name val="宋体"/>
      <charset val="134"/>
    </font>
    <font>
      <sz val="14"/>
      <color indexed="8"/>
      <name val="宋体"/>
      <charset val="134"/>
    </font>
    <font>
      <sz val="12"/>
      <color rgb="FFFF0000"/>
      <name val="宋体"/>
      <charset val="134"/>
    </font>
    <font>
      <sz val="18"/>
      <color rgb="FF000000"/>
      <name val="宋体"/>
      <charset val="134"/>
    </font>
    <font>
      <b/>
      <sz val="12"/>
      <color rgb="FFFF0000"/>
      <name val="宋体"/>
      <charset val="134"/>
    </font>
    <font>
      <b/>
      <sz val="14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2" borderId="13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1" fillId="22" borderId="7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9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/>
    </xf>
    <xf numFmtId="0" fontId="3" fillId="14" borderId="2" xfId="0" applyNumberFormat="1" applyFont="1" applyFill="1" applyBorder="1" applyAlignment="1">
      <alignment horizontal="center" vertical="center"/>
    </xf>
    <xf numFmtId="0" fontId="3" fillId="14" borderId="3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5" borderId="2" xfId="0" applyNumberFormat="1" applyFont="1" applyFill="1" applyBorder="1" applyAlignment="1">
      <alignment horizontal="center" vertical="center"/>
    </xf>
    <xf numFmtId="0" fontId="3" fillId="15" borderId="3" xfId="0" applyNumberFormat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19" borderId="5" xfId="0" applyNumberFormat="1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vertical="center"/>
    </xf>
    <xf numFmtId="0" fontId="1" fillId="20" borderId="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4" fillId="1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19" borderId="4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4" fillId="14" borderId="3" xfId="0" applyFont="1" applyFill="1" applyBorder="1" applyAlignment="1">
      <alignment vertical="center"/>
    </xf>
    <xf numFmtId="0" fontId="4" fillId="21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tabSelected="1" zoomScale="70" zoomScaleNormal="70" topLeftCell="A7" workbookViewId="0">
      <selection activeCell="M27" sqref="M27"/>
    </sheetView>
  </sheetViews>
  <sheetFormatPr defaultColWidth="9" defaultRowHeight="23.25"/>
  <cols>
    <col min="1" max="2" width="10.7522123893805" style="5" customWidth="1"/>
    <col min="3" max="3" width="9.24778761061947" style="5" customWidth="1"/>
    <col min="4" max="4" width="12.6283185840708" style="5" customWidth="1"/>
    <col min="5" max="5" width="9.12389380530973" style="5" customWidth="1"/>
    <col min="6" max="6" width="17.2477876106195" style="5" customWidth="1"/>
    <col min="7" max="7" width="10.5044247787611" style="5" customWidth="1"/>
    <col min="8" max="8" width="10.1238938053097" style="5" customWidth="1"/>
    <col min="9" max="9" width="15.646017699115" style="5" customWidth="1"/>
    <col min="10" max="10" width="15.5044247787611" style="5" customWidth="1"/>
    <col min="11" max="11" width="15.1238938053097" style="5" customWidth="1"/>
    <col min="12" max="12" width="16.5044247787611" style="5" customWidth="1"/>
    <col min="13" max="13" width="17.1681415929204" style="5" customWidth="1"/>
    <col min="14" max="14" width="15.4690265486726" style="5" customWidth="1"/>
    <col min="15" max="15" width="14.1238938053097" style="5" customWidth="1"/>
    <col min="16" max="16" width="13.9026548672566" style="5" customWidth="1"/>
    <col min="17" max="17" width="21" style="5" customWidth="1"/>
    <col min="18" max="18" width="16" style="5" customWidth="1"/>
    <col min="19" max="19" width="16.2389380530973" style="5" customWidth="1"/>
    <col min="20" max="20" width="13.0884955752212" style="5" customWidth="1"/>
    <col min="21" max="21" width="12.2389380530973" style="5" customWidth="1"/>
    <col min="22" max="22" width="17.5486725663717" style="5" customWidth="1"/>
    <col min="23" max="23" width="14" style="5"/>
    <col min="24" max="16384" width="9" style="5"/>
  </cols>
  <sheetData>
    <row r="1" s="5" customFormat="1" spans="1:19">
      <c r="A1" s="45" t="s">
        <v>0</v>
      </c>
      <c r="B1" s="45"/>
      <c r="C1" s="6"/>
      <c r="D1" s="6"/>
      <c r="E1" s="6"/>
      <c r="F1" s="6"/>
      <c r="G1" s="6"/>
      <c r="H1" s="6"/>
      <c r="I1" s="6"/>
      <c r="J1" s="6"/>
      <c r="K1" s="6"/>
      <c r="L1" s="6"/>
      <c r="O1"/>
      <c r="P1"/>
      <c r="Q1"/>
      <c r="R1"/>
      <c r="S1"/>
    </row>
    <row r="2" s="5" customFormat="1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5" customFormat="1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="5" customFormat="1" ht="82" customHeight="1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="5" customFormat="1" ht="8" customHeight="1"/>
    <row r="6" s="5" customFormat="1" ht="30.95" customHeight="1" spans="1:20">
      <c r="A6" s="7" t="s">
        <v>1</v>
      </c>
      <c r="B6" s="8"/>
      <c r="C6" s="8"/>
      <c r="D6" s="8"/>
      <c r="E6" s="8"/>
      <c r="F6" s="8"/>
      <c r="G6" s="8"/>
      <c r="H6" s="8"/>
      <c r="I6" s="9"/>
      <c r="J6" s="70" t="s">
        <v>2</v>
      </c>
      <c r="K6" s="31" t="s">
        <v>3</v>
      </c>
      <c r="L6" s="31" t="s">
        <v>4</v>
      </c>
      <c r="M6" s="31" t="s">
        <v>5</v>
      </c>
      <c r="N6" s="31" t="s">
        <v>6</v>
      </c>
      <c r="O6" s="31" t="s">
        <v>7</v>
      </c>
      <c r="P6" s="31" t="s">
        <v>8</v>
      </c>
      <c r="Q6" s="31" t="s">
        <v>9</v>
      </c>
      <c r="R6" s="31" t="s">
        <v>10</v>
      </c>
      <c r="S6" s="31" t="s">
        <v>11</v>
      </c>
      <c r="T6" s="4"/>
    </row>
    <row r="7" s="5" customFormat="1" ht="23.1" customHeight="1" spans="1:20">
      <c r="A7" s="46" t="s">
        <v>12</v>
      </c>
      <c r="B7" s="47"/>
      <c r="C7" s="47"/>
      <c r="D7" s="48"/>
      <c r="E7" s="49">
        <v>2560</v>
      </c>
      <c r="F7" s="50"/>
      <c r="G7" s="51"/>
      <c r="H7" s="52">
        <v>1440</v>
      </c>
      <c r="I7" s="71"/>
      <c r="J7" s="72"/>
      <c r="K7" s="72"/>
      <c r="L7" s="72"/>
      <c r="M7" s="72"/>
      <c r="N7" s="72"/>
      <c r="O7" s="72"/>
      <c r="P7" s="72"/>
      <c r="Q7" s="72"/>
      <c r="R7" s="72"/>
      <c r="S7" s="85"/>
      <c r="T7" s="86"/>
    </row>
    <row r="8" s="5" customFormat="1" ht="23.1" customHeight="1" spans="1:19">
      <c r="A8" s="46" t="s">
        <v>13</v>
      </c>
      <c r="B8" s="47"/>
      <c r="C8" s="47"/>
      <c r="D8" s="48"/>
      <c r="E8" s="53">
        <f>E7</f>
        <v>2560</v>
      </c>
      <c r="F8" s="54"/>
      <c r="G8" s="55"/>
      <c r="H8" s="56">
        <f>H7</f>
        <v>1440</v>
      </c>
      <c r="I8" s="73"/>
      <c r="J8" s="74" t="s">
        <v>14</v>
      </c>
      <c r="K8" s="75">
        <v>2</v>
      </c>
      <c r="L8" s="75" t="s">
        <v>15</v>
      </c>
      <c r="M8" s="75" t="s">
        <v>15</v>
      </c>
      <c r="N8" s="76" t="s">
        <v>15</v>
      </c>
      <c r="O8" s="76" t="s">
        <v>15</v>
      </c>
      <c r="P8" s="76" t="s">
        <v>16</v>
      </c>
      <c r="Q8" s="76" t="s">
        <v>17</v>
      </c>
      <c r="R8" s="75">
        <v>524288</v>
      </c>
      <c r="S8" s="87">
        <v>1</v>
      </c>
    </row>
    <row r="9" s="5" customFormat="1" ht="27" customHeight="1" spans="1:19">
      <c r="A9" s="46" t="s">
        <v>18</v>
      </c>
      <c r="B9" s="47"/>
      <c r="C9" s="47"/>
      <c r="D9" s="48"/>
      <c r="E9" s="49">
        <v>640</v>
      </c>
      <c r="F9" s="50"/>
      <c r="G9" s="51"/>
      <c r="H9" s="52">
        <v>360</v>
      </c>
      <c r="I9" s="71"/>
      <c r="J9" s="74" t="s">
        <v>14</v>
      </c>
      <c r="K9" s="75">
        <v>1</v>
      </c>
      <c r="L9" s="75" t="s">
        <v>15</v>
      </c>
      <c r="M9" s="75" t="s">
        <v>15</v>
      </c>
      <c r="N9" s="77" t="s">
        <v>16</v>
      </c>
      <c r="O9" s="76" t="s">
        <v>15</v>
      </c>
      <c r="P9" s="76" t="s">
        <v>16</v>
      </c>
      <c r="Q9" s="76" t="s">
        <v>17</v>
      </c>
      <c r="R9" s="75"/>
      <c r="S9" s="88">
        <v>0</v>
      </c>
    </row>
    <row r="10" s="5" customFormat="1" ht="27" customHeight="1" spans="1:19">
      <c r="A10" s="46" t="s">
        <v>19</v>
      </c>
      <c r="B10" s="47"/>
      <c r="C10" s="47"/>
      <c r="D10" s="48"/>
      <c r="E10" s="49">
        <v>1280</v>
      </c>
      <c r="F10" s="50"/>
      <c r="G10" s="51"/>
      <c r="H10" s="52">
        <v>720</v>
      </c>
      <c r="I10" s="71"/>
      <c r="J10" s="74" t="s">
        <v>14</v>
      </c>
      <c r="K10" s="75">
        <v>1</v>
      </c>
      <c r="L10" s="75" t="s">
        <v>16</v>
      </c>
      <c r="M10" s="76" t="s">
        <v>16</v>
      </c>
      <c r="N10" s="77" t="s">
        <v>16</v>
      </c>
      <c r="O10" s="76" t="s">
        <v>15</v>
      </c>
      <c r="P10" s="76" t="s">
        <v>16</v>
      </c>
      <c r="Q10" s="76" t="s">
        <v>17</v>
      </c>
      <c r="R10" s="75"/>
      <c r="S10" s="88">
        <v>0</v>
      </c>
    </row>
    <row r="11" s="3" customFormat="1" ht="15" customHeight="1"/>
    <row r="12" s="5" customFormat="1" ht="27" customHeight="1" spans="1:11">
      <c r="A12" s="57" t="s">
        <v>20</v>
      </c>
      <c r="B12" s="57"/>
      <c r="C12" s="57"/>
      <c r="D12" s="57"/>
      <c r="E12" s="57"/>
      <c r="F12" s="57"/>
      <c r="G12" s="57"/>
      <c r="H12" s="57"/>
      <c r="I12" s="78" t="s">
        <v>21</v>
      </c>
      <c r="J12" s="40"/>
      <c r="K12" s="40"/>
    </row>
    <row r="13" s="5" customFormat="1" ht="29.1" customHeight="1" spans="1:9">
      <c r="A13" s="58" t="s">
        <v>22</v>
      </c>
      <c r="B13" s="59"/>
      <c r="C13" s="59"/>
      <c r="D13" s="59"/>
      <c r="E13" s="60"/>
      <c r="F13" s="58" t="str">
        <f>IF(I13="T41L","64M","128M")</f>
        <v>64M</v>
      </c>
      <c r="G13" s="59"/>
      <c r="H13" s="60"/>
      <c r="I13" s="79" t="s">
        <v>23</v>
      </c>
    </row>
    <row r="14" s="4" customFormat="1" ht="15" customHeight="1"/>
    <row r="15" s="5" customFormat="1" ht="47.1" customHeight="1" spans="1:22">
      <c r="A15" s="19" t="s">
        <v>24</v>
      </c>
      <c r="B15" s="19" t="s">
        <v>4</v>
      </c>
      <c r="C15" s="19" t="s">
        <v>25</v>
      </c>
      <c r="D15" s="19" t="s">
        <v>6</v>
      </c>
      <c r="E15" s="19" t="s">
        <v>26</v>
      </c>
      <c r="F15" s="19" t="s">
        <v>27</v>
      </c>
      <c r="G15" s="19" t="s">
        <v>28</v>
      </c>
      <c r="H15" s="19" t="s">
        <v>3</v>
      </c>
      <c r="I15" s="19" t="s">
        <v>29</v>
      </c>
      <c r="J15" s="19" t="s">
        <v>30</v>
      </c>
      <c r="K15" s="19" t="s">
        <v>31</v>
      </c>
      <c r="L15" s="19" t="s">
        <v>32</v>
      </c>
      <c r="M15" s="19" t="s">
        <v>33</v>
      </c>
      <c r="N15" s="19" t="s">
        <v>34</v>
      </c>
      <c r="O15" s="19" t="s">
        <v>35</v>
      </c>
      <c r="P15" s="19" t="s">
        <v>36</v>
      </c>
      <c r="Q15" s="19" t="s">
        <v>37</v>
      </c>
      <c r="R15" s="19" t="s">
        <v>38</v>
      </c>
      <c r="S15" s="19" t="s">
        <v>7</v>
      </c>
      <c r="T15" s="19" t="s">
        <v>39</v>
      </c>
      <c r="U15" s="19" t="s">
        <v>40</v>
      </c>
      <c r="V15" s="19" t="s">
        <v>41</v>
      </c>
    </row>
    <row r="16" s="5" customFormat="1" ht="30" customHeight="1" spans="1:22">
      <c r="A16" s="20">
        <v>1</v>
      </c>
      <c r="B16" s="61" t="str">
        <f>L8</f>
        <v>YES</v>
      </c>
      <c r="C16" s="61" t="str">
        <f>M8</f>
        <v>YES</v>
      </c>
      <c r="D16" s="20" t="str">
        <f>N8</f>
        <v>YES</v>
      </c>
      <c r="E16" s="21">
        <f>E8</f>
        <v>2560</v>
      </c>
      <c r="F16" s="21">
        <f>H8</f>
        <v>1440</v>
      </c>
      <c r="G16" s="21">
        <f t="shared" ref="G16:G18" si="0">IF(K8="NV12",1.5,IF(K8="RGB565",2,IF(K8="BGR0",4,1.5)))</f>
        <v>1.5</v>
      </c>
      <c r="H16" s="21">
        <f>K8</f>
        <v>2</v>
      </c>
      <c r="I16" s="80">
        <f>_xlfn.IFS(S8=0,ROUNDDOWN((ROUNDDOWN((E16+15)/16,0)*16*F16*33/32+1023)/1024,0)*1024+ROUNDDOWN((ROUNDDOWN((E16+31)/32,0)*32*F16/2*65/64+1023)/1024,0)*1024+ROUNDDOWN((ROUNDDOWN((E16+31)/32,0)*32*F16/2+1023)/1024,0)*1024+ROUNDDOWN((ROUNDDOWN(ROUNDDOWN((ROUNDDOWN((ROUNDDOWN((E16+7)/8,0)+1)/2,0)+7)/8,0)*8*F16/8,0)+1023)/1024,0)*1024+ROUNDDOWN((ROUNDDOWN(ROUNDDOWN((E16+31)/32,0)*16*F16/4,0)+1023)/1024,0)*1024,S8=1,ROUNDDOWN((ROUNDDOWN((E16+15)/16,0)*16*F16*33/32+1023)/1024,0)*1024+ROUNDDOWN((ROUNDDOWN((E16+31)/32,0)*32*F16/2*65/64+1023)/1024,0)*1024+ROUNDDOWN((ROUNDDOWN(ROUNDDOWN((E16/2+31)/32,0)*32*F16/2,0)+1023)/1024,0)*1024+ROUNDDOWN((ROUNDDOWN(ROUNDDOWN((ROUNDDOWN((ROUNDDOWN((E16+7)/8,0)+1)/2,0)+7)/8,0)*8*F16/8,0)+1023)/1024,0)*1024,S8=2,ROUNDDOWN((ROUNDDOWN((E16+15)/16,0)*16*F16*33/32+1023)/1024,0)*1024+ROUNDDOWN((ROUNDDOWN((E16+31)/32,0)*32*F16/2*65/64+1023)/1024,0)*1024+ROUNDDOWN((ROUNDDOWN(ROUNDDOWN((ROUNDDOWN((ROUNDDOWN((E16+7)/8,0)+1)/2,0)+7)/8,0)*8*F16/8,0)+1023)/1024,0)*1024)</f>
        <v>6626304</v>
      </c>
      <c r="J16" s="81">
        <f t="shared" ref="J16:J18" si="1">E16</f>
        <v>2560</v>
      </c>
      <c r="K16" s="21">
        <f t="shared" ref="K16:K18" si="2">F16</f>
        <v>1440</v>
      </c>
      <c r="L16" s="82" t="str">
        <f>Q8</f>
        <v>HEVC</v>
      </c>
      <c r="M16" s="43" t="s">
        <v>42</v>
      </c>
      <c r="N16" s="43">
        <v>50</v>
      </c>
      <c r="O16" s="43" t="str">
        <f>P8</f>
        <v>NO</v>
      </c>
      <c r="P16" s="43">
        <v>0</v>
      </c>
      <c r="Q16" s="43">
        <v>1</v>
      </c>
      <c r="R16" s="43" t="s">
        <v>16</v>
      </c>
      <c r="S16" s="43" t="str">
        <f>O8</f>
        <v>YES</v>
      </c>
      <c r="T16" s="89">
        <f>R8</f>
        <v>524288</v>
      </c>
      <c r="U16" s="21">
        <v>0</v>
      </c>
      <c r="V16" s="90">
        <f>IF(B16="YES",(IF(C16="YES",(IF(D16="NO",(CEILING((CEILING(E16,16)*CEILING(F16,16)*G16*H16),4096)),0)+I16+IF(J8="NV12",((2456+25856+5248+5248+5248+81920+((ROUNDUP(ROUNDDOWN((1536*8*7+(8*6-1))/(8*6),0)*((CEILING(J16,64)/64)*(CEILING(K16,64)/64))+(256+256)+(CEILING(K16,16)/16)*512,32))*(Q16+P16))+((((CEILING(J16,64)*IF(S16="NO",CEILING(K16,64),(CEILING(K16,64)+2*16+IF(L16="HEVC",32,16))))*3/2)+IF(S16="NO",1,2)*(ROUNDDOWN(((CEILING(K16,64)+3)/4),0)*((4096/(2*64))*(ROUNDDOWN((CEILING(J16,64)+4095)/4096,0)))+ROUNDDOWN(((CEILING(K16/2,64)+3)/4),0)*((4096/(2*64))*(ROUNDDOWN((CEILING(J16,64)+4095)/4096,0))))+IF(S16="NO",1,2)*(256+IF(L16="HEVC",CEILING(J16,32)/32*CEILING(K16,32)/32*4,CEILING(J16,16)/16*CEILING(K16,16)/16)*4*4*IF(L16="HEVC",1,2)))*(IF(S16="NO",IF(M16="LOW_DELAY_B",2+IF(AND(L16="AVC",N16&gt;1),1,0),1+IF(P16&gt;0,1,0))+IF(O16="YES",1,0)+IF(L16="HEVC",1,0)+IF(L16&lt;&gt;"HEVC",1,0)+IF(R16="YES",1,0),1)))+(2456+(CEILING(IF(L16="HEVC",CEILING(K16,32)/32,CEILING(K16,16)/16)*4,128))+(48+16+CEILING(IF(L16="HEVC",(CEILING(J16,32)/32)*(CEILING(K16,32)/32)*8,IF(L16="HEVC",0,(CEILING(J16,16)/16)*(CEILING(K16,16)/16)*4)),128))))+T16+U16),0)),(CEILING((CEILING(E16,16)*CEILING(F16,16)*G16*H16),4096)))),0)</f>
        <v>15398768</v>
      </c>
    </row>
    <row r="17" s="5" customFormat="1" ht="27" customHeight="1" spans="1:22">
      <c r="A17" s="20">
        <v>2</v>
      </c>
      <c r="B17" s="61" t="str">
        <f>L9</f>
        <v>YES</v>
      </c>
      <c r="C17" s="61" t="str">
        <f>M9</f>
        <v>YES</v>
      </c>
      <c r="D17" s="20" t="str">
        <f>N9</f>
        <v>NO</v>
      </c>
      <c r="E17" s="21">
        <f>E9</f>
        <v>640</v>
      </c>
      <c r="F17" s="21">
        <f>H9</f>
        <v>360</v>
      </c>
      <c r="G17" s="21">
        <f t="shared" si="0"/>
        <v>1.5</v>
      </c>
      <c r="H17" s="21">
        <f>K9</f>
        <v>1</v>
      </c>
      <c r="I17" s="21">
        <v>0</v>
      </c>
      <c r="J17" s="81">
        <f t="shared" si="1"/>
        <v>640</v>
      </c>
      <c r="K17" s="21">
        <f t="shared" si="2"/>
        <v>360</v>
      </c>
      <c r="L17" s="82" t="str">
        <f>Q9</f>
        <v>HEVC</v>
      </c>
      <c r="M17" s="43" t="s">
        <v>42</v>
      </c>
      <c r="N17" s="21">
        <v>50</v>
      </c>
      <c r="O17" s="43" t="str">
        <f>P9</f>
        <v>NO</v>
      </c>
      <c r="P17" s="21">
        <v>0</v>
      </c>
      <c r="Q17" s="12">
        <v>2</v>
      </c>
      <c r="R17" s="43" t="s">
        <v>16</v>
      </c>
      <c r="S17" s="43" t="str">
        <f t="shared" ref="S17:S18" si="3">O9</f>
        <v>YES</v>
      </c>
      <c r="T17" s="21">
        <v>0</v>
      </c>
      <c r="U17" s="21"/>
      <c r="V17" s="90">
        <f>IF(B17="YES",IF(C17="Yes",((CEILING((CEILING(E17,16)*CEILING(F17,16)*G17*H17),4096))+I17+IF(J9="NV12",((2456+25856+5248+5248+5248+81920+((ROUNDUP(ROUNDDOWN((1536*8*7+(8*6-1))/(8*6),0)*((CEILING(J17,64)/64)*(CEILING(K17,64)/64))+(256+256)+(CEILING(K17,16)/16)*512,32))*(Q17+P17))+((((CEILING(J17,64)*IF(S17="NO",CEILING(K17,64),(CEILING(K17,64)+2*16+IF(L17="HEVC",32,16))))*3/2)+IF(S17="NO",1,2)*(ROUNDDOWN(((CEILING(K17,64)+3)/4),0)*((4096/(2*64))*(ROUNDDOWN((CEILING(J17,64)+4095)/4096,0)))+ROUNDDOWN(((CEILING(K17/2,64)+3)/4),0)*((4096/(2*64))*(ROUNDDOWN((CEILING(J17,64)+4095)/4096,0))))+IF(S17="NO",1,2)*(256+IF(L17="HEVC",CEILING(J17,32)/32*CEILING(K17,32)/32*4,CEILING(J17,16)/16*CEILING(K17,16)/16)*4*4*IF(L17="HEVC",1,2)))*(IF(S17="NO",IF(M17="LOW_DELAY_B",2+IF(AND(L17="AVC",N17&gt;1),1,0),1+IF(P17&gt;0,1,0))+IF(O17="YES",1,0)+IF(L17="HEVC",1,0)+IF(L17&lt;&gt;"HEVC",1,0)+IF(R17="YES",1,0),1)))+(2456+(CEILING(IF(L17="HEVC",CEILING(K17,32)/32,CEILING(K17,16)/16)*4,128))+(48+16+CEILING(IF(L17="HEVC",(CEILING(J17,32)/32)*(CEILING(K17,32)/32)*8,IF(L17="HEVC",0,(CEILING(J17,16)/16)*(CEILING(K17,16)/16)*4)),128))))+T17),0)),(CEILING((CEILING(E17,16)*CEILING(F17,16)*G17*H17),4096))),0)</f>
        <v>1197040</v>
      </c>
    </row>
    <row r="18" s="5" customFormat="1" ht="27" customHeight="1" spans="1:22">
      <c r="A18" s="20">
        <v>3</v>
      </c>
      <c r="B18" s="61" t="str">
        <f>L10</f>
        <v>NO</v>
      </c>
      <c r="C18" s="61" t="str">
        <f>M10</f>
        <v>NO</v>
      </c>
      <c r="D18" s="20" t="str">
        <f>N10</f>
        <v>NO</v>
      </c>
      <c r="E18" s="21">
        <f>E10</f>
        <v>1280</v>
      </c>
      <c r="F18" s="21">
        <f>H10</f>
        <v>720</v>
      </c>
      <c r="G18" s="21">
        <f t="shared" si="0"/>
        <v>1.5</v>
      </c>
      <c r="H18" s="21">
        <f>K10</f>
        <v>1</v>
      </c>
      <c r="I18" s="21">
        <v>0</v>
      </c>
      <c r="J18" s="81">
        <f t="shared" si="1"/>
        <v>1280</v>
      </c>
      <c r="K18" s="21">
        <f t="shared" si="2"/>
        <v>720</v>
      </c>
      <c r="L18" s="82" t="str">
        <f>Q10</f>
        <v>HEVC</v>
      </c>
      <c r="M18" s="43" t="s">
        <v>42</v>
      </c>
      <c r="N18" s="21">
        <v>50</v>
      </c>
      <c r="O18" s="43" t="str">
        <f>P10</f>
        <v>NO</v>
      </c>
      <c r="P18" s="21">
        <v>0</v>
      </c>
      <c r="Q18" s="12">
        <v>2</v>
      </c>
      <c r="R18" s="43" t="s">
        <v>16</v>
      </c>
      <c r="S18" s="43" t="str">
        <f t="shared" si="3"/>
        <v>YES</v>
      </c>
      <c r="T18" s="21">
        <v>0</v>
      </c>
      <c r="U18" s="21"/>
      <c r="V18" s="90">
        <f>IF(B18="YES",IF(C18="Yes",((CEILING((CEILING(E18,16)*CEILING(F18,16)*G18*H18),4096))+I18+IF(J10="NV12",((2456+25856+5248+5248+5248+81920+((ROUNDUP(ROUNDDOWN((1536*8*7+(8*6-1))/(8*6),0)*((CEILING(J18,64)/64)*(CEILING(K18,64)/64))+(256+256)+(CEILING(K18,16)/16)*512,32))*(Q18+P18))+((((CEILING(J18,64)*IF(S18="NO",CEILING(K18,64),(CEILING(K18,64)+2*16+IF(L18="HEVC",32,16))))*3/2)+IF(S18="NO",1,2)*(ROUNDDOWN(((CEILING(K18,64)+3)/4),0)*((4096/(2*64))*(ROUNDDOWN((CEILING(J18,64)+4095)/4096,0)))+ROUNDDOWN(((CEILING(K18/2,64)+3)/4),0)*((4096/(2*64))*(ROUNDDOWN((CEILING(J18,64)+4095)/4096,0))))+IF(S18="NO",1,2)*(256+IF(L18="HEVC",CEILING(J18,32)/32*CEILING(K18,32)/32*4,CEILING(J18,16)/16*CEILING(K18,16)/16)*4*4*IF(L18="HEVC",1,2)))*(IF(S18="NO",IF(M18="LOW_DELAY_B",2+IF(AND(L18="AVC",N18&gt;1),1,0),1+IF(P18&gt;0,1,0))+IF(O18="YES",1,0)+IF(L18="HEVC",1,0)+IF(L18&lt;&gt;"HEVC",1,0)+IF(R18="YES",1,0),1)))+(2456+(CEILING(IF(L18="HEVC",CEILING(K18,32)/32,CEILING(K18,16)/16)*4,128))+(48+16+CEILING(IF(L18="HEVC",(CEILING(J18,32)/32)*(CEILING(K18,32)/32)*8,IF(L18="HEVC",0,(CEILING(J18,16)/16)*(CEILING(K18,16)/16)*4)),128))))+T18),0)),(CEILING((CEILING(E18,16)*CEILING(F18,16)*G18*H18),4096))),0)</f>
        <v>0</v>
      </c>
    </row>
    <row r="19" s="5" customFormat="1" ht="21" customHeight="1" spans="1:15">
      <c r="A19" s="23" t="s">
        <v>43</v>
      </c>
      <c r="B19" s="23"/>
      <c r="C19" s="23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="5" customFormat="1" ht="21" customHeight="1" spans="1:15">
      <c r="A20" s="23"/>
      <c r="B20" s="23"/>
      <c r="C20" s="23"/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="5" customFormat="1" ht="47.1" customHeight="1" spans="1:15">
      <c r="A21" s="62" t="s">
        <v>44</v>
      </c>
      <c r="B21" s="62"/>
      <c r="C21" s="23"/>
      <c r="D21" s="23"/>
      <c r="E21" s="23"/>
      <c r="F21" s="23"/>
      <c r="G21" s="23"/>
      <c r="H21" s="24"/>
      <c r="I21" s="24"/>
      <c r="J21" s="24"/>
      <c r="K21" s="24"/>
      <c r="L21" s="24"/>
      <c r="M21" s="24"/>
      <c r="N21" s="24"/>
      <c r="O21" s="24"/>
    </row>
    <row r="22" s="5" customFormat="1" ht="21" customHeight="1" spans="1:15">
      <c r="A22" s="63" t="s">
        <v>6</v>
      </c>
      <c r="B22" s="63"/>
      <c r="C22" s="63" t="s">
        <v>45</v>
      </c>
      <c r="D22" s="63" t="s">
        <v>26</v>
      </c>
      <c r="E22" s="64" t="s">
        <v>46</v>
      </c>
      <c r="F22" s="64" t="s">
        <v>47</v>
      </c>
      <c r="G22" s="64" t="s">
        <v>41</v>
      </c>
      <c r="H22" s="24"/>
      <c r="I22" s="24"/>
      <c r="J22" s="24"/>
      <c r="K22" s="24"/>
      <c r="L22" s="24"/>
      <c r="M22" s="24"/>
      <c r="N22" s="24"/>
      <c r="O22" s="24"/>
    </row>
    <row r="23" s="5" customFormat="1" ht="21" customHeight="1" spans="1:15">
      <c r="A23" s="65" t="str">
        <f>D16</f>
        <v>YES</v>
      </c>
      <c r="B23" s="65"/>
      <c r="C23" s="65">
        <v>1</v>
      </c>
      <c r="D23" s="65">
        <f>E8</f>
        <v>2560</v>
      </c>
      <c r="E23" s="66">
        <f>H8</f>
        <v>1440</v>
      </c>
      <c r="F23" s="67">
        <f>H7/6</f>
        <v>240</v>
      </c>
      <c r="G23" s="68">
        <f>IF(D16="YES",_xlfn.IFS(C23=0,0,C23&gt;=1,CEILING(CEILING(D23,32)*CEILING(F23,8)*3/2,8)),0)</f>
        <v>921600</v>
      </c>
      <c r="H23" s="24"/>
      <c r="I23" s="24"/>
      <c r="J23" s="24"/>
      <c r="K23" s="24"/>
      <c r="L23" s="24"/>
      <c r="M23" s="24"/>
      <c r="N23" s="24"/>
      <c r="O23" s="24"/>
    </row>
    <row r="24" s="5" customFormat="1" ht="21" customHeight="1" spans="1:15">
      <c r="A24" s="23"/>
      <c r="B24" s="23"/>
      <c r="C24" s="23"/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="5" customFormat="1" ht="14.1" customHeight="1"/>
    <row r="26" s="5" customFormat="1" ht="36" customHeight="1" spans="1:16384">
      <c r="A26" s="69"/>
      <c r="B26" s="69"/>
      <c r="C26" s="69"/>
      <c r="D26" s="69"/>
      <c r="E26" s="69"/>
      <c r="F26" s="19" t="s">
        <v>48</v>
      </c>
      <c r="G26" s="19"/>
      <c r="H26" s="19"/>
      <c r="I26" s="19" t="s">
        <v>49</v>
      </c>
      <c r="J26" s="19"/>
      <c r="K26" s="83"/>
      <c r="L26" s="84"/>
      <c r="M26"/>
      <c r="N26"/>
      <c r="O26"/>
      <c r="XFC26"/>
      <c r="XFD26"/>
    </row>
    <row r="27" s="5" customFormat="1" ht="36.95" customHeight="1" spans="1:16384">
      <c r="A27" s="69" t="s">
        <v>50</v>
      </c>
      <c r="B27" s="69"/>
      <c r="C27" s="69"/>
      <c r="D27" s="69"/>
      <c r="E27" s="69"/>
      <c r="F27" s="57">
        <f>CEILING(1024*1024*IF(F13="128M",128,64)-I27,1024)</f>
        <v>49591296</v>
      </c>
      <c r="G27" s="57"/>
      <c r="H27" s="57"/>
      <c r="I27" s="74">
        <f>CEILING(V16+V17+V18+G23,1024)</f>
        <v>17517568</v>
      </c>
      <c r="J27" s="74"/>
      <c r="K27" s="83"/>
      <c r="L27" s="84"/>
      <c r="M27"/>
      <c r="N27"/>
      <c r="O27"/>
      <c r="XFC27"/>
      <c r="XFD27"/>
    </row>
    <row r="28" s="5" customFormat="1" ht="33.95" customHeight="1" spans="1:16384">
      <c r="A28" s="69" t="s">
        <v>51</v>
      </c>
      <c r="B28" s="69"/>
      <c r="C28" s="69"/>
      <c r="D28" s="69"/>
      <c r="E28" s="69"/>
      <c r="F28" s="57">
        <f>F27/1024</f>
        <v>48429</v>
      </c>
      <c r="G28" s="57"/>
      <c r="H28" s="57"/>
      <c r="I28" s="74">
        <f>I27/1024</f>
        <v>17107</v>
      </c>
      <c r="J28" s="74"/>
      <c r="K28" s="83"/>
      <c r="L28" s="84"/>
      <c r="M28"/>
      <c r="N28"/>
      <c r="O28"/>
      <c r="XFC28"/>
      <c r="XFD28"/>
    </row>
    <row r="29" s="5" customFormat="1" ht="30" customHeight="1" spans="1:16384">
      <c r="A29" s="69" t="s">
        <v>52</v>
      </c>
      <c r="B29" s="69"/>
      <c r="C29" s="69"/>
      <c r="D29" s="69"/>
      <c r="E29" s="69"/>
      <c r="F29" s="57">
        <f>IF(F13="64M",64,IF(F13="128M",128,F13))-I29</f>
        <v>47</v>
      </c>
      <c r="G29" s="57"/>
      <c r="H29" s="57"/>
      <c r="I29" s="74">
        <f>ROUNDUP(I28/1024,0)</f>
        <v>17</v>
      </c>
      <c r="J29" s="74"/>
      <c r="K29" s="83"/>
      <c r="L29" s="84"/>
      <c r="M29"/>
      <c r="N29"/>
      <c r="O29"/>
      <c r="XFC29"/>
      <c r="XFD29"/>
    </row>
    <row r="30" s="5" customFormat="1" ht="18.95" customHeight="1" spans="15:19">
      <c r="O30"/>
      <c r="P30"/>
      <c r="Q30"/>
      <c r="R30"/>
      <c r="S30"/>
    </row>
    <row r="31" s="5" customFormat="1" spans="1:19">
      <c r="A31" s="28" t="s">
        <v>53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/>
      <c r="P31"/>
      <c r="Q31"/>
      <c r="R31"/>
      <c r="S31"/>
    </row>
    <row r="32" s="5" customFormat="1" ht="18" customHeight="1" spans="1:19">
      <c r="A32" s="29" t="str">
        <f>"mem="&amp;F28&amp;"K@0x0"&amp;"  rmem="&amp;I28&amp;"K@0x"&amp;DEC2HEX((F28)*1024,7)</f>
        <v>mem=48429K@0x0  rmem=17107K@0x2F4B400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/>
      <c r="P32"/>
      <c r="Q32"/>
      <c r="R32"/>
      <c r="S32"/>
    </row>
    <row r="33" s="5" customFormat="1" ht="21.75" customHeight="1" spans="1:19">
      <c r="A33" s="30" t="str">
        <f>"mem="&amp;F29&amp;"M@0x0"&amp;"  rmem="&amp;I29&amp;"M@0x"&amp;DEC2HEX((F29)*1024*1024,7)</f>
        <v>mem=47M@0x0  rmem=17M@0x2F00000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/>
      <c r="P33"/>
      <c r="Q33"/>
      <c r="R33"/>
      <c r="S33"/>
    </row>
  </sheetData>
  <mergeCells count="36">
    <mergeCell ref="A6:I6"/>
    <mergeCell ref="A7:D7"/>
    <mergeCell ref="E7:G7"/>
    <mergeCell ref="H7:I7"/>
    <mergeCell ref="A8:D8"/>
    <mergeCell ref="E8:G8"/>
    <mergeCell ref="H8:I8"/>
    <mergeCell ref="A9:D9"/>
    <mergeCell ref="E9:G9"/>
    <mergeCell ref="H9:I9"/>
    <mergeCell ref="A10:D10"/>
    <mergeCell ref="E10:G10"/>
    <mergeCell ref="H10:I10"/>
    <mergeCell ref="A11:XEZ11"/>
    <mergeCell ref="A12:H12"/>
    <mergeCell ref="A13:E13"/>
    <mergeCell ref="F13:H13"/>
    <mergeCell ref="A14:XEZ14"/>
    <mergeCell ref="A19:O19"/>
    <mergeCell ref="A21:G21"/>
    <mergeCell ref="A26:E26"/>
    <mergeCell ref="F26:H26"/>
    <mergeCell ref="I26:J26"/>
    <mergeCell ref="A27:E27"/>
    <mergeCell ref="F27:H27"/>
    <mergeCell ref="I27:J27"/>
    <mergeCell ref="A28:E28"/>
    <mergeCell ref="F28:H28"/>
    <mergeCell ref="I28:J28"/>
    <mergeCell ref="A29:E29"/>
    <mergeCell ref="F29:H29"/>
    <mergeCell ref="I29:J29"/>
    <mergeCell ref="A32:M32"/>
    <mergeCell ref="A33:M33"/>
    <mergeCell ref="R8:R10"/>
    <mergeCell ref="A1:L4"/>
  </mergeCells>
  <dataValidations count="12">
    <dataValidation type="list" allowBlank="1" showInputMessage="1" showErrorMessage="1" sqref="C23">
      <formula1>"0,1,2,3,4"</formula1>
    </dataValidation>
    <dataValidation type="list" allowBlank="1" showInputMessage="1" showErrorMessage="1" sqref="J8 J9 J10">
      <formula1>"NV12"</formula1>
    </dataValidation>
    <dataValidation allowBlank="1" showInputMessage="1" showErrorMessage="1" sqref="J7 K7:O7 P7 Q7 R7 S7 T7"/>
    <dataValidation type="list" allowBlank="1" showInputMessage="1" showErrorMessage="1" sqref="S8">
      <formula1>"0,1,2"</formula1>
    </dataValidation>
    <dataValidation type="list" allowBlank="1" showInputMessage="1" showErrorMessage="1" sqref="M8 N8:O8 P8 M9 O9 P9 M10 O10 P10 L8:L10 R16:R18">
      <formula1>"YES,NO"</formula1>
    </dataValidation>
    <dataValidation type="list" showInputMessage="1" showErrorMessage="1" sqref="S9 S10" showDropDown="1">
      <formula1>"0"</formula1>
    </dataValidation>
    <dataValidation type="list" allowBlank="1" showInputMessage="1" showErrorMessage="1" sqref="Q8 Q9 Q10">
      <formula1>"AVC,HEVC"</formula1>
    </dataValidation>
    <dataValidation type="list" showInputMessage="1" showErrorMessage="1" sqref="N9 N10" showDropDown="1">
      <formula1>"NO"</formula1>
    </dataValidation>
    <dataValidation type="list" showInputMessage="1" showErrorMessage="1" sqref="I13">
      <formula1>"T41L,T41N"</formula1>
    </dataValidation>
    <dataValidation type="list" showInputMessage="1" showErrorMessage="1" sqref="C16 C17 C18 B16:B18" showDropDown="1">
      <formula1>"YES,NO"</formula1>
    </dataValidation>
    <dataValidation type="list" showInputMessage="1" showErrorMessage="1" sqref="L16 L17 L18" showDropDown="1">
      <formula1>"AVC,HEVC"</formula1>
    </dataValidation>
    <dataValidation type="list" allowBlank="1" showInputMessage="1" showErrorMessage="1" sqref="M16:M18">
      <formula1>"DEFAULT,PYRAMIDAL,ADAPTIVE,LOW_DELAY_P,LOW_DELAY_B"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selection activeCell="K8" sqref="K8"/>
    </sheetView>
  </sheetViews>
  <sheetFormatPr defaultColWidth="9" defaultRowHeight="23.25"/>
  <cols>
    <col min="1" max="1" width="13.7522123893805" style="5" customWidth="1"/>
    <col min="2" max="2" width="6.13274336283186" style="5" customWidth="1"/>
    <col min="3" max="3" width="9.13274336283186" style="5" customWidth="1"/>
    <col min="4" max="4" width="10.7522123893805" style="5" customWidth="1"/>
    <col min="5" max="5" width="10.5044247787611" style="5" customWidth="1"/>
    <col min="6" max="6" width="10.1327433628319" style="5" customWidth="1"/>
    <col min="7" max="7" width="15.2477876106195" style="5" customWidth="1"/>
    <col min="8" max="8" width="15.5044247787611" style="5" customWidth="1"/>
    <col min="9" max="9" width="15.1327433628319" style="5" customWidth="1"/>
    <col min="10" max="10" width="11.5044247787611" style="5" customWidth="1"/>
    <col min="11" max="11" width="14" style="5" customWidth="1"/>
    <col min="12" max="12" width="16.2477876106195" style="5" customWidth="1"/>
    <col min="13" max="13" width="14.1327433628319" style="5" customWidth="1"/>
    <col min="14" max="14" width="9" style="5" customWidth="1"/>
    <col min="15" max="15" width="21" style="5" customWidth="1"/>
    <col min="16" max="16" width="16" style="5" customWidth="1"/>
    <col min="17" max="17" width="14.7522123893805" style="5" customWidth="1"/>
    <col min="18" max="18" width="10.3805309734513" style="5" customWidth="1"/>
    <col min="19" max="19" width="15.5044247787611" style="5"/>
    <col min="20" max="20" width="14" style="5"/>
    <col min="21" max="16381" width="9" style="5"/>
  </cols>
  <sheetData>
    <row r="1" s="5" customFormat="1" spans="1:16384">
      <c r="A1" s="41" t="s">
        <v>54</v>
      </c>
      <c r="B1" s="6"/>
      <c r="C1" s="6"/>
      <c r="D1" s="6"/>
      <c r="E1" s="6"/>
      <c r="F1" s="6"/>
      <c r="G1" s="6"/>
      <c r="H1" s="6"/>
      <c r="I1" s="6"/>
      <c r="J1" s="6"/>
      <c r="M1"/>
      <c r="N1"/>
      <c r="O1"/>
      <c r="P1"/>
      <c r="XFB1"/>
      <c r="XFC1"/>
      <c r="XFD1"/>
    </row>
    <row r="2" s="5" customFormat="1" spans="1:16384">
      <c r="A2" s="6"/>
      <c r="B2" s="6"/>
      <c r="C2" s="6"/>
      <c r="D2" s="6"/>
      <c r="E2" s="6"/>
      <c r="F2" s="6"/>
      <c r="G2" s="6"/>
      <c r="H2" s="6"/>
      <c r="I2" s="6"/>
      <c r="J2" s="6"/>
      <c r="XFB2"/>
      <c r="XFC2"/>
      <c r="XFD2"/>
    </row>
    <row r="3" s="5" customFormat="1" spans="1:16384">
      <c r="A3" s="6"/>
      <c r="B3" s="6"/>
      <c r="C3" s="6"/>
      <c r="D3" s="6"/>
      <c r="E3" s="6"/>
      <c r="F3" s="6"/>
      <c r="G3" s="6"/>
      <c r="H3" s="6"/>
      <c r="I3" s="6"/>
      <c r="J3" s="6"/>
      <c r="XFB3"/>
      <c r="XFC3"/>
      <c r="XFD3"/>
    </row>
    <row r="4" s="5" customFormat="1" ht="53.1" customHeight="1" spans="1:16384">
      <c r="A4" s="6"/>
      <c r="B4" s="6"/>
      <c r="C4" s="6"/>
      <c r="D4" s="6"/>
      <c r="E4" s="6"/>
      <c r="F4" s="6"/>
      <c r="G4" s="6"/>
      <c r="H4" s="6"/>
      <c r="I4" s="6"/>
      <c r="J4" s="6"/>
      <c r="XFB4"/>
      <c r="XFC4"/>
      <c r="XFD4"/>
    </row>
    <row r="5" s="5" customFormat="1" ht="8.1" customHeight="1" spans="16382:16384">
      <c r="XFB5"/>
      <c r="XFC5"/>
      <c r="XFD5"/>
    </row>
    <row r="6" s="5" customFormat="1" ht="30.95" customHeight="1" spans="1:16384">
      <c r="A6" s="7" t="s">
        <v>55</v>
      </c>
      <c r="B6" s="8"/>
      <c r="C6" s="8"/>
      <c r="D6" s="8"/>
      <c r="E6" s="8"/>
      <c r="F6" s="8"/>
      <c r="G6" s="8"/>
      <c r="H6" s="9"/>
      <c r="I6" s="15" t="s">
        <v>2</v>
      </c>
      <c r="J6" s="31" t="s">
        <v>3</v>
      </c>
      <c r="K6" s="4"/>
      <c r="XFB6"/>
      <c r="XFC6"/>
      <c r="XFD6"/>
    </row>
    <row r="7" s="5" customFormat="1" ht="23.1" customHeight="1" spans="1:16384">
      <c r="A7" s="10" t="s">
        <v>12</v>
      </c>
      <c r="B7" s="10"/>
      <c r="C7" s="10"/>
      <c r="D7" s="11">
        <v>3840</v>
      </c>
      <c r="E7" s="11"/>
      <c r="F7" s="11"/>
      <c r="G7" s="12">
        <v>2160</v>
      </c>
      <c r="H7" s="13"/>
      <c r="I7" s="32"/>
      <c r="J7" s="32"/>
      <c r="K7" s="4"/>
      <c r="XFB7"/>
      <c r="XFC7"/>
      <c r="XFD7"/>
    </row>
    <row r="8" s="5" customFormat="1" ht="23.1" customHeight="1" spans="1:16384">
      <c r="A8" s="10" t="s">
        <v>13</v>
      </c>
      <c r="B8" s="10"/>
      <c r="C8" s="10"/>
      <c r="D8" s="11">
        <v>3840</v>
      </c>
      <c r="E8" s="11"/>
      <c r="F8" s="11"/>
      <c r="G8" s="12">
        <v>2160</v>
      </c>
      <c r="H8" s="13"/>
      <c r="I8" s="21" t="s">
        <v>14</v>
      </c>
      <c r="J8" s="21">
        <v>2</v>
      </c>
      <c r="K8" s="4" t="s">
        <v>56</v>
      </c>
      <c r="L8" s="4"/>
      <c r="XFB8"/>
      <c r="XFC8"/>
      <c r="XFD8"/>
    </row>
    <row r="9" s="5" customFormat="1" ht="27" customHeight="1" spans="1:16384">
      <c r="A9" s="10" t="s">
        <v>18</v>
      </c>
      <c r="B9" s="10"/>
      <c r="C9" s="10"/>
      <c r="D9" s="11">
        <v>640</v>
      </c>
      <c r="E9" s="11"/>
      <c r="F9" s="11"/>
      <c r="G9" s="12">
        <v>360</v>
      </c>
      <c r="H9" s="13"/>
      <c r="I9" s="21" t="s">
        <v>14</v>
      </c>
      <c r="J9" s="21">
        <v>2</v>
      </c>
      <c r="K9" s="4"/>
      <c r="L9" s="4"/>
      <c r="XFB9"/>
      <c r="XFC9"/>
      <c r="XFD9"/>
    </row>
    <row r="10" s="5" customFormat="1" ht="27" customHeight="1" spans="1:16384">
      <c r="A10" s="10" t="s">
        <v>19</v>
      </c>
      <c r="B10" s="10"/>
      <c r="C10" s="10"/>
      <c r="D10" s="11">
        <v>640</v>
      </c>
      <c r="E10" s="11"/>
      <c r="F10" s="11"/>
      <c r="G10" s="12">
        <v>360</v>
      </c>
      <c r="H10" s="13"/>
      <c r="I10" s="21" t="s">
        <v>57</v>
      </c>
      <c r="J10" s="21">
        <v>2</v>
      </c>
      <c r="K10" s="4"/>
      <c r="L10" s="4"/>
      <c r="XFB10"/>
      <c r="XFC10"/>
      <c r="XFD10"/>
    </row>
    <row r="11" s="5" customFormat="1" ht="27" customHeight="1" spans="1:16384">
      <c r="A11" s="7" t="s">
        <v>58</v>
      </c>
      <c r="B11" s="8"/>
      <c r="C11" s="8"/>
      <c r="D11" s="8"/>
      <c r="E11" s="8"/>
      <c r="F11" s="8"/>
      <c r="G11" s="8"/>
      <c r="H11" s="9"/>
      <c r="I11" s="15" t="s">
        <v>2</v>
      </c>
      <c r="J11" s="31" t="s">
        <v>3</v>
      </c>
      <c r="K11" s="4"/>
      <c r="L11" s="4"/>
      <c r="XFB11"/>
      <c r="XFC11"/>
      <c r="XFD11"/>
    </row>
    <row r="12" s="5" customFormat="1" ht="27" customHeight="1" spans="1:16384">
      <c r="A12" s="10" t="s">
        <v>12</v>
      </c>
      <c r="B12" s="10"/>
      <c r="C12" s="10"/>
      <c r="D12" s="11">
        <v>1920</v>
      </c>
      <c r="E12" s="11"/>
      <c r="F12" s="11"/>
      <c r="G12" s="12">
        <v>1080</v>
      </c>
      <c r="H12" s="13"/>
      <c r="I12" s="32"/>
      <c r="J12" s="32"/>
      <c r="K12" s="4"/>
      <c r="L12" s="4"/>
      <c r="XFB12"/>
      <c r="XFC12"/>
      <c r="XFD12"/>
    </row>
    <row r="13" s="5" customFormat="1" ht="27" customHeight="1" spans="1:16384">
      <c r="A13" s="10" t="s">
        <v>13</v>
      </c>
      <c r="B13" s="10"/>
      <c r="C13" s="10"/>
      <c r="D13" s="11">
        <v>1920</v>
      </c>
      <c r="E13" s="11"/>
      <c r="F13" s="11"/>
      <c r="G13" s="12">
        <v>1080</v>
      </c>
      <c r="H13" s="13"/>
      <c r="I13" s="21" t="s">
        <v>14</v>
      </c>
      <c r="J13" s="21">
        <v>2</v>
      </c>
      <c r="K13" s="4"/>
      <c r="L13" s="4"/>
      <c r="XFB13"/>
      <c r="XFC13"/>
      <c r="XFD13"/>
    </row>
    <row r="14" s="5" customFormat="1" ht="27" customHeight="1" spans="1:16384">
      <c r="A14" s="10" t="s">
        <v>18</v>
      </c>
      <c r="B14" s="10"/>
      <c r="C14" s="10"/>
      <c r="D14" s="11">
        <v>640</v>
      </c>
      <c r="E14" s="11"/>
      <c r="F14" s="11"/>
      <c r="G14" s="12">
        <v>360</v>
      </c>
      <c r="H14" s="13"/>
      <c r="I14" s="21" t="s">
        <v>14</v>
      </c>
      <c r="J14" s="21">
        <v>2</v>
      </c>
      <c r="K14" s="4"/>
      <c r="L14" s="4"/>
      <c r="XFB14"/>
      <c r="XFC14"/>
      <c r="XFD14"/>
    </row>
    <row r="15" s="5" customFormat="1" ht="27" customHeight="1" spans="1:16384">
      <c r="A15" s="10" t="s">
        <v>19</v>
      </c>
      <c r="B15" s="10"/>
      <c r="C15" s="10"/>
      <c r="D15" s="11">
        <v>1280</v>
      </c>
      <c r="E15" s="11"/>
      <c r="F15" s="11"/>
      <c r="G15" s="12">
        <v>720</v>
      </c>
      <c r="H15" s="13"/>
      <c r="I15" s="21" t="s">
        <v>57</v>
      </c>
      <c r="J15" s="21">
        <v>2</v>
      </c>
      <c r="K15" s="4"/>
      <c r="L15" s="4"/>
      <c r="XFB15"/>
      <c r="XFC15"/>
      <c r="XFD15"/>
    </row>
    <row r="16" s="3" customFormat="1" ht="15" customHeight="1"/>
    <row r="17" s="5" customFormat="1" ht="27" customHeight="1" spans="1:16384">
      <c r="A17" s="14" t="s">
        <v>20</v>
      </c>
      <c r="B17" s="14"/>
      <c r="C17" s="14"/>
      <c r="D17" s="14"/>
      <c r="E17" s="14"/>
      <c r="F17" s="14"/>
      <c r="G17" s="15" t="s">
        <v>21</v>
      </c>
      <c r="XFB17"/>
      <c r="XFC17"/>
      <c r="XFD17"/>
    </row>
    <row r="18" s="5" customFormat="1" ht="29.1" customHeight="1" spans="1:16384">
      <c r="A18" s="16" t="s">
        <v>22</v>
      </c>
      <c r="B18" s="16"/>
      <c r="C18" s="16"/>
      <c r="D18" s="17" t="s">
        <v>59</v>
      </c>
      <c r="E18" s="17"/>
      <c r="F18" s="17"/>
      <c r="G18" s="18" t="s">
        <v>60</v>
      </c>
      <c r="XFB18"/>
      <c r="XFC18"/>
      <c r="XFD18"/>
    </row>
    <row r="19" s="4" customFormat="1" ht="15" customHeight="1"/>
    <row r="20" s="5" customFormat="1" ht="47.1" customHeight="1" spans="1:19">
      <c r="A20" s="19" t="s">
        <v>61</v>
      </c>
      <c r="B20" s="19" t="s">
        <v>25</v>
      </c>
      <c r="C20" s="19" t="s">
        <v>26</v>
      </c>
      <c r="D20" s="19" t="s">
        <v>27</v>
      </c>
      <c r="E20" s="19" t="s">
        <v>28</v>
      </c>
      <c r="F20" s="19" t="s">
        <v>3</v>
      </c>
      <c r="G20" s="19" t="s">
        <v>29</v>
      </c>
      <c r="H20" s="19" t="s">
        <v>30</v>
      </c>
      <c r="I20" s="19" t="s">
        <v>31</v>
      </c>
      <c r="J20" s="19" t="s">
        <v>32</v>
      </c>
      <c r="K20" s="19" t="s">
        <v>33</v>
      </c>
      <c r="L20" s="19" t="s">
        <v>34</v>
      </c>
      <c r="M20" s="19" t="s">
        <v>35</v>
      </c>
      <c r="N20" s="19" t="s">
        <v>36</v>
      </c>
      <c r="O20" s="19" t="s">
        <v>37</v>
      </c>
      <c r="P20" s="19" t="s">
        <v>38</v>
      </c>
      <c r="Q20" s="19" t="s">
        <v>39</v>
      </c>
      <c r="R20" s="19" t="s">
        <v>62</v>
      </c>
      <c r="S20" s="19" t="s">
        <v>41</v>
      </c>
    </row>
    <row r="21" s="5" customFormat="1" ht="30" customHeight="1" spans="1:19">
      <c r="A21" s="20">
        <v>1</v>
      </c>
      <c r="B21" s="20" t="s">
        <v>63</v>
      </c>
      <c r="C21" s="21">
        <f>D8</f>
        <v>3840</v>
      </c>
      <c r="D21" s="21">
        <f>G8</f>
        <v>2160</v>
      </c>
      <c r="E21" s="21">
        <f>IF(I8="NV12",1.5,IF(I8="RGB565",2,IF(I8="BGR0",4,1.5)))</f>
        <v>1.5</v>
      </c>
      <c r="F21" s="21">
        <f>J8</f>
        <v>2</v>
      </c>
      <c r="G21" s="21">
        <f>CEILING(D7,8)*G7*3/2+CEILING(CEILING(D7,32)/32,8)*(CEILING(G7,16)/16+1)*4+CEILING(D7/2,8)*G7*3/2+CEILING(D7/32,8)*G7/32</f>
        <v>18735780</v>
      </c>
      <c r="H21" s="22">
        <f>C21</f>
        <v>3840</v>
      </c>
      <c r="I21" s="21">
        <f>D21</f>
        <v>2160</v>
      </c>
      <c r="J21" s="42" t="s">
        <v>17</v>
      </c>
      <c r="K21" s="43" t="s">
        <v>42</v>
      </c>
      <c r="L21" s="43">
        <v>50</v>
      </c>
      <c r="M21" s="43" t="b">
        <v>0</v>
      </c>
      <c r="N21" s="43">
        <v>0</v>
      </c>
      <c r="O21" s="43">
        <v>2</v>
      </c>
      <c r="P21" s="43" t="b">
        <v>0</v>
      </c>
      <c r="Q21" s="21">
        <f>CEILING(1*1024*1024,4096)</f>
        <v>1048576</v>
      </c>
      <c r="R21" s="21" t="s">
        <v>63</v>
      </c>
      <c r="S21" s="21">
        <f>IF(B21="Yes",CEILING((CEILING(C21,16)*CEILING(D21,16)*E21*F21),4096)+G21+IF(I8="NV12",(28672+24576+12288+((CEILING(ROUNDUP((IF(J21="HEVC",1536,1536)*(CEILING(H21,64)/64)*(CEILING(I21,64)/64))+(2048+2048)+(CEILING(I21,16)/16)*512,32),4096))*(O21+N21))+((CEILING((CEILING(H21,64)*CEILING(I21,64))*3/2+256+IF(J21="HEVC",CEILING(H21,32)/32*CEILING(I21,32)/32*4,CEILING(H21,16)/16*CEILING(I21,16)/16)*4*4*IF(J21="HEVC",1,2),4096))*(IF(K21="LOW_DELAY_B",2+IF(AND(J21="AVC",L21&gt;1),1,0),1+IF(N21&gt;0,1,0))+IF(M21=TRUE,1,0)+IF(J21="HEVC",1,0)+IF(J21&lt;&gt;"HEVC",1,0)+IF(P21=TRUE,1,0)))+(CEILING(25600+CEILING(IF(J21="HEVC",CEILING(I21,32)/32,CEILING(I21,16)/16)*4,128)+48+16+CEILING(IF(J21="HEVC",(CEILING(H21,32)/32)*(CEILING(I21,32)/32)*8,(CEILING(H21,16)/16)*(CEILING(I21,16)/16)),128),4096)))+Q21+IF(R21="YES",(28672+24576+12288+((CEILING(ROUNDUP((384*(CEILING(H21,64)/64)*(CEILING(I21,64)/64))+(2048+2048)+(CEILING(I21,16)/16)*512,32),4096))*(2+N21))+(CEILING(25600+CEILING((CEILING(I21,16)/16)*4,128)+48+16+CEILING((CEILING(H21,16)/16)*(CEILING(I21,16)/16),128),4096))),0),0),0)</f>
        <v>79205028</v>
      </c>
    </row>
    <row r="22" s="5" customFormat="1" ht="27" customHeight="1" spans="1:19">
      <c r="A22" s="20">
        <v>2</v>
      </c>
      <c r="B22" s="20" t="s">
        <v>63</v>
      </c>
      <c r="C22" s="21">
        <f>D9</f>
        <v>640</v>
      </c>
      <c r="D22" s="21">
        <f>G9</f>
        <v>360</v>
      </c>
      <c r="E22" s="21">
        <f>IF(I9="NV12",1.5,IF(I9="RGB565",2,IF(I9="BGR0",4,1.5)))</f>
        <v>1.5</v>
      </c>
      <c r="F22" s="21">
        <f>J9</f>
        <v>2</v>
      </c>
      <c r="G22" s="21">
        <v>0</v>
      </c>
      <c r="H22" s="22">
        <f>C22</f>
        <v>640</v>
      </c>
      <c r="I22" s="21">
        <f>D22</f>
        <v>360</v>
      </c>
      <c r="J22" s="42" t="s">
        <v>17</v>
      </c>
      <c r="K22" s="43" t="s">
        <v>42</v>
      </c>
      <c r="L22" s="21">
        <v>50</v>
      </c>
      <c r="M22" s="43" t="b">
        <v>0</v>
      </c>
      <c r="N22" s="21">
        <v>0</v>
      </c>
      <c r="O22" s="12">
        <v>2</v>
      </c>
      <c r="P22" s="43" t="b">
        <v>0</v>
      </c>
      <c r="Q22" s="21">
        <v>0</v>
      </c>
      <c r="R22" s="21" t="s">
        <v>64</v>
      </c>
      <c r="S22" s="21">
        <f>IF(B22="Yes",CEILING((CEILING(C22,16)*CEILING(D22,16)*E22*F22),4096)+IF(I9="NV12",(28672+24576+12288+((CEILING(ROUNDUP((IF(J22="HEVC",1536,1536)*(CEILING(H22,64)/64)*(CEILING(I22,64)/64))+(2048+2048)+(CEILING(I22,16)/16)*512,32),4096))*(O22+N22))+((CEILING((CEILING(H22,64)*CEILING(I22,64))*3/2+256+IF(J22="HEVC",CEILING(H22,32)/32*CEILING(I22,32)/32*4,CEILING(H22,16)/16*CEILING(I22,16)/16)*4*4*IF(J22="HEVC",1,2),4096))*(IF(K22="LOW_DELAY_B",2+IF(AND(J22="AVC",L22&gt;1),1,0),1+IF(N22&gt;0,1,0))+IF(M22=TRUE,1,0)+IF(J22="HEVC",1,0)+IF(J22&lt;&gt;"HEVC",1,0)+IF(P22=TRUE,1,0)))+(CEILING(25600+CEILING(IF(J22="HEVC",CEILING(I22,32)/32,CEILING(I22,16)/16)*4,128)+48+16+CEILING(IF(J22="HEVC",(CEILING(H22,32)/32)*(CEILING(I22,32)/32)*8,(CEILING(H22,16)/16)*(CEILING(I22,16)/16)),128),4096)))+Q22+IF(R22="YES",(28672+24576+12288+((CEILING(ROUNDUP((384*(CEILING(H22,64)/64)*(CEILING(I22,64)/64))+(2048+2048)+(CEILING(I22,16)/16)*512,32),4096))*(2+N22))+(CEILING(25600+CEILING((CEILING(I22,16)/16)*4,128)+48+16+CEILING((CEILING(H22,16)/16)*(CEILING(I22,16)/16),128),4096))),0),0),0)</f>
        <v>1794048</v>
      </c>
    </row>
    <row r="23" s="5" customFormat="1" ht="27" customHeight="1" spans="1:19">
      <c r="A23" s="20">
        <v>3</v>
      </c>
      <c r="B23" s="20" t="s">
        <v>63</v>
      </c>
      <c r="C23" s="21">
        <f>D10</f>
        <v>640</v>
      </c>
      <c r="D23" s="21">
        <f>G10</f>
        <v>360</v>
      </c>
      <c r="E23" s="21">
        <f>IF(I10="NV12",1.5,IF(I10="RGB565",2,IF(I10="BGR0",4,1.5)))</f>
        <v>4</v>
      </c>
      <c r="F23" s="21">
        <f>J10</f>
        <v>2</v>
      </c>
      <c r="G23" s="21">
        <v>0</v>
      </c>
      <c r="H23" s="22">
        <f>C23</f>
        <v>640</v>
      </c>
      <c r="I23" s="21">
        <f>D23</f>
        <v>360</v>
      </c>
      <c r="J23" s="42" t="s">
        <v>17</v>
      </c>
      <c r="K23" s="43" t="s">
        <v>42</v>
      </c>
      <c r="L23" s="21">
        <v>50</v>
      </c>
      <c r="M23" s="43" t="b">
        <v>0</v>
      </c>
      <c r="N23" s="21">
        <v>0</v>
      </c>
      <c r="O23" s="12">
        <v>2</v>
      </c>
      <c r="P23" s="43" t="b">
        <v>0</v>
      </c>
      <c r="Q23" s="21">
        <v>0</v>
      </c>
      <c r="R23" s="21" t="s">
        <v>64</v>
      </c>
      <c r="S23" s="21">
        <f>IF(B23="Yes",CEILING((CEILING(C23,16)*CEILING(D23,16)*E23*F23),4096)+IF(I10="NV12",(28672+24576+12288+((CEILING(ROUNDUP((IF(J23="HEVC",1536,1536)*(CEILING(H23,64)/64)*(CEILING(I23,64)/64))+(2048+2048)+(CEILING(I23,16)/16)*512,32),4096))*(O23+N23))+((CEILING((CEILING(H23,64)*CEILING(I23,64))*3/2+256+IF(J23="HEVC",CEILING(H23,32)/32*CEILING(I23,32)/32*4,CEILING(H23,16)/16*CEILING(I23,16)/16)*4*4*IF(J23="HEVC",1,2),4096))*(IF(K23="LOW_DELAY_B",2+IF(AND(J23="AVC",L23&gt;1),1,0),1+IF(N23&gt;0,1,0))+IF(M23=TRUE,1,0)+IF(J23="HEVC",1,0)+IF(J23&lt;&gt;"HEVC",1,0)+IF(P23=TRUE,1,0)))+(CEILING(25600+CEILING(IF(J23="HEVC",CEILING(I23,32)/32,CEILING(I23,16)/16)*4,128)+48+16+CEILING(IF(J23="HEVC",(CEILING(H23,32)/32)*(CEILING(I23,32)/32)*8,(CEILING(H23,16)/16)*(CEILING(I23,16)/16)),128),4096)))+Q23+IF(R23="YES",CEILING(20480,4096),0),0),0)</f>
        <v>1884160</v>
      </c>
    </row>
    <row r="24" s="5" customFormat="1" ht="27" customHeight="1" spans="1:19">
      <c r="A24" s="19" t="s">
        <v>65</v>
      </c>
      <c r="B24" s="19" t="s">
        <v>25</v>
      </c>
      <c r="C24" s="19" t="s">
        <v>26</v>
      </c>
      <c r="D24" s="19" t="s">
        <v>27</v>
      </c>
      <c r="E24" s="19" t="s">
        <v>28</v>
      </c>
      <c r="F24" s="19" t="s">
        <v>3</v>
      </c>
      <c r="G24" s="19" t="s">
        <v>29</v>
      </c>
      <c r="H24" s="19" t="s">
        <v>30</v>
      </c>
      <c r="I24" s="19" t="s">
        <v>31</v>
      </c>
      <c r="J24" s="19" t="s">
        <v>32</v>
      </c>
      <c r="K24" s="19" t="s">
        <v>33</v>
      </c>
      <c r="L24" s="19" t="s">
        <v>34</v>
      </c>
      <c r="M24" s="19" t="s">
        <v>35</v>
      </c>
      <c r="N24" s="19" t="s">
        <v>36</v>
      </c>
      <c r="O24" s="19" t="s">
        <v>37</v>
      </c>
      <c r="P24" s="19" t="s">
        <v>38</v>
      </c>
      <c r="Q24" s="19" t="s">
        <v>39</v>
      </c>
      <c r="R24" s="19" t="s">
        <v>62</v>
      </c>
      <c r="S24" s="19" t="s">
        <v>41</v>
      </c>
    </row>
    <row r="25" s="5" customFormat="1" ht="27" customHeight="1" spans="1:19">
      <c r="A25" s="20">
        <v>1</v>
      </c>
      <c r="B25" s="20" t="s">
        <v>64</v>
      </c>
      <c r="C25" s="21">
        <f>D13</f>
        <v>1920</v>
      </c>
      <c r="D25" s="21">
        <f>G13</f>
        <v>1080</v>
      </c>
      <c r="E25" s="21">
        <f>IF(I13="NV12",1.5,IF(I13="RGB565",2,IF(I13="BGR0",4,1.5)))</f>
        <v>1.5</v>
      </c>
      <c r="F25" s="21">
        <f>J13</f>
        <v>2</v>
      </c>
      <c r="G25" s="21">
        <f>CEILING(D12,8)*G12*3/2+CEILING(CEILING(D12,32)/32,8)*(CEILING(G12,16)/16+1)*4+CEILING(D12/2,8)*G12*3/2+CEILING(D12/32,8)*G12/32</f>
        <v>4685424</v>
      </c>
      <c r="H25" s="22">
        <f>C25</f>
        <v>1920</v>
      </c>
      <c r="I25" s="21">
        <f>D25</f>
        <v>1080</v>
      </c>
      <c r="J25" s="42" t="s">
        <v>17</v>
      </c>
      <c r="K25" s="43" t="s">
        <v>42</v>
      </c>
      <c r="L25" s="43">
        <v>50</v>
      </c>
      <c r="M25" s="43" t="b">
        <v>0</v>
      </c>
      <c r="N25" s="43">
        <v>0</v>
      </c>
      <c r="O25" s="43">
        <v>2</v>
      </c>
      <c r="P25" s="43" t="b">
        <v>0</v>
      </c>
      <c r="Q25" s="44">
        <f>CEILING(1*1024*1024,4096)</f>
        <v>1048576</v>
      </c>
      <c r="R25" s="21" t="s">
        <v>63</v>
      </c>
      <c r="S25" s="21">
        <f>IF(B25="Yes",CEILING((CEILING(C25,16)*CEILING(D25,16)*E25*F25),4096)+G25+IF(I13="NV12",(28672+24576+12288+((CEILING(ROUNDUP((IF(J25="HEVC",1536,1536)*(CEILING(H25,64)/64)*(CEILING(I25,64)/64))+(2048+2048)+(CEILING(I25,16)/16)*512,32),4096))*(O25+N25))+((CEILING((CEILING(H25,64)*CEILING(I25,64))*3/2+256+IF(J25="HEVC",CEILING(H25,32)/32*CEILING(I25,32)/32*4,CEILING(H25,16)/16*CEILING(I25,16)/16)*4*4*IF(J25="HEVC",1,2),4096))*(IF(K25="LOW_DELAY_B",2+IF(AND(J25="AVC",L25&gt;1),1,0),1+IF(N25&gt;0,1,0))+IF(M25=TRUE,1,0)+IF(J25="HEVC",1,0)+IF(J25&lt;&gt;"HEVC",1,0)+IF(P25=TRUE,1,0)))+(CEILING(25600+CEILING(IF(J25="HEVC",CEILING(I25,32)/32,CEILING(I25,16)/16)*4,128)+48+16+CEILING(IF(J25="HEVC",(CEILING(H25,32)/32)*(CEILING(I25,32)/32)*8,(CEILING(H25,16)/16)*(CEILING(I25,16)/16)),128),4096)))+Q25+IF(R25="YES",(28672+24576+12288+((CEILING(ROUNDUP((384*(CEILING(H25,64)/64)*(CEILING(I25,64)/64))+(2048+2048)+(CEILING(I25,16)/16)*512,32),4096))*(2+N25))+(CEILING(25600+CEILING((CEILING(I25,16)/16)*4,128)+48+16+CEILING((CEILING(H25,16)/16)*(CEILING(I25,16)/16),128),4096))),0),0),0)</f>
        <v>0</v>
      </c>
    </row>
    <row r="26" s="5" customFormat="1" ht="27" customHeight="1" spans="1:19">
      <c r="A26" s="20">
        <v>2</v>
      </c>
      <c r="B26" s="20" t="s">
        <v>64</v>
      </c>
      <c r="C26" s="21">
        <f>D14</f>
        <v>640</v>
      </c>
      <c r="D26" s="21">
        <f>G14</f>
        <v>360</v>
      </c>
      <c r="E26" s="21">
        <f>IF(I14="NV12",1.5,IF(I14="RGB565",2,IF(I14="BGR0",4,1.5)))</f>
        <v>1.5</v>
      </c>
      <c r="F26" s="21">
        <f>J14</f>
        <v>2</v>
      </c>
      <c r="G26" s="21">
        <v>0</v>
      </c>
      <c r="H26" s="22">
        <f>C26</f>
        <v>640</v>
      </c>
      <c r="I26" s="21">
        <f>D26</f>
        <v>360</v>
      </c>
      <c r="J26" s="42" t="s">
        <v>17</v>
      </c>
      <c r="K26" s="43" t="s">
        <v>42</v>
      </c>
      <c r="L26" s="21">
        <v>50</v>
      </c>
      <c r="M26" s="43" t="b">
        <v>0</v>
      </c>
      <c r="N26" s="21">
        <v>0</v>
      </c>
      <c r="O26" s="12">
        <v>2</v>
      </c>
      <c r="P26" s="43" t="b">
        <v>0</v>
      </c>
      <c r="Q26" s="21">
        <v>0</v>
      </c>
      <c r="R26" s="21" t="s">
        <v>64</v>
      </c>
      <c r="S26" s="21">
        <f>IF(B26="Yes",CEILING((CEILING(C26,16)*CEILING(D26,16)*E26*F26),4096)+IF(I14="NV12",(28672+24576+12288+((CEILING(ROUNDUP((IF(J26="HEVC",1536,1536)*(CEILING(H26,64)/64)*(CEILING(I26,64)/64))+(2048+2048)+(CEILING(I26,16)/16)*512,32),4096))*(O26+N26))+((CEILING((CEILING(H26,64)*CEILING(I26,64))*3/2+256+IF(J26="HEVC",CEILING(H26,32)/32*CEILING(I26,32)/32*4,CEILING(H26,16)/16*CEILING(I26,16)/16)*4*4*IF(J26="HEVC",1,2),4096))*(IF(K26="LOW_DELAY_B",2+IF(AND(J26="AVC",L26&gt;1),1,0),1+IF(N26&gt;0,1,0))+IF(M26=TRUE,1,0)+IF(J26="HEVC",1,0)+IF(J26&lt;&gt;"HEVC",1,0)+IF(P26=TRUE,1,0)))+(CEILING(25600+CEILING(IF(J26="HEVC",CEILING(I26,32)/32,CEILING(I26,16)/16)*4,128)+48+16+CEILING(IF(J26="HEVC",(CEILING(H26,32)/32)*(CEILING(I26,32)/32)*8,(CEILING(H26,16)/16)*(CEILING(I26,16)/16)),128),4096)))+Q26+IF(R26="YES",(28672+24576+12288+((CEILING(ROUNDUP((384*(CEILING(H26,64)/64)*(CEILING(I26,64)/64))+(2048+2048)+(CEILING(I26,16)/16)*512,32),4096))*(2+N26))+(CEILING(25600+CEILING((CEILING(I26,16)/16)*4,128)+48+16+CEILING((CEILING(H26,16)/16)*(CEILING(I26,16)/16),128),4096))),0),0),0)</f>
        <v>0</v>
      </c>
    </row>
    <row r="27" s="5" customFormat="1" ht="27" customHeight="1" spans="1:19">
      <c r="A27" s="20">
        <v>3</v>
      </c>
      <c r="B27" s="20" t="s">
        <v>64</v>
      </c>
      <c r="C27" s="21">
        <f>D15</f>
        <v>1280</v>
      </c>
      <c r="D27" s="21">
        <f>G15</f>
        <v>720</v>
      </c>
      <c r="E27" s="21">
        <f>IF(I15="NV12",1.5,IF(I15="RGB565",2,IF(I15="BGR0",4,1.5)))</f>
        <v>4</v>
      </c>
      <c r="F27" s="21">
        <f>J15</f>
        <v>2</v>
      </c>
      <c r="G27" s="21">
        <v>0</v>
      </c>
      <c r="H27" s="22">
        <f>C27</f>
        <v>1280</v>
      </c>
      <c r="I27" s="21">
        <f>D27</f>
        <v>720</v>
      </c>
      <c r="J27" s="42" t="s">
        <v>17</v>
      </c>
      <c r="K27" s="43" t="s">
        <v>42</v>
      </c>
      <c r="L27" s="21">
        <v>50</v>
      </c>
      <c r="M27" s="43" t="b">
        <v>0</v>
      </c>
      <c r="N27" s="21">
        <v>0</v>
      </c>
      <c r="O27" s="12">
        <v>2</v>
      </c>
      <c r="P27" s="43" t="b">
        <v>0</v>
      </c>
      <c r="Q27" s="21">
        <v>0</v>
      </c>
      <c r="R27" s="21" t="s">
        <v>64</v>
      </c>
      <c r="S27" s="21">
        <f>IF(B27="Yes",CEILING((CEILING(C27,16)*CEILING(D27,16)*E27*F27),4096)+IF(I15="NV12",(28672+24576+12288+((CEILING(ROUNDUP((IF(J27="HEVC",1536,1536)*(CEILING(H27,64)/64)*(CEILING(I27,64)/64))+(2048+2048)+(CEILING(I27,16)/16)*512,32),4096))*(O27+N27))+((CEILING((CEILING(H27,64)*CEILING(I27,64))*3/2+256+IF(J27="HEVC",CEILING(H27,32)/32*CEILING(I27,32)/32*4,CEILING(H27,16)/16*CEILING(I27,16)/16)*4*4*IF(J27="HEVC",1,2),4096))*(IF(K27="LOW_DELAY_B",2+IF(AND(J27="AVC",L27&gt;1),1,0),1+IF(N27&gt;0,1,0))+IF(M27=TRUE,1,0)+IF(J27="HEVC",1,0)+IF(J27&lt;&gt;"HEVC",1,0)+IF(P27=TRUE,1,0)))+(CEILING(25600+CEILING(IF(J27="HEVC",CEILING(I27,32)/32,CEILING(I27,16)/16)*4,128)+48+16+CEILING(IF(J27="HEVC",(CEILING(H27,32)/32)*(CEILING(I27,32)/32)*8,(CEILING(H27,16)/16)*(CEILING(I27,16)/16)),128),4096)))+Q27+IF(R27="YES",CEILING(20480,4096),0),0),0)</f>
        <v>0</v>
      </c>
    </row>
    <row r="28" s="5" customFormat="1" ht="21" customHeight="1" spans="1:16384">
      <c r="A28" s="23" t="s">
        <v>66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XFB28"/>
      <c r="XFC28"/>
      <c r="XFD28"/>
    </row>
    <row r="29" s="5" customFormat="1" ht="14.1" customHeight="1" spans="16382:16384">
      <c r="XFB29"/>
      <c r="XFC29"/>
      <c r="XFD29"/>
    </row>
    <row r="30" s="5" customFormat="1" ht="36" customHeight="1" spans="1:16383">
      <c r="A30" s="25" t="s">
        <v>67</v>
      </c>
      <c r="B30" s="25"/>
      <c r="C30" s="25"/>
      <c r="D30" s="26" t="s">
        <v>48</v>
      </c>
      <c r="E30" s="26"/>
      <c r="F30" s="26"/>
      <c r="G30" s="26" t="s">
        <v>49</v>
      </c>
      <c r="H30" s="26"/>
      <c r="K30"/>
      <c r="L30"/>
      <c r="M30"/>
      <c r="XEZ30"/>
      <c r="XFA30"/>
      <c r="XFB30"/>
      <c r="XFC30"/>
    </row>
    <row r="31" s="5" customFormat="1" ht="36.95" customHeight="1" spans="1:16383">
      <c r="A31" s="25" t="s">
        <v>50</v>
      </c>
      <c r="B31" s="25"/>
      <c r="C31" s="25"/>
      <c r="D31" s="14">
        <f>CEILING(1024*1024*IF(D18="256M",256,128)-G31,1024)</f>
        <v>51334144</v>
      </c>
      <c r="E31" s="14"/>
      <c r="F31" s="14"/>
      <c r="G31" s="33">
        <f>CEILING(S21+S22+S23,1024)</f>
        <v>82883584</v>
      </c>
      <c r="H31" s="33"/>
      <c r="K31"/>
      <c r="L31"/>
      <c r="M31"/>
      <c r="XEZ31"/>
      <c r="XFA31"/>
      <c r="XFB31"/>
      <c r="XFC31"/>
    </row>
    <row r="32" s="5" customFormat="1" ht="33.95" customHeight="1" spans="1:16383">
      <c r="A32" s="25" t="s">
        <v>51</v>
      </c>
      <c r="B32" s="25"/>
      <c r="C32" s="25"/>
      <c r="D32" s="14">
        <f>D31/1024</f>
        <v>50131</v>
      </c>
      <c r="E32" s="14"/>
      <c r="F32" s="14"/>
      <c r="G32" s="34">
        <f>G31/1024</f>
        <v>80941</v>
      </c>
      <c r="H32" s="34"/>
      <c r="K32"/>
      <c r="L32"/>
      <c r="M32"/>
      <c r="XEZ32"/>
      <c r="XFA32"/>
      <c r="XFB32"/>
      <c r="XFC32"/>
    </row>
    <row r="33" s="5" customFormat="1" ht="30" customHeight="1" spans="1:16383">
      <c r="A33" s="25" t="s">
        <v>52</v>
      </c>
      <c r="B33" s="25"/>
      <c r="C33" s="25"/>
      <c r="D33" s="14">
        <f>IF(D18="256M",256,IF(D18="128M",128,D18))-G33</f>
        <v>48</v>
      </c>
      <c r="E33" s="14"/>
      <c r="F33" s="14"/>
      <c r="G33" s="34">
        <f>ROUNDUP(G32/1024,0)</f>
        <v>80</v>
      </c>
      <c r="H33" s="34"/>
      <c r="K33"/>
      <c r="L33"/>
      <c r="M33"/>
      <c r="XEZ33"/>
      <c r="XFA33"/>
      <c r="XFB33"/>
      <c r="XFC33"/>
    </row>
    <row r="34" s="5" customFormat="1" ht="30" customHeight="1" spans="1:16383">
      <c r="A34" s="25" t="s">
        <v>68</v>
      </c>
      <c r="B34" s="25"/>
      <c r="C34" s="25"/>
      <c r="D34" s="26" t="s">
        <v>48</v>
      </c>
      <c r="E34" s="26"/>
      <c r="F34" s="26"/>
      <c r="G34" s="26" t="s">
        <v>49</v>
      </c>
      <c r="H34" s="26"/>
      <c r="K34"/>
      <c r="L34"/>
      <c r="M34"/>
      <c r="XEZ34"/>
      <c r="XFA34"/>
      <c r="XFB34"/>
      <c r="XFC34"/>
    </row>
    <row r="35" s="5" customFormat="1" ht="30" customHeight="1" spans="1:16383">
      <c r="A35" s="25" t="s">
        <v>50</v>
      </c>
      <c r="B35" s="25"/>
      <c r="C35" s="25"/>
      <c r="D35" s="14">
        <f>CEILING(1024*1024*IF(D18="256M",256,128)-G35,1024)</f>
        <v>9862144</v>
      </c>
      <c r="E35" s="14"/>
      <c r="F35" s="14"/>
      <c r="G35" s="33">
        <f>CEILING(S21+S22+S23+S25+S26+S27+(D7*G7*4)+(D12*G12*4),1024)</f>
        <v>124355584</v>
      </c>
      <c r="H35" s="33"/>
      <c r="K35"/>
      <c r="L35"/>
      <c r="M35"/>
      <c r="XEZ35"/>
      <c r="XFA35"/>
      <c r="XFB35"/>
      <c r="XFC35"/>
    </row>
    <row r="36" s="5" customFormat="1" ht="30" customHeight="1" spans="1:16383">
      <c r="A36" s="25" t="s">
        <v>51</v>
      </c>
      <c r="B36" s="25"/>
      <c r="C36" s="25"/>
      <c r="D36" s="14">
        <f>D35/1024</f>
        <v>9631</v>
      </c>
      <c r="E36" s="14"/>
      <c r="F36" s="14"/>
      <c r="G36" s="34">
        <f>G35/1024</f>
        <v>121441</v>
      </c>
      <c r="H36" s="34"/>
      <c r="K36"/>
      <c r="L36"/>
      <c r="M36"/>
      <c r="XEZ36"/>
      <c r="XFA36"/>
      <c r="XFB36"/>
      <c r="XFC36"/>
    </row>
    <row r="37" s="5" customFormat="1" ht="30" customHeight="1" spans="1:16383">
      <c r="A37" s="25" t="s">
        <v>52</v>
      </c>
      <c r="B37" s="25"/>
      <c r="C37" s="25"/>
      <c r="D37" s="14">
        <f>IF(D18="256M",256,IF(D18="128M",128,D18))-G37</f>
        <v>9</v>
      </c>
      <c r="E37" s="14"/>
      <c r="F37" s="14"/>
      <c r="G37" s="34">
        <f>ROUNDUP(G36/1024,0)</f>
        <v>119</v>
      </c>
      <c r="H37" s="34"/>
      <c r="K37"/>
      <c r="L37"/>
      <c r="M37"/>
      <c r="XEZ37"/>
      <c r="XFA37"/>
      <c r="XFB37"/>
      <c r="XFC37"/>
    </row>
    <row r="38" s="5" customFormat="1" ht="18.95" customHeight="1" spans="13:16384">
      <c r="M38"/>
      <c r="N38"/>
      <c r="O38"/>
      <c r="P38"/>
      <c r="XFB38"/>
      <c r="XFC38"/>
      <c r="XFD38"/>
    </row>
    <row r="39" s="5" customFormat="1" spans="1:16384">
      <c r="A39" s="28" t="s">
        <v>69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/>
      <c r="N39"/>
      <c r="O39"/>
      <c r="P39"/>
      <c r="XFB39"/>
      <c r="XFC39"/>
      <c r="XFD39"/>
    </row>
    <row r="40" s="5" customFormat="1" ht="18" customHeight="1" spans="1:16384">
      <c r="A40" s="29" t="str">
        <f>"mem="&amp;D32&amp;"K@0x0"&amp;"  rmem="&amp;G32&amp;"K@0x"&amp;DEC2HEX((D32)*1024,7)</f>
        <v>mem=50131K@0x0  rmem=80941K@0x30F4C00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/>
      <c r="N40"/>
      <c r="O40"/>
      <c r="P40"/>
      <c r="XFB40"/>
      <c r="XFC40"/>
      <c r="XFD40"/>
    </row>
    <row r="41" s="5" customFormat="1" ht="21.75" customHeight="1" spans="1:16384">
      <c r="A41" s="30" t="str">
        <f>"mem="&amp;D33&amp;"M@0x0"&amp;"  rmem="&amp;G33&amp;"M@0x"&amp;DEC2HEX((D33)*1024*1024,7)</f>
        <v>mem=48M@0x0  rmem=80M@0x3000000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/>
      <c r="N41"/>
      <c r="O41"/>
      <c r="P41"/>
      <c r="XFB41"/>
      <c r="XFC41"/>
      <c r="XFD41"/>
    </row>
    <row r="42" spans="1:12">
      <c r="A42" s="28" t="s">
        <v>70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>
      <c r="A43" s="29" t="str">
        <f>"mem="&amp;D36&amp;"K@0x0"&amp;"  rmem="&amp;G36&amp;"K@0x"&amp;DEC2HEX((D36)*1024,7)</f>
        <v>mem=9631K@0x0  rmem=121441K@0x0967C00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spans="1:12">
      <c r="A44" s="30" t="str">
        <f>"mem="&amp;D37&amp;"M@0x0"&amp;"  rmem="&amp;G37&amp;"M@0x"&amp;DEC2HEX((D37)*1024*1024,7)</f>
        <v>mem=9M@0x0  rmem=119M@0x0900000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</sheetData>
  <mergeCells count="61">
    <mergeCell ref="A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H11"/>
    <mergeCell ref="A12:C12"/>
    <mergeCell ref="D12:F12"/>
    <mergeCell ref="G12:H12"/>
    <mergeCell ref="A13:C13"/>
    <mergeCell ref="D13:F13"/>
    <mergeCell ref="G13:H13"/>
    <mergeCell ref="A14:C14"/>
    <mergeCell ref="D14:F14"/>
    <mergeCell ref="G14:H14"/>
    <mergeCell ref="A15:C15"/>
    <mergeCell ref="D15:F15"/>
    <mergeCell ref="G15:H15"/>
    <mergeCell ref="A16:XEW16"/>
    <mergeCell ref="A17:F17"/>
    <mergeCell ref="A18:C18"/>
    <mergeCell ref="D18:F18"/>
    <mergeCell ref="A19:XEW19"/>
    <mergeCell ref="A28:M28"/>
    <mergeCell ref="A30:C30"/>
    <mergeCell ref="D30:F30"/>
    <mergeCell ref="G30:H30"/>
    <mergeCell ref="A31:C31"/>
    <mergeCell ref="D31:F31"/>
    <mergeCell ref="G31:H31"/>
    <mergeCell ref="A32:C32"/>
    <mergeCell ref="D32:F32"/>
    <mergeCell ref="G32:H32"/>
    <mergeCell ref="A33:C33"/>
    <mergeCell ref="D33:F33"/>
    <mergeCell ref="G33:H33"/>
    <mergeCell ref="A34:C34"/>
    <mergeCell ref="D34:F34"/>
    <mergeCell ref="G34:H34"/>
    <mergeCell ref="A35:C35"/>
    <mergeCell ref="D35:F35"/>
    <mergeCell ref="G35:H35"/>
    <mergeCell ref="A36:C36"/>
    <mergeCell ref="D36:F36"/>
    <mergeCell ref="G36:H36"/>
    <mergeCell ref="A37:C37"/>
    <mergeCell ref="D37:F37"/>
    <mergeCell ref="G37:H37"/>
    <mergeCell ref="A40:K40"/>
    <mergeCell ref="A41:K41"/>
    <mergeCell ref="A43:K43"/>
    <mergeCell ref="A44:K44"/>
    <mergeCell ref="A1:J4"/>
  </mergeCells>
  <dataValidations count="9">
    <dataValidation type="list" showInputMessage="1" showErrorMessage="1" sqref="G18">
      <formula1>"T40"</formula1>
    </dataValidation>
    <dataValidation allowBlank="1" showInputMessage="1" showErrorMessage="1" sqref="I7 J7 I12 J12"/>
    <dataValidation type="custom" allowBlank="1" showInputMessage="1" showErrorMessage="1" sqref="K11">
      <formula1>"Yes,No"</formula1>
    </dataValidation>
    <dataValidation type="list" allowBlank="1" showInputMessage="1" showErrorMessage="1" sqref="M21 P21 M22 P22 M23 P23 M25 P25 M26 P26 M27 P27">
      <formula1>"TRUE,FALSE"</formula1>
    </dataValidation>
    <dataValidation type="list" allowBlank="1" showInputMessage="1" showErrorMessage="1" sqref="D18:F18">
      <formula1>"256M,128M"</formula1>
    </dataValidation>
    <dataValidation type="list" allowBlank="1" showInputMessage="1" showErrorMessage="1" sqref="K21 K22 K23 K25 K26 K27">
      <formula1>"DEFAULT,PYRAMIDAL,ADAPTIVE,LOW_DELAY_P,LOW_DELAY_B"</formula1>
    </dataValidation>
    <dataValidation type="list" allowBlank="1" showInputMessage="1" showErrorMessage="1" sqref="I8:I10 I13:I15">
      <formula1>"NV12,BGR0"</formula1>
    </dataValidation>
    <dataValidation type="list" allowBlank="1" showInputMessage="1" showErrorMessage="1" sqref="B21 R21 R22 R23 B25 R25 R26 R27 B22:B23 B26:B27">
      <formula1>"Yes,No"</formula1>
    </dataValidation>
    <dataValidation type="list" allowBlank="1" showInputMessage="1" showErrorMessage="1" sqref="J21 J22 J23 J25 J26 J27">
      <formula1>"AVC,HEVC"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topLeftCell="J11" workbookViewId="0">
      <selection activeCell="K8" sqref="K8"/>
    </sheetView>
  </sheetViews>
  <sheetFormatPr defaultColWidth="9" defaultRowHeight="23.25"/>
  <cols>
    <col min="1" max="2" width="6.12389380530973" style="5" customWidth="1"/>
    <col min="3" max="3" width="9.12389380530973" style="5" customWidth="1"/>
    <col min="4" max="4" width="10.7522123893805" style="5" customWidth="1"/>
    <col min="5" max="5" width="10.5044247787611" style="5" customWidth="1"/>
    <col min="6" max="6" width="9.12389380530973" style="5" customWidth="1"/>
    <col min="7" max="7" width="13" style="5" customWidth="1"/>
    <col min="8" max="8" width="15.5044247787611" style="5" customWidth="1"/>
    <col min="9" max="9" width="15.1238938053097" style="5" customWidth="1"/>
    <col min="10" max="10" width="11.5044247787611" style="5" customWidth="1"/>
    <col min="11" max="11" width="14" style="5" customWidth="1"/>
    <col min="12" max="12" width="16.2477876106195" style="5" customWidth="1"/>
    <col min="13" max="13" width="14.1238938053097" style="5" customWidth="1"/>
    <col min="14" max="14" width="9" style="5" customWidth="1"/>
    <col min="15" max="15" width="21" style="5" customWidth="1"/>
    <col min="16" max="16" width="16" style="5" customWidth="1"/>
    <col min="17" max="17" width="11.8761061946903" style="5" customWidth="1"/>
    <col min="18" max="18" width="10.3716814159292" style="5" customWidth="1"/>
    <col min="19" max="19" width="14.1238938053097" style="5" customWidth="1"/>
    <col min="20" max="20" width="14" style="5"/>
    <col min="21" max="16381" width="9" style="5"/>
  </cols>
  <sheetData>
    <row r="1" s="5" customFormat="1" spans="1:16384">
      <c r="A1" s="41" t="s">
        <v>54</v>
      </c>
      <c r="B1" s="6"/>
      <c r="C1" s="6"/>
      <c r="D1" s="6"/>
      <c r="E1" s="6"/>
      <c r="F1" s="6"/>
      <c r="G1" s="6"/>
      <c r="H1" s="6"/>
      <c r="I1" s="6"/>
      <c r="J1" s="6"/>
      <c r="M1"/>
      <c r="N1"/>
      <c r="O1"/>
      <c r="P1"/>
      <c r="XFB1"/>
      <c r="XFC1"/>
      <c r="XFD1"/>
    </row>
    <row r="2" s="5" customFormat="1" spans="1:16384">
      <c r="A2" s="6"/>
      <c r="B2" s="6"/>
      <c r="C2" s="6"/>
      <c r="D2" s="6"/>
      <c r="E2" s="6"/>
      <c r="F2" s="6"/>
      <c r="G2" s="6"/>
      <c r="H2" s="6"/>
      <c r="I2" s="6"/>
      <c r="J2" s="6"/>
      <c r="XFB2"/>
      <c r="XFC2"/>
      <c r="XFD2"/>
    </row>
    <row r="3" s="5" customFormat="1" spans="1:16384">
      <c r="A3" s="6"/>
      <c r="B3" s="6"/>
      <c r="C3" s="6"/>
      <c r="D3" s="6"/>
      <c r="E3" s="6"/>
      <c r="F3" s="6"/>
      <c r="G3" s="6"/>
      <c r="H3" s="6"/>
      <c r="I3" s="6"/>
      <c r="J3" s="6"/>
      <c r="XFB3"/>
      <c r="XFC3"/>
      <c r="XFD3"/>
    </row>
    <row r="4" s="5" customFormat="1" ht="53.1" customHeight="1" spans="1:16384">
      <c r="A4" s="6"/>
      <c r="B4" s="6"/>
      <c r="C4" s="6"/>
      <c r="D4" s="6"/>
      <c r="E4" s="6"/>
      <c r="F4" s="6"/>
      <c r="G4" s="6"/>
      <c r="H4" s="6"/>
      <c r="I4" s="6"/>
      <c r="J4" s="6"/>
      <c r="XFB4"/>
      <c r="XFC4"/>
      <c r="XFD4"/>
    </row>
    <row r="5" s="5" customFormat="1" ht="8.1" customHeight="1" spans="16382:16384">
      <c r="XFB5"/>
      <c r="XFC5"/>
      <c r="XFD5"/>
    </row>
    <row r="6" s="5" customFormat="1" ht="30.95" customHeight="1" spans="1:16384">
      <c r="A6" s="7" t="s">
        <v>71</v>
      </c>
      <c r="B6" s="8"/>
      <c r="C6" s="8"/>
      <c r="D6" s="8"/>
      <c r="E6" s="8"/>
      <c r="F6" s="8"/>
      <c r="G6" s="8"/>
      <c r="H6" s="9"/>
      <c r="I6" s="15" t="s">
        <v>2</v>
      </c>
      <c r="J6" s="31" t="s">
        <v>3</v>
      </c>
      <c r="XFB6"/>
      <c r="XFC6"/>
      <c r="XFD6"/>
    </row>
    <row r="7" s="5" customFormat="1" ht="23.1" customHeight="1" spans="1:16384">
      <c r="A7" s="10" t="s">
        <v>12</v>
      </c>
      <c r="B7" s="10"/>
      <c r="C7" s="10"/>
      <c r="D7" s="11">
        <v>1920</v>
      </c>
      <c r="E7" s="11"/>
      <c r="F7" s="11"/>
      <c r="G7" s="12">
        <v>1080</v>
      </c>
      <c r="H7" s="13"/>
      <c r="I7" s="32"/>
      <c r="J7" s="32"/>
      <c r="K7" s="4"/>
      <c r="L7" s="4"/>
      <c r="XFB7"/>
      <c r="XFC7"/>
      <c r="XFD7"/>
    </row>
    <row r="8" s="5" customFormat="1" ht="23.1" customHeight="1" spans="1:16384">
      <c r="A8" s="10" t="s">
        <v>13</v>
      </c>
      <c r="B8" s="10"/>
      <c r="C8" s="10"/>
      <c r="D8" s="11">
        <v>1920</v>
      </c>
      <c r="E8" s="11"/>
      <c r="F8" s="11"/>
      <c r="G8" s="12">
        <v>1080</v>
      </c>
      <c r="H8" s="13"/>
      <c r="I8" s="21" t="s">
        <v>14</v>
      </c>
      <c r="J8" s="21">
        <v>2</v>
      </c>
      <c r="K8" s="4"/>
      <c r="L8" s="4"/>
      <c r="XFB8"/>
      <c r="XFC8"/>
      <c r="XFD8"/>
    </row>
    <row r="9" s="5" customFormat="1" ht="27" customHeight="1" spans="1:16384">
      <c r="A9" s="10" t="s">
        <v>18</v>
      </c>
      <c r="B9" s="10"/>
      <c r="C9" s="10"/>
      <c r="D9" s="11">
        <v>640</v>
      </c>
      <c r="E9" s="11"/>
      <c r="F9" s="11"/>
      <c r="G9" s="12">
        <v>360</v>
      </c>
      <c r="H9" s="13"/>
      <c r="I9" s="21" t="s">
        <v>14</v>
      </c>
      <c r="J9" s="21">
        <v>2</v>
      </c>
      <c r="K9" s="4"/>
      <c r="L9" s="4"/>
      <c r="XFB9"/>
      <c r="XFC9"/>
      <c r="XFD9"/>
    </row>
    <row r="10" s="5" customFormat="1" ht="27" customHeight="1" spans="1:16384">
      <c r="A10" s="10" t="s">
        <v>19</v>
      </c>
      <c r="B10" s="10"/>
      <c r="C10" s="10"/>
      <c r="D10" s="11">
        <v>1280</v>
      </c>
      <c r="E10" s="11"/>
      <c r="F10" s="11"/>
      <c r="G10" s="12">
        <v>720</v>
      </c>
      <c r="H10" s="13"/>
      <c r="I10" s="21" t="s">
        <v>57</v>
      </c>
      <c r="J10" s="21">
        <v>2</v>
      </c>
      <c r="K10" s="4"/>
      <c r="L10" s="4"/>
      <c r="XFB10"/>
      <c r="XFC10"/>
      <c r="XFD10"/>
    </row>
    <row r="11" s="3" customFormat="1" ht="15" customHeight="1"/>
    <row r="12" s="5" customFormat="1" ht="27" customHeight="1" spans="1:16384">
      <c r="A12" s="14" t="s">
        <v>20</v>
      </c>
      <c r="B12" s="14"/>
      <c r="C12" s="14"/>
      <c r="D12" s="14"/>
      <c r="E12" s="14"/>
      <c r="F12" s="14"/>
      <c r="G12" s="15" t="s">
        <v>21</v>
      </c>
      <c r="XFB12"/>
      <c r="XFC12"/>
      <c r="XFD12"/>
    </row>
    <row r="13" s="5" customFormat="1" ht="29.1" customHeight="1" spans="1:16384">
      <c r="A13" s="16" t="s">
        <v>22</v>
      </c>
      <c r="B13" s="16"/>
      <c r="C13" s="16"/>
      <c r="D13" s="17" t="s">
        <v>59</v>
      </c>
      <c r="E13" s="17"/>
      <c r="F13" s="17"/>
      <c r="G13" s="18" t="s">
        <v>72</v>
      </c>
      <c r="XFB13"/>
      <c r="XFC13"/>
      <c r="XFD13"/>
    </row>
    <row r="14" s="4" customFormat="1" ht="15" customHeight="1"/>
    <row r="15" s="5" customFormat="1" ht="47.1" customHeight="1" spans="1:19">
      <c r="A15" s="19" t="s">
        <v>24</v>
      </c>
      <c r="B15" s="19" t="s">
        <v>25</v>
      </c>
      <c r="C15" s="19" t="s">
        <v>26</v>
      </c>
      <c r="D15" s="19" t="s">
        <v>27</v>
      </c>
      <c r="E15" s="19" t="s">
        <v>28</v>
      </c>
      <c r="F15" s="19" t="s">
        <v>3</v>
      </c>
      <c r="G15" s="19" t="s">
        <v>29</v>
      </c>
      <c r="H15" s="19" t="s">
        <v>30</v>
      </c>
      <c r="I15" s="19" t="s">
        <v>31</v>
      </c>
      <c r="J15" s="19" t="s">
        <v>32</v>
      </c>
      <c r="K15" s="19" t="s">
        <v>33</v>
      </c>
      <c r="L15" s="19" t="s">
        <v>34</v>
      </c>
      <c r="M15" s="19" t="s">
        <v>35</v>
      </c>
      <c r="N15" s="19" t="s">
        <v>36</v>
      </c>
      <c r="O15" s="19" t="s">
        <v>37</v>
      </c>
      <c r="P15" s="19" t="s">
        <v>38</v>
      </c>
      <c r="Q15" s="19" t="s">
        <v>39</v>
      </c>
      <c r="R15" s="19" t="s">
        <v>62</v>
      </c>
      <c r="S15" s="19" t="s">
        <v>41</v>
      </c>
    </row>
    <row r="16" s="5" customFormat="1" ht="30" customHeight="1" spans="1:19">
      <c r="A16" s="20">
        <v>1</v>
      </c>
      <c r="B16" s="20" t="s">
        <v>63</v>
      </c>
      <c r="C16" s="21">
        <f t="shared" ref="C16:C18" si="0">D8</f>
        <v>1920</v>
      </c>
      <c r="D16" s="21">
        <f t="shared" ref="D16:D18" si="1">G8</f>
        <v>1080</v>
      </c>
      <c r="E16" s="21">
        <f t="shared" ref="E16:E18" si="2">IF(I8="NV12",1.5,IF(I8="RGB565",2,IF(I8="BGR0",4,1.5)))</f>
        <v>1.5</v>
      </c>
      <c r="F16" s="21">
        <f t="shared" ref="F16:F18" si="3">J8</f>
        <v>2</v>
      </c>
      <c r="G16" s="21">
        <f>CEILING(D7,8)*G7*3/2+CEILING(CEILING(D7,32)/32,8)*(CEILING(G7,16)/16+1)*4+CEILING(D7/2,8)*G7*3/2+CEILING(D7/32,8)*G7/32</f>
        <v>4685424</v>
      </c>
      <c r="H16" s="22">
        <f t="shared" ref="H16:H18" si="4">C16</f>
        <v>1920</v>
      </c>
      <c r="I16" s="21">
        <f t="shared" ref="I16:I18" si="5">D16</f>
        <v>1080</v>
      </c>
      <c r="J16" s="42" t="s">
        <v>17</v>
      </c>
      <c r="K16" s="43" t="s">
        <v>42</v>
      </c>
      <c r="L16" s="43">
        <v>50</v>
      </c>
      <c r="M16" s="43" t="b">
        <v>0</v>
      </c>
      <c r="N16" s="43">
        <v>0</v>
      </c>
      <c r="O16" s="43">
        <v>2</v>
      </c>
      <c r="P16" s="43" t="b">
        <v>0</v>
      </c>
      <c r="Q16" s="21">
        <f>CEILING(1*1024*1024,4096)</f>
        <v>1048576</v>
      </c>
      <c r="R16" s="21" t="s">
        <v>63</v>
      </c>
      <c r="S16" s="21">
        <f>IF(B16="Yes",CEILING((CEILING(C16,16)*CEILING(D16,16)*E16*F16),4096)+G16+IF(I8="NV12",(28672+24576+12288+((CEILING(ROUNDUP((IF(J16="HEVC",1536,1536)*(CEILING(H16,64)/64)*(CEILING(I16,64)/64))+(2048+2048)+(CEILING(I16,16)/16)*512,32),4096))*(O16+N16))+((CEILING((CEILING(H16,64)*CEILING(I16,64))*3/2+256+IF(J16="HEVC",CEILING(H16,32)/32*CEILING(I16,32)/32*4,CEILING(H16,16)/16*CEILING(I16,16)/16)*4*4*IF(J16="HEVC",1,2),4096))*(IF(K16="LOW_DELAY_B",2+IF(AND(J16="AVC",L16&gt;1),1,0),1+IF(N16&gt;0,1,0))+IF(M16=TRUE,1,0)+IF(J16="HEVC",1,0)+IF(J16&lt;&gt;"HEVC",1,0)+IF(P16=TRUE,1,0)))+(CEILING(25600+CEILING(IF(J16="HEVC",CEILING(I16,32)/32,CEILING(I16,16)/16)*4,128)+48+16+CEILING(IF(J16="HEVC",(CEILING(H16,32)/32)*(CEILING(I16,32)/32)*8,(CEILING(H16,16)/16)*(CEILING(I16,16)/16)),128),4096)))+Q16+IF(R16="YES",(28672+24576+12288+((CEILING(ROUNDUP((384*(CEILING(H16,64)/64)*(CEILING(I16,64)/64))+(2048+2048)+(CEILING(I16,16)/16)*512,32),4096))*(2+N16))+(CEILING(25600+CEILING((CEILING(I16,16)/16)*4,128)+48+16+CEILING((CEILING(H16,16)/16)*(CEILING(I16,16)/16),128),4096))),0),0),0)</f>
        <v>20864624</v>
      </c>
    </row>
    <row r="17" s="5" customFormat="1" ht="27" customHeight="1" spans="1:19">
      <c r="A17" s="20">
        <v>2</v>
      </c>
      <c r="B17" s="20" t="s">
        <v>63</v>
      </c>
      <c r="C17" s="21">
        <f t="shared" si="0"/>
        <v>640</v>
      </c>
      <c r="D17" s="21">
        <f t="shared" si="1"/>
        <v>360</v>
      </c>
      <c r="E17" s="21">
        <f t="shared" si="2"/>
        <v>1.5</v>
      </c>
      <c r="F17" s="21">
        <f t="shared" si="3"/>
        <v>2</v>
      </c>
      <c r="G17" s="21">
        <v>0</v>
      </c>
      <c r="H17" s="22">
        <f t="shared" si="4"/>
        <v>640</v>
      </c>
      <c r="I17" s="21">
        <f t="shared" si="5"/>
        <v>360</v>
      </c>
      <c r="J17" s="42" t="s">
        <v>17</v>
      </c>
      <c r="K17" s="43" t="s">
        <v>42</v>
      </c>
      <c r="L17" s="21">
        <v>50</v>
      </c>
      <c r="M17" s="43" t="b">
        <v>0</v>
      </c>
      <c r="N17" s="21">
        <v>0</v>
      </c>
      <c r="O17" s="12">
        <v>2</v>
      </c>
      <c r="P17" s="43" t="b">
        <v>0</v>
      </c>
      <c r="Q17" s="21">
        <v>0</v>
      </c>
      <c r="R17" s="21" t="s">
        <v>64</v>
      </c>
      <c r="S17" s="21">
        <f>IF(B17="Yes",CEILING((CEILING(C17,16)*CEILING(D17,16)*E17*F17),4096)+IF(I9="NV12",(28672+24576+12288+((CEILING(ROUNDUP((IF(J17="HEVC",1536,1536)*(CEILING(H17,64)/64)*(CEILING(I17,64)/64))+(2048+2048)+(CEILING(I17,16)/16)*512,32),4096))*(O17+N17))+((CEILING((CEILING(H17,64)*CEILING(I17,64))*3/2+256+IF(J17="HEVC",CEILING(H17,32)/32*CEILING(I17,32)/32*4,CEILING(H17,16)/16*CEILING(I17,16)/16)*4*4*IF(J17="HEVC",1,2),4096))*(IF(K17="LOW_DELAY_B",2+IF(AND(J17="AVC",L17&gt;1),1,0),1+IF(N17&gt;0,1,0))+IF(M17=TRUE,1,0)+IF(J17="HEVC",1,0)+IF(J17&lt;&gt;"HEVC",1,0)+IF(P17=TRUE,1,0)))+(CEILING(25600+CEILING(IF(J17="HEVC",CEILING(I17,32)/32,CEILING(I17,16)/16)*4,128)+48+16+CEILING(IF(J17="HEVC",(CEILING(H17,32)/32)*(CEILING(I17,32)/32)*8,(CEILING(H17,16)/16)*(CEILING(I17,16)/16)),128),4096)))+Q17+IF(R17="YES",(28672+24576+12288+((CEILING(ROUNDUP((384*(CEILING(H17,64)/64)*(CEILING(I17,64)/64))+(2048+2048)+(CEILING(I17,16)/16)*512,32),4096))*(2+N17))+(CEILING(25600+CEILING((CEILING(I17,16)/16)*4,128)+48+16+CEILING((CEILING(H17,16)/16)*(CEILING(I17,16)/16),128),4096))),0),0),0)</f>
        <v>1794048</v>
      </c>
    </row>
    <row r="18" s="5" customFormat="1" ht="27" customHeight="1" spans="1:19">
      <c r="A18" s="20">
        <v>3</v>
      </c>
      <c r="B18" s="20" t="s">
        <v>64</v>
      </c>
      <c r="C18" s="21">
        <f t="shared" si="0"/>
        <v>1280</v>
      </c>
      <c r="D18" s="21">
        <f t="shared" si="1"/>
        <v>720</v>
      </c>
      <c r="E18" s="21">
        <f t="shared" si="2"/>
        <v>4</v>
      </c>
      <c r="F18" s="21">
        <f t="shared" si="3"/>
        <v>2</v>
      </c>
      <c r="G18" s="21">
        <v>0</v>
      </c>
      <c r="H18" s="22">
        <f t="shared" si="4"/>
        <v>1280</v>
      </c>
      <c r="I18" s="21">
        <f t="shared" si="5"/>
        <v>720</v>
      </c>
      <c r="J18" s="42" t="s">
        <v>17</v>
      </c>
      <c r="K18" s="43" t="s">
        <v>42</v>
      </c>
      <c r="L18" s="21">
        <v>50</v>
      </c>
      <c r="M18" s="43" t="b">
        <v>0</v>
      </c>
      <c r="N18" s="21">
        <v>0</v>
      </c>
      <c r="O18" s="12">
        <v>2</v>
      </c>
      <c r="P18" s="43" t="b">
        <v>0</v>
      </c>
      <c r="Q18" s="21">
        <v>0</v>
      </c>
      <c r="R18" s="21" t="s">
        <v>64</v>
      </c>
      <c r="S18" s="21">
        <f>IF(B18="Yes",CEILING((CEILING(C18,16)*CEILING(D18,16)*E18*F18),4096)+IF(I10="NV12",(28672+24576+12288+((CEILING(ROUNDUP((IF(J18="HEVC",1536,1536)*(CEILING(H18,64)/64)*(CEILING(I18,64)/64))+(2048+2048)+(CEILING(I18,16)/16)*512,32),4096))*(O18+N18))+((CEILING((CEILING(H18,64)*CEILING(I18,64))*3/2+256+IF(J18="HEVC",CEILING(H18,32)/32*CEILING(I18,32)/32*4,CEILING(H18,16)/16*CEILING(I18,16)/16)*4*4*IF(J18="HEVC",1,2),4096))*(IF(K18="LOW_DELAY_B",2+IF(AND(J18="AVC",L18&gt;1),1,0),1+IF(N18&gt;0,1,0))+IF(M18=TRUE,1,0)+IF(J18="HEVC",1,0)+IF(J18&lt;&gt;"HEVC",1,0)+IF(P18=TRUE,1,0)))+(CEILING(25600+CEILING(IF(J18="HEVC",CEILING(I18,32)/32,CEILING(I18,16)/16)*4,128)+48+16+CEILING(IF(J18="HEVC",(CEILING(H18,32)/32)*(CEILING(I18,32)/32)*8,(CEILING(H18,16)/16)*(CEILING(I18,16)/16)),128),4096)))+Q18+IF(R18="YES",CEILING(20480,4096),0),0),0)</f>
        <v>0</v>
      </c>
    </row>
    <row r="19" s="5" customFormat="1" ht="21" customHeight="1" spans="1:16384">
      <c r="A19" s="23" t="s">
        <v>66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XFB19"/>
      <c r="XFC19"/>
      <c r="XFD19"/>
    </row>
    <row r="20" s="5" customFormat="1" ht="14.1" customHeight="1" spans="16382:16384">
      <c r="XFB20"/>
      <c r="XFC20"/>
      <c r="XFD20"/>
    </row>
    <row r="21" s="5" customFormat="1" ht="36" customHeight="1" spans="1:16383">
      <c r="A21" s="25"/>
      <c r="B21" s="25"/>
      <c r="C21" s="25"/>
      <c r="D21" s="26" t="s">
        <v>48</v>
      </c>
      <c r="E21" s="26"/>
      <c r="F21" s="26"/>
      <c r="G21" s="26" t="s">
        <v>49</v>
      </c>
      <c r="H21" s="26"/>
      <c r="K21"/>
      <c r="L21"/>
      <c r="M21"/>
      <c r="XEZ21"/>
      <c r="XFA21"/>
      <c r="XFB21"/>
      <c r="XFC21"/>
    </row>
    <row r="22" s="5" customFormat="1" ht="36.95" customHeight="1" spans="1:16383">
      <c r="A22" s="25" t="s">
        <v>50</v>
      </c>
      <c r="B22" s="25"/>
      <c r="C22" s="25"/>
      <c r="D22" s="14">
        <f>CEILING(1024*1024*IF(D13="64M",64,128)-G22,1024)</f>
        <v>111558656</v>
      </c>
      <c r="E22" s="14"/>
      <c r="F22" s="14"/>
      <c r="G22" s="33">
        <f>CEILING(S16+S17+S18,1024)</f>
        <v>22659072</v>
      </c>
      <c r="H22" s="33"/>
      <c r="K22"/>
      <c r="L22"/>
      <c r="M22"/>
      <c r="XEZ22"/>
      <c r="XFA22"/>
      <c r="XFB22"/>
      <c r="XFC22"/>
    </row>
    <row r="23" s="5" customFormat="1" ht="33.95" customHeight="1" spans="1:16383">
      <c r="A23" s="25" t="s">
        <v>51</v>
      </c>
      <c r="B23" s="25"/>
      <c r="C23" s="25"/>
      <c r="D23" s="14">
        <f>D22/1024</f>
        <v>108944</v>
      </c>
      <c r="E23" s="14"/>
      <c r="F23" s="14"/>
      <c r="G23" s="34">
        <f>G22/1024</f>
        <v>22128</v>
      </c>
      <c r="H23" s="34"/>
      <c r="K23"/>
      <c r="L23"/>
      <c r="M23"/>
      <c r="XEZ23"/>
      <c r="XFA23"/>
      <c r="XFB23"/>
      <c r="XFC23"/>
    </row>
    <row r="24" s="5" customFormat="1" ht="30" customHeight="1" spans="1:16383">
      <c r="A24" s="25" t="s">
        <v>52</v>
      </c>
      <c r="B24" s="25"/>
      <c r="C24" s="25"/>
      <c r="D24" s="14">
        <f>IF(D13="64M",64,IF(D13="128M",128,D13))-G24</f>
        <v>106</v>
      </c>
      <c r="E24" s="14"/>
      <c r="F24" s="14"/>
      <c r="G24" s="34">
        <f>ROUNDUP(G23/1024,0)</f>
        <v>22</v>
      </c>
      <c r="H24" s="34"/>
      <c r="K24"/>
      <c r="L24"/>
      <c r="M24"/>
      <c r="XEZ24"/>
      <c r="XFA24"/>
      <c r="XFB24"/>
      <c r="XFC24"/>
    </row>
    <row r="25" s="5" customFormat="1" ht="18.95" customHeight="1" spans="13:16384">
      <c r="M25"/>
      <c r="N25"/>
      <c r="O25"/>
      <c r="P25"/>
      <c r="XFB25"/>
      <c r="XFC25"/>
      <c r="XFD25"/>
    </row>
    <row r="26" s="5" customFormat="1" spans="1:16384">
      <c r="A26" s="28" t="s">
        <v>53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/>
      <c r="N26"/>
      <c r="O26"/>
      <c r="P26"/>
      <c r="XFB26"/>
      <c r="XFC26"/>
      <c r="XFD26"/>
    </row>
    <row r="27" s="5" customFormat="1" ht="18" customHeight="1" spans="1:16384">
      <c r="A27" s="29" t="str">
        <f>"mem="&amp;D23&amp;"K@0x0"&amp;"  rmem="&amp;G23&amp;"K@0x"&amp;DEC2HEX((D23)*1024,7)</f>
        <v>mem=108944K@0x0  rmem=22128K@0x6A64000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/>
      <c r="N27"/>
      <c r="O27"/>
      <c r="P27"/>
      <c r="XFB27"/>
      <c r="XFC27"/>
      <c r="XFD27"/>
    </row>
    <row r="28" s="5" customFormat="1" ht="21.75" customHeight="1" spans="1:16384">
      <c r="A28" s="30" t="str">
        <f>"mem="&amp;D24&amp;"M@0x0"&amp;"  rmem="&amp;G24&amp;"M@0x"&amp;DEC2HEX((D24)*1024*1024,7)</f>
        <v>mem=106M@0x0  rmem=22M@0x6A00000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/>
      <c r="N28"/>
      <c r="O28"/>
      <c r="P28"/>
      <c r="XFB28"/>
      <c r="XFC28"/>
      <c r="XFD28"/>
    </row>
  </sheetData>
  <mergeCells count="34">
    <mergeCell ref="A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XEW11"/>
    <mergeCell ref="A12:F12"/>
    <mergeCell ref="A13:C13"/>
    <mergeCell ref="D13:F13"/>
    <mergeCell ref="A14:XEW14"/>
    <mergeCell ref="A19:M19"/>
    <mergeCell ref="A21:C21"/>
    <mergeCell ref="D21:F21"/>
    <mergeCell ref="G21:H21"/>
    <mergeCell ref="A22:C22"/>
    <mergeCell ref="D22:F22"/>
    <mergeCell ref="G22:H22"/>
    <mergeCell ref="A23:C23"/>
    <mergeCell ref="D23:F23"/>
    <mergeCell ref="G23:H23"/>
    <mergeCell ref="A24:C24"/>
    <mergeCell ref="D24:F24"/>
    <mergeCell ref="G24:H24"/>
    <mergeCell ref="A27:K27"/>
    <mergeCell ref="A28:K28"/>
    <mergeCell ref="A1:J4"/>
  </mergeCells>
  <dataValidations count="8">
    <dataValidation allowBlank="1" showInputMessage="1" showErrorMessage="1" sqref="I7 J7"/>
    <dataValidation type="list" allowBlank="1" showInputMessage="1" showErrorMessage="1" sqref="D13:F13">
      <formula1>"64M,128M"</formula1>
    </dataValidation>
    <dataValidation type="list" showInputMessage="1" showErrorMessage="1" sqref="G13">
      <formula1>"T31"</formula1>
    </dataValidation>
    <dataValidation type="list" allowBlank="1" showInputMessage="1" showErrorMessage="1" sqref="J16 J17 J18">
      <formula1>"AVC,HEVC"</formula1>
    </dataValidation>
    <dataValidation type="list" allowBlank="1" showInputMessage="1" showErrorMessage="1" sqref="I8:I10">
      <formula1>"NV12,BGR0"</formula1>
    </dataValidation>
    <dataValidation type="list" allowBlank="1" showInputMessage="1" showErrorMessage="1" sqref="R16 R17 R18 B16:B18">
      <formula1>"Yes,No"</formula1>
    </dataValidation>
    <dataValidation type="list" allowBlank="1" showInputMessage="1" showErrorMessage="1" sqref="K16 K17 K18">
      <formula1>"DEFAULT,PYRAMIDAL,ADAPTIVE,LOW_DELAY_P,LOW_DELAY_B"</formula1>
    </dataValidation>
    <dataValidation type="list" allowBlank="1" showInputMessage="1" showErrorMessage="1" sqref="M16 P16 M17 P17 M18 P18">
      <formula1>"TRUE,FALSE"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28"/>
  <sheetViews>
    <sheetView topLeftCell="A10" workbookViewId="0">
      <selection activeCell="K8" sqref="K8"/>
    </sheetView>
  </sheetViews>
  <sheetFormatPr defaultColWidth="9" defaultRowHeight="23.25"/>
  <cols>
    <col min="1" max="2" width="6.12389380530973" style="5" customWidth="1"/>
    <col min="3" max="3" width="9.12389380530973" style="5" customWidth="1"/>
    <col min="4" max="4" width="17" style="5" customWidth="1"/>
    <col min="5" max="5" width="13.5044247787611" style="5" customWidth="1"/>
    <col min="6" max="6" width="9.12389380530973" style="5" customWidth="1"/>
    <col min="7" max="7" width="16" style="5" customWidth="1"/>
    <col min="8" max="8" width="15.7522123893805" style="5" customWidth="1"/>
    <col min="9" max="9" width="17.6283185840708" style="5" customWidth="1"/>
    <col min="10" max="10" width="14.7522123893805" style="5" customWidth="1"/>
    <col min="11" max="11" width="15.7522123893805" style="5" customWidth="1"/>
    <col min="12" max="13" width="17.3716814159292" style="5" customWidth="1"/>
    <col min="14" max="14" width="14" style="5" customWidth="1"/>
    <col min="15" max="15" width="9" style="5"/>
    <col min="16" max="16" width="17.3716814159292" style="5" customWidth="1"/>
    <col min="17" max="16381" width="9" style="5"/>
  </cols>
  <sheetData>
    <row r="1" ht="13.5" spans="1:16">
      <c r="A1" s="39" t="s">
        <v>73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N1"/>
      <c r="O1"/>
      <c r="P1"/>
    </row>
    <row r="2" ht="13.5" spans="1:1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ht="13.5" spans="1:1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ht="198" customHeight="1" spans="1:12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ht="12.95" customHeigh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ht="30.95" customHeight="1" spans="1:11">
      <c r="A6" s="7" t="s">
        <v>71</v>
      </c>
      <c r="B6" s="8"/>
      <c r="C6" s="8"/>
      <c r="D6" s="8"/>
      <c r="E6" s="8"/>
      <c r="F6" s="8"/>
      <c r="G6" s="8"/>
      <c r="H6" s="8"/>
      <c r="I6" s="9"/>
      <c r="J6" s="15" t="s">
        <v>2</v>
      </c>
      <c r="K6" s="31" t="s">
        <v>3</v>
      </c>
    </row>
    <row r="7" ht="23.1" customHeight="1" spans="1:13">
      <c r="A7" s="10" t="s">
        <v>12</v>
      </c>
      <c r="B7" s="10"/>
      <c r="C7" s="10"/>
      <c r="D7" s="11">
        <v>1920</v>
      </c>
      <c r="E7" s="11"/>
      <c r="F7" s="11"/>
      <c r="G7" s="11"/>
      <c r="H7" s="12">
        <v>1080</v>
      </c>
      <c r="I7" s="13"/>
      <c r="J7" s="32"/>
      <c r="K7" s="32"/>
      <c r="L7" s="4"/>
      <c r="M7" s="4"/>
    </row>
    <row r="8" ht="23.1" customHeight="1" spans="1:13">
      <c r="A8" s="10" t="s">
        <v>13</v>
      </c>
      <c r="B8" s="10"/>
      <c r="C8" s="10"/>
      <c r="D8" s="11">
        <v>1920</v>
      </c>
      <c r="E8" s="11"/>
      <c r="F8" s="11"/>
      <c r="G8" s="11"/>
      <c r="H8" s="12">
        <v>1080</v>
      </c>
      <c r="I8" s="13"/>
      <c r="J8" s="21" t="s">
        <v>14</v>
      </c>
      <c r="K8" s="21">
        <v>3</v>
      </c>
      <c r="L8" s="4"/>
      <c r="M8" s="4"/>
    </row>
    <row r="9" ht="27" customHeight="1" spans="1:13">
      <c r="A9" s="10" t="s">
        <v>18</v>
      </c>
      <c r="B9" s="10"/>
      <c r="C9" s="10"/>
      <c r="D9" s="11">
        <v>640</v>
      </c>
      <c r="E9" s="11"/>
      <c r="F9" s="11"/>
      <c r="G9" s="11"/>
      <c r="H9" s="12">
        <v>360</v>
      </c>
      <c r="I9" s="13"/>
      <c r="J9" s="21" t="s">
        <v>14</v>
      </c>
      <c r="K9" s="21">
        <v>3</v>
      </c>
      <c r="L9" s="4"/>
      <c r="M9" s="4"/>
    </row>
    <row r="10" ht="27" customHeight="1" spans="1:13">
      <c r="A10" s="10" t="s">
        <v>19</v>
      </c>
      <c r="B10" s="10"/>
      <c r="C10" s="10"/>
      <c r="D10" s="11">
        <v>1280</v>
      </c>
      <c r="E10" s="11"/>
      <c r="F10" s="11"/>
      <c r="G10" s="11"/>
      <c r="H10" s="12">
        <v>720</v>
      </c>
      <c r="I10" s="13"/>
      <c r="J10" s="21" t="s">
        <v>57</v>
      </c>
      <c r="K10" s="21">
        <v>3</v>
      </c>
      <c r="L10" s="4"/>
      <c r="M10" s="4"/>
    </row>
    <row r="11" s="3" customFormat="1" ht="15" customHeight="1"/>
    <row r="12" ht="27" customHeight="1" spans="1:8">
      <c r="A12" s="14" t="s">
        <v>20</v>
      </c>
      <c r="B12" s="14"/>
      <c r="C12" s="14"/>
      <c r="D12" s="14"/>
      <c r="E12" s="14"/>
      <c r="F12" s="14"/>
      <c r="G12" s="14"/>
      <c r="H12" s="15" t="s">
        <v>21</v>
      </c>
    </row>
    <row r="13" ht="29.1" customHeight="1" spans="1:8">
      <c r="A13" s="16" t="s">
        <v>22</v>
      </c>
      <c r="B13" s="16"/>
      <c r="C13" s="16"/>
      <c r="D13" s="17" t="s">
        <v>74</v>
      </c>
      <c r="E13" s="17"/>
      <c r="F13" s="17"/>
      <c r="G13" s="17"/>
      <c r="H13" s="18" t="s">
        <v>75</v>
      </c>
    </row>
    <row r="14" s="4" customFormat="1" ht="15" customHeight="1"/>
    <row r="15" ht="47.1" customHeight="1" spans="1:14">
      <c r="A15" s="19" t="s">
        <v>24</v>
      </c>
      <c r="B15" s="19" t="s">
        <v>25</v>
      </c>
      <c r="C15" s="19" t="s">
        <v>26</v>
      </c>
      <c r="D15" s="19" t="s">
        <v>27</v>
      </c>
      <c r="E15" s="19" t="s">
        <v>28</v>
      </c>
      <c r="F15" s="19" t="s">
        <v>3</v>
      </c>
      <c r="G15" s="19" t="s">
        <v>29</v>
      </c>
      <c r="H15" s="19" t="s">
        <v>30</v>
      </c>
      <c r="I15" s="19" t="s">
        <v>31</v>
      </c>
      <c r="J15" s="19" t="s">
        <v>76</v>
      </c>
      <c r="K15" s="19" t="s">
        <v>77</v>
      </c>
      <c r="L15" s="19" t="s">
        <v>62</v>
      </c>
      <c r="M15" s="19" t="s">
        <v>78</v>
      </c>
      <c r="N15" s="19" t="s">
        <v>41</v>
      </c>
    </row>
    <row r="16" ht="30" customHeight="1" spans="1:14">
      <c r="A16" s="20">
        <v>1</v>
      </c>
      <c r="B16" s="20" t="s">
        <v>63</v>
      </c>
      <c r="C16" s="21">
        <f t="shared" ref="C16:C18" si="0">D8</f>
        <v>1920</v>
      </c>
      <c r="D16" s="21">
        <f t="shared" ref="D16:D18" si="1">H8</f>
        <v>1080</v>
      </c>
      <c r="E16" s="21">
        <f t="shared" ref="E16:E18" si="2">IF(J8="NV12",1.5,IF(J8="RGB565",2,IF(J8="BGR0",4,1.5)))</f>
        <v>1.5</v>
      </c>
      <c r="F16" s="21">
        <f t="shared" ref="F16:F18" si="3">K8</f>
        <v>3</v>
      </c>
      <c r="G16" s="21">
        <f>CEILING(D7,8)*H7*3/2+((CEILING(CEILING(D7,16)/16,8)*2)*(CEILING(H7,16)/16+1))*20*2</f>
        <v>3772800</v>
      </c>
      <c r="H16" s="22">
        <f t="shared" ref="H16:H18" si="4">C16</f>
        <v>1920</v>
      </c>
      <c r="I16" s="21">
        <f t="shared" ref="I16:I18" si="5">D16</f>
        <v>1080</v>
      </c>
      <c r="J16" s="21">
        <f>CEILING(1*1024*1024,4096)</f>
        <v>1048576</v>
      </c>
      <c r="K16" s="21">
        <f>CEILING(IF(H13="T10",1280*960,IF(OR(H13="T20",H13="T21"),1920*1080,2048*1536)),4096)</f>
        <v>2076672</v>
      </c>
      <c r="L16" s="21" t="s">
        <v>64</v>
      </c>
      <c r="M16" s="21" t="s">
        <v>64</v>
      </c>
      <c r="N16" s="21">
        <f>IF(B16="Yes",CEILING((CEILING(C16,16)*CEILING(D16,16)*E16*F16),4096)+G16+IF(J8="NV12",IF(AND(C16=H16,D16=I16),0,CEILING(CEILING(H16,16)*CEILING(I16,16)*E16,4096))+CEILING(((CEILING(C16,16)+0)*(CEILING(D16,16)+16)+0+0)*E16*IF(M16="YES",3,2)+0+1048576+0,4096)+J16+K16+IF(L16="YES",CEILING(20480+256,4096),0),0),0)</f>
        <v>23708032</v>
      </c>
    </row>
    <row r="17" ht="27" customHeight="1" spans="1:14">
      <c r="A17" s="20">
        <v>2</v>
      </c>
      <c r="B17" s="20" t="s">
        <v>63</v>
      </c>
      <c r="C17" s="21">
        <f t="shared" si="0"/>
        <v>640</v>
      </c>
      <c r="D17" s="21">
        <f t="shared" si="1"/>
        <v>360</v>
      </c>
      <c r="E17" s="21">
        <f t="shared" si="2"/>
        <v>1.5</v>
      </c>
      <c r="F17" s="21">
        <f t="shared" si="3"/>
        <v>3</v>
      </c>
      <c r="G17" s="21">
        <v>0</v>
      </c>
      <c r="H17" s="22">
        <f t="shared" si="4"/>
        <v>640</v>
      </c>
      <c r="I17" s="21">
        <f t="shared" si="5"/>
        <v>360</v>
      </c>
      <c r="J17" s="21">
        <v>0</v>
      </c>
      <c r="K17" s="21">
        <v>0</v>
      </c>
      <c r="L17" s="21" t="s">
        <v>64</v>
      </c>
      <c r="M17" s="21" t="s">
        <v>64</v>
      </c>
      <c r="N17" s="21">
        <f>IF(B17="Yes",CEILING((CEILING(C17,16)*CEILING(D17,16)*E17*F17),4096)+IF(J9="NV12",IF(AND(C17=H17,D17=I17),0,CEILING(CEILING(H17,16)*CEILING(I17,16)*E17,4096))+CEILING(((CEILING(C17,16)+32)*(CEILING(D17,16)+48)+256+1024)*E17*IF(M17="YES",3,2)+256+1048576+256,4096)+J17+K17+IF(L17="YES",CEILING(20480+256,4096),0),0),0)</f>
        <v>2953216</v>
      </c>
    </row>
    <row r="18" ht="27" customHeight="1" spans="1:14">
      <c r="A18" s="20">
        <v>3</v>
      </c>
      <c r="B18" s="20" t="s">
        <v>64</v>
      </c>
      <c r="C18" s="21">
        <f t="shared" si="0"/>
        <v>1280</v>
      </c>
      <c r="D18" s="21">
        <f t="shared" si="1"/>
        <v>720</v>
      </c>
      <c r="E18" s="21">
        <f t="shared" si="2"/>
        <v>4</v>
      </c>
      <c r="F18" s="21">
        <f t="shared" si="3"/>
        <v>3</v>
      </c>
      <c r="G18" s="21">
        <v>0</v>
      </c>
      <c r="H18" s="22">
        <f t="shared" si="4"/>
        <v>1280</v>
      </c>
      <c r="I18" s="21">
        <f t="shared" si="5"/>
        <v>720</v>
      </c>
      <c r="J18" s="21">
        <v>0</v>
      </c>
      <c r="K18" s="21">
        <v>0</v>
      </c>
      <c r="L18" s="21" t="s">
        <v>64</v>
      </c>
      <c r="M18" s="21" t="s">
        <v>64</v>
      </c>
      <c r="N18" s="21">
        <f>IF(B18="Yes",CEILING((CEILING(C18,16)*CEILING(D18,16)*E18*F18),4096)+IF(J10="NV12",IF(AND(C18=H18,D18=I18),0,CEILING(CEILING(H18,16)*CEILING(I18,16)*E18,4096))+CEILING(((CEILING(C18,16)+32)*(CEILING(D18,16)+48)+256+1024)*E18*IF(M18="YES",3,2)+256+1048576+256,4096)+J18+K18+IF(L18="YES",CEILING(20480+256,4096),0),0),0)</f>
        <v>0</v>
      </c>
    </row>
    <row r="19" ht="21" customHeight="1" spans="1:14">
      <c r="A19" s="23" t="s">
        <v>66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ht="14.1" customHeight="1"/>
    <row r="21" ht="36" customHeight="1" spans="1:16">
      <c r="A21" s="25"/>
      <c r="B21" s="25"/>
      <c r="C21" s="25"/>
      <c r="D21" s="26" t="s">
        <v>48</v>
      </c>
      <c r="E21" s="26"/>
      <c r="F21" s="26"/>
      <c r="G21" s="26"/>
      <c r="H21" s="26" t="s">
        <v>79</v>
      </c>
      <c r="I21" s="26"/>
      <c r="J21" s="40"/>
      <c r="K21" s="40"/>
      <c r="N21"/>
      <c r="O21"/>
      <c r="P21"/>
    </row>
    <row r="22" ht="36.95" customHeight="1" spans="1:16">
      <c r="A22" s="25" t="s">
        <v>50</v>
      </c>
      <c r="B22" s="25"/>
      <c r="C22" s="25"/>
      <c r="D22" s="14">
        <f>IF($D$13="64M",64,128)*1024*1024-H22</f>
        <v>40447616</v>
      </c>
      <c r="E22" s="14"/>
      <c r="F22" s="14"/>
      <c r="G22" s="14"/>
      <c r="H22" s="27">
        <f>N16+N17+N18</f>
        <v>26661248</v>
      </c>
      <c r="I22" s="27"/>
      <c r="J22" s="40"/>
      <c r="K22" s="40"/>
      <c r="N22"/>
      <c r="O22"/>
      <c r="P22"/>
    </row>
    <row r="23" ht="33.95" customHeight="1" spans="1:16">
      <c r="A23" s="25" t="s">
        <v>51</v>
      </c>
      <c r="B23" s="25"/>
      <c r="C23" s="25"/>
      <c r="D23" s="14">
        <f>IF($D$13="64M",64,128)*1024-H23</f>
        <v>39496</v>
      </c>
      <c r="E23" s="14"/>
      <c r="F23" s="14"/>
      <c r="G23" s="14"/>
      <c r="H23" s="27">
        <f>CEILING(H22/1024,4)</f>
        <v>26040</v>
      </c>
      <c r="I23" s="27"/>
      <c r="J23" s="40"/>
      <c r="K23" s="40"/>
      <c r="N23"/>
      <c r="O23"/>
      <c r="P23"/>
    </row>
    <row r="24" ht="30" customHeight="1" spans="1:16">
      <c r="A24" s="25" t="s">
        <v>52</v>
      </c>
      <c r="B24" s="25"/>
      <c r="C24" s="25"/>
      <c r="D24" s="14">
        <f>IF($D$13="64M",64,128)-H24</f>
        <v>38</v>
      </c>
      <c r="E24" s="14"/>
      <c r="F24" s="14"/>
      <c r="G24" s="14"/>
      <c r="H24" s="27">
        <f>CEILING(H23/1024,1)</f>
        <v>26</v>
      </c>
      <c r="I24" s="27"/>
      <c r="J24" s="40"/>
      <c r="K24" s="40"/>
      <c r="N24"/>
      <c r="O24"/>
      <c r="P24"/>
    </row>
    <row r="25" ht="18.95" customHeight="1" spans="14:16">
      <c r="N25"/>
      <c r="O25"/>
      <c r="P25"/>
    </row>
    <row r="26" spans="1:16">
      <c r="A26" s="28" t="s">
        <v>53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/>
      <c r="O26"/>
      <c r="P26"/>
    </row>
    <row r="27" ht="18" customHeight="1" spans="1:16">
      <c r="A27" s="29" t="str">
        <f>"mem="&amp;D23&amp;"K@0x0"&amp;"  rmem="&amp;H23&amp;"K@0x"&amp;DEC2HEX(D23*1024,7)</f>
        <v>mem=39496K@0x0  rmem=26040K@0x2692000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/>
      <c r="O27"/>
      <c r="P27"/>
    </row>
    <row r="28" ht="21.75" customHeight="1" spans="1:16">
      <c r="A28" s="30" t="str">
        <f>"mem="&amp;D24&amp;"M@0x0"&amp;" rmem="&amp;H24&amp;"M@0x"&amp;DEC2HEX(D24*1024*1024,7)</f>
        <v>mem=38M@0x0 rmem=26M@0x2600000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/>
      <c r="O28"/>
      <c r="P28"/>
    </row>
  </sheetData>
  <mergeCells count="34">
    <mergeCell ref="A6:I6"/>
    <mergeCell ref="A7:C7"/>
    <mergeCell ref="D7:G7"/>
    <mergeCell ref="H7:I7"/>
    <mergeCell ref="A8:C8"/>
    <mergeCell ref="D8:G8"/>
    <mergeCell ref="H8:I8"/>
    <mergeCell ref="A9:C9"/>
    <mergeCell ref="D9:G9"/>
    <mergeCell ref="H9:I9"/>
    <mergeCell ref="A10:C10"/>
    <mergeCell ref="D10:G10"/>
    <mergeCell ref="H10:I10"/>
    <mergeCell ref="A11:XEW11"/>
    <mergeCell ref="A12:F12"/>
    <mergeCell ref="A13:C13"/>
    <mergeCell ref="D13:G13"/>
    <mergeCell ref="A14:XEW14"/>
    <mergeCell ref="A19:N19"/>
    <mergeCell ref="A21:C21"/>
    <mergeCell ref="D21:F21"/>
    <mergeCell ref="H21:I21"/>
    <mergeCell ref="A22:C22"/>
    <mergeCell ref="D22:G22"/>
    <mergeCell ref="H22:I22"/>
    <mergeCell ref="A23:C23"/>
    <mergeCell ref="D23:G23"/>
    <mergeCell ref="H23:I23"/>
    <mergeCell ref="A24:C24"/>
    <mergeCell ref="D24:G24"/>
    <mergeCell ref="H24:I24"/>
    <mergeCell ref="A27:L27"/>
    <mergeCell ref="A28:L28"/>
    <mergeCell ref="A1:L4"/>
  </mergeCells>
  <dataValidations count="6">
    <dataValidation allowBlank="1" showInputMessage="1" showErrorMessage="1" sqref="J7 K7"/>
    <dataValidation type="list" allowBlank="1" showInputMessage="1" showErrorMessage="1" sqref="L17 L18 B16:B18">
      <formula1>"Yes,No"</formula1>
    </dataValidation>
    <dataValidation type="list" allowBlank="1" showInputMessage="1" showErrorMessage="1" sqref="J10 J8:J9">
      <formula1>"NV12,BGR0"</formula1>
    </dataValidation>
    <dataValidation type="list" allowBlank="1" showInputMessage="1" showErrorMessage="1" sqref="D13:F13 G13">
      <formula1>"64M,128M"</formula1>
    </dataValidation>
    <dataValidation type="list" showInputMessage="1" showErrorMessage="1" sqref="H13">
      <formula1>"T21"</formula1>
    </dataValidation>
    <dataValidation type="list" allowBlank="1" showInputMessage="1" showErrorMessage="1" sqref="L16 M16 M17 M18">
      <formula1>"No"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28"/>
  <sheetViews>
    <sheetView topLeftCell="A13" workbookViewId="0">
      <selection activeCell="K8" sqref="K8"/>
    </sheetView>
  </sheetViews>
  <sheetFormatPr defaultColWidth="9" defaultRowHeight="23.25"/>
  <cols>
    <col min="1" max="2" width="6.12389380530973" style="5" customWidth="1"/>
    <col min="3" max="3" width="9.12389380530973" style="5" customWidth="1"/>
    <col min="4" max="4" width="17" style="5" customWidth="1"/>
    <col min="5" max="5" width="13.5044247787611" style="5" customWidth="1"/>
    <col min="6" max="6" width="9.12389380530973" style="5" customWidth="1"/>
    <col min="7" max="7" width="15.7522123893805" style="5" customWidth="1"/>
    <col min="8" max="8" width="17.6283185840708" style="5" customWidth="1"/>
    <col min="9" max="9" width="14.7522123893805" style="5" customWidth="1"/>
    <col min="10" max="11" width="15.7522123893805" style="5" customWidth="1"/>
    <col min="12" max="13" width="17.3716814159292" style="5" customWidth="1"/>
    <col min="14" max="14" width="14" style="5" customWidth="1"/>
    <col min="15" max="15" width="9" style="5"/>
    <col min="16" max="16" width="17.3716814159292" style="5" customWidth="1"/>
    <col min="17" max="16381" width="9" style="5"/>
  </cols>
  <sheetData>
    <row r="1" ht="15.75" spans="1:16">
      <c r="A1" s="6" t="s">
        <v>80</v>
      </c>
      <c r="B1" s="6"/>
      <c r="C1" s="6"/>
      <c r="D1" s="6"/>
      <c r="E1" s="6"/>
      <c r="F1" s="6"/>
      <c r="G1" s="6"/>
      <c r="H1" s="6"/>
      <c r="I1" s="6"/>
      <c r="J1" s="6"/>
      <c r="K1" s="6"/>
      <c r="N1"/>
      <c r="O1"/>
      <c r="P1"/>
    </row>
    <row r="2" ht="15.75" spans="1:1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ht="15.75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ht="45" customHeight="1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ht="3.95" customHeigh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ht="30.95" customHeight="1" spans="1:11">
      <c r="A6" s="7" t="s">
        <v>71</v>
      </c>
      <c r="B6" s="8"/>
      <c r="C6" s="8"/>
      <c r="D6" s="8"/>
      <c r="E6" s="8"/>
      <c r="F6" s="8"/>
      <c r="G6" s="8"/>
      <c r="H6" s="9"/>
      <c r="I6" s="15" t="s">
        <v>2</v>
      </c>
      <c r="J6" s="31" t="s">
        <v>3</v>
      </c>
      <c r="K6" s="37"/>
    </row>
    <row r="7" ht="23.1" customHeight="1" spans="1:13">
      <c r="A7" s="10" t="s">
        <v>12</v>
      </c>
      <c r="B7" s="10"/>
      <c r="C7" s="10"/>
      <c r="D7" s="11">
        <v>2592</v>
      </c>
      <c r="E7" s="11"/>
      <c r="F7" s="11"/>
      <c r="G7" s="12">
        <v>1520</v>
      </c>
      <c r="H7" s="13"/>
      <c r="I7" s="32"/>
      <c r="J7" s="32"/>
      <c r="K7" s="38"/>
      <c r="L7" s="4"/>
      <c r="M7" s="4"/>
    </row>
    <row r="8" ht="23.1" customHeight="1" spans="1:13">
      <c r="A8" s="10" t="s">
        <v>13</v>
      </c>
      <c r="B8" s="10"/>
      <c r="C8" s="10"/>
      <c r="D8" s="11">
        <v>2592</v>
      </c>
      <c r="E8" s="11"/>
      <c r="F8" s="11"/>
      <c r="G8" s="12">
        <v>1520</v>
      </c>
      <c r="H8" s="13"/>
      <c r="I8" s="21" t="s">
        <v>14</v>
      </c>
      <c r="J8" s="21">
        <v>2</v>
      </c>
      <c r="K8" s="4"/>
      <c r="L8" s="4"/>
      <c r="M8" s="4"/>
    </row>
    <row r="9" ht="27" customHeight="1" spans="1:13">
      <c r="A9" s="10" t="s">
        <v>18</v>
      </c>
      <c r="B9" s="10"/>
      <c r="C9" s="10"/>
      <c r="D9" s="11">
        <v>640</v>
      </c>
      <c r="E9" s="11"/>
      <c r="F9" s="11"/>
      <c r="G9" s="12">
        <v>360</v>
      </c>
      <c r="H9" s="13"/>
      <c r="I9" s="21" t="s">
        <v>14</v>
      </c>
      <c r="J9" s="21">
        <v>2</v>
      </c>
      <c r="K9" s="4"/>
      <c r="L9" s="4"/>
      <c r="M9" s="4"/>
    </row>
    <row r="10" ht="27" customHeight="1" spans="1:13">
      <c r="A10" s="10" t="s">
        <v>19</v>
      </c>
      <c r="B10" s="10"/>
      <c r="C10" s="10"/>
      <c r="D10" s="11">
        <v>1280</v>
      </c>
      <c r="E10" s="11"/>
      <c r="F10" s="11"/>
      <c r="G10" s="12">
        <v>720</v>
      </c>
      <c r="H10" s="13"/>
      <c r="I10" s="21" t="s">
        <v>57</v>
      </c>
      <c r="J10" s="21">
        <v>2</v>
      </c>
      <c r="K10" s="4"/>
      <c r="L10" s="4"/>
      <c r="M10" s="4"/>
    </row>
    <row r="11" s="3" customFormat="1"/>
    <row r="12" ht="27" customHeight="1" spans="1:8">
      <c r="A12" s="14" t="s">
        <v>20</v>
      </c>
      <c r="B12" s="14"/>
      <c r="C12" s="14"/>
      <c r="D12" s="14"/>
      <c r="E12" s="14"/>
      <c r="F12" s="14"/>
      <c r="G12" s="15" t="s">
        <v>21</v>
      </c>
      <c r="H12" s="35" t="s">
        <v>81</v>
      </c>
    </row>
    <row r="13" ht="29.1" customHeight="1" spans="1:8">
      <c r="A13" s="16" t="s">
        <v>22</v>
      </c>
      <c r="B13" s="16"/>
      <c r="C13" s="16"/>
      <c r="D13" s="17" t="s">
        <v>59</v>
      </c>
      <c r="E13" s="17"/>
      <c r="F13" s="17"/>
      <c r="G13" s="18" t="s">
        <v>82</v>
      </c>
      <c r="H13" s="36" t="s">
        <v>63</v>
      </c>
    </row>
    <row r="14" s="4" customFormat="1" ht="15" customHeight="1"/>
    <row r="15" ht="47.1" customHeight="1" spans="1:14">
      <c r="A15" s="19" t="s">
        <v>24</v>
      </c>
      <c r="B15" s="19" t="s">
        <v>25</v>
      </c>
      <c r="C15" s="19" t="s">
        <v>26</v>
      </c>
      <c r="D15" s="19" t="s">
        <v>27</v>
      </c>
      <c r="E15" s="19" t="s">
        <v>28</v>
      </c>
      <c r="F15" s="19" t="s">
        <v>3</v>
      </c>
      <c r="G15" s="19" t="s">
        <v>30</v>
      </c>
      <c r="H15" s="19" t="s">
        <v>31</v>
      </c>
      <c r="I15" s="19" t="s">
        <v>39</v>
      </c>
      <c r="J15" s="19" t="s">
        <v>77</v>
      </c>
      <c r="K15" s="19" t="s">
        <v>83</v>
      </c>
      <c r="L15" s="19" t="s">
        <v>62</v>
      </c>
      <c r="M15" s="19" t="s">
        <v>84</v>
      </c>
      <c r="N15" s="19" t="s">
        <v>41</v>
      </c>
    </row>
    <row r="16" ht="30" customHeight="1" spans="1:14">
      <c r="A16" s="20">
        <v>1</v>
      </c>
      <c r="B16" s="20" t="s">
        <v>63</v>
      </c>
      <c r="C16" s="21">
        <f t="shared" ref="C16:C18" si="0">D8</f>
        <v>2592</v>
      </c>
      <c r="D16" s="21">
        <f t="shared" ref="D16:D18" si="1">G8</f>
        <v>1520</v>
      </c>
      <c r="E16" s="21">
        <f t="shared" ref="E16:E18" si="2">IF(I8="NV12",1.5,IF(I8="RGB565",2,IF(I8="BGR0",4,1.5)))</f>
        <v>1.5</v>
      </c>
      <c r="F16" s="21">
        <f t="shared" ref="F16:F18" si="3">J8</f>
        <v>2</v>
      </c>
      <c r="G16" s="22">
        <f t="shared" ref="G16:G18" si="4">C16</f>
        <v>2592</v>
      </c>
      <c r="H16" s="21">
        <f t="shared" ref="H16:H18" si="5">D16</f>
        <v>1520</v>
      </c>
      <c r="I16" s="21">
        <f>CEILING(1*1024*1024,4096)</f>
        <v>1048576</v>
      </c>
      <c r="J16" s="21">
        <f>CEILING(IF(G13="T10",1280*960,IF(G13="T20",1920*1080,2048*1536)),4096)</f>
        <v>3145728</v>
      </c>
      <c r="K16" s="21" t="s">
        <v>63</v>
      </c>
      <c r="L16" s="21" t="s">
        <v>63</v>
      </c>
      <c r="M16" s="21" t="s">
        <v>64</v>
      </c>
      <c r="N16" s="21">
        <f t="shared" ref="N16:N18" si="6">IF(B16="Yes",CEILING((CEILING(C16,16)*CEILING(D16,16)*E16*F16),4096)+IF(I8="NV12",IF(K16="Yes",IF(AND(C16=G16,D16=H16),0,CEILING(CEILING(G16,16)*CEILING(H16,16)*E16,4096))+CEILING(((CEILING(C16,16)+32)*(CEILING(D16,16)+48)+256+1024)*E16*IF(M16="YES",3,2)+256+20480+256,4096),0)+I16+J16+IF(L16="YES",CEILING(20480+256,4096),0),0),0)</f>
        <v>28409856</v>
      </c>
    </row>
    <row r="17" ht="27" customHeight="1" spans="1:14">
      <c r="A17" s="20">
        <v>2</v>
      </c>
      <c r="B17" s="20" t="s">
        <v>63</v>
      </c>
      <c r="C17" s="21">
        <f t="shared" si="0"/>
        <v>640</v>
      </c>
      <c r="D17" s="21">
        <f t="shared" si="1"/>
        <v>360</v>
      </c>
      <c r="E17" s="21">
        <f t="shared" si="2"/>
        <v>1.5</v>
      </c>
      <c r="F17" s="21">
        <f t="shared" si="3"/>
        <v>2</v>
      </c>
      <c r="G17" s="22">
        <f t="shared" si="4"/>
        <v>640</v>
      </c>
      <c r="H17" s="21">
        <f t="shared" si="5"/>
        <v>360</v>
      </c>
      <c r="I17" s="21">
        <v>0</v>
      </c>
      <c r="J17" s="21">
        <v>0</v>
      </c>
      <c r="K17" s="21" t="s">
        <v>63</v>
      </c>
      <c r="L17" s="21" t="s">
        <v>64</v>
      </c>
      <c r="M17" s="21" t="s">
        <v>64</v>
      </c>
      <c r="N17" s="21">
        <f t="shared" si="6"/>
        <v>1572864</v>
      </c>
    </row>
    <row r="18" ht="27" customHeight="1" spans="1:14">
      <c r="A18" s="20">
        <v>3</v>
      </c>
      <c r="B18" s="20" t="s">
        <v>64</v>
      </c>
      <c r="C18" s="21">
        <f t="shared" si="0"/>
        <v>1280</v>
      </c>
      <c r="D18" s="21">
        <f t="shared" si="1"/>
        <v>720</v>
      </c>
      <c r="E18" s="21">
        <f t="shared" si="2"/>
        <v>4</v>
      </c>
      <c r="F18" s="21">
        <f t="shared" si="3"/>
        <v>2</v>
      </c>
      <c r="G18" s="22">
        <f t="shared" si="4"/>
        <v>1280</v>
      </c>
      <c r="H18" s="21">
        <f t="shared" si="5"/>
        <v>720</v>
      </c>
      <c r="I18" s="21">
        <v>0</v>
      </c>
      <c r="J18" s="21">
        <v>0</v>
      </c>
      <c r="K18" s="21" t="s">
        <v>63</v>
      </c>
      <c r="L18" s="21" t="s">
        <v>64</v>
      </c>
      <c r="M18" s="21" t="s">
        <v>64</v>
      </c>
      <c r="N18" s="21">
        <f t="shared" si="6"/>
        <v>0</v>
      </c>
    </row>
    <row r="19" ht="21" customHeight="1" spans="1:14">
      <c r="A19" s="23" t="s">
        <v>66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ht="14.1" customHeight="1"/>
    <row r="21" ht="36" customHeight="1" spans="1:16">
      <c r="A21" s="25"/>
      <c r="B21" s="25"/>
      <c r="C21" s="25"/>
      <c r="D21" s="26" t="s">
        <v>48</v>
      </c>
      <c r="E21" s="26"/>
      <c r="F21" s="26"/>
      <c r="G21" s="26" t="s">
        <v>29</v>
      </c>
      <c r="H21" s="26"/>
      <c r="I21" s="26" t="s">
        <v>49</v>
      </c>
      <c r="J21" s="26"/>
      <c r="K21" s="26"/>
      <c r="N21"/>
      <c r="O21"/>
      <c r="P21"/>
    </row>
    <row r="22" ht="36.95" customHeight="1" spans="1:16">
      <c r="A22" s="25" t="s">
        <v>50</v>
      </c>
      <c r="B22" s="25"/>
      <c r="C22" s="25"/>
      <c r="D22" s="14">
        <f>CEILING(1024*1024*IF(D13="64M",64,128)-G22-I22,1024)</f>
        <v>88475648</v>
      </c>
      <c r="E22" s="14"/>
      <c r="F22" s="14"/>
      <c r="G22" s="27">
        <f>IF(H13="NO",CEILING(CEILING($D$7,16)*CEILING($G$7,8)*3/2,4096)+CEILING(CEILING((CEILING($D$7,28)/28),16)*((CEILING($G$7,28)/28)+1)*50,4096),CEILING($D$7,16)*CEILING(G7,16)*4)</f>
        <v>15759360</v>
      </c>
      <c r="H22" s="27"/>
      <c r="I22" s="33">
        <f>CEILING(N16+N17+N18,1024)</f>
        <v>29982720</v>
      </c>
      <c r="J22" s="33"/>
      <c r="K22" s="33"/>
      <c r="N22"/>
      <c r="O22"/>
      <c r="P22"/>
    </row>
    <row r="23" ht="33.95" customHeight="1" spans="1:16">
      <c r="A23" s="25" t="s">
        <v>51</v>
      </c>
      <c r="B23" s="25"/>
      <c r="C23" s="25"/>
      <c r="D23" s="14">
        <f>IF(D13="64M",64,128)*1024-CEILING((G22+I22)/1024,4)</f>
        <v>86400</v>
      </c>
      <c r="E23" s="14"/>
      <c r="F23" s="14"/>
      <c r="G23" s="27">
        <f>CEILING(ROUNDUP(G22/1024,0),4)</f>
        <v>15392</v>
      </c>
      <c r="H23" s="27"/>
      <c r="I23" s="34">
        <f>CEILING(ROUNDUP(I22/1024,0),4)</f>
        <v>29280</v>
      </c>
      <c r="J23" s="34"/>
      <c r="K23" s="34"/>
      <c r="N23"/>
      <c r="O23"/>
      <c r="P23"/>
    </row>
    <row r="24" ht="30" customHeight="1" spans="1:16">
      <c r="A24" s="25" t="s">
        <v>52</v>
      </c>
      <c r="B24" s="25"/>
      <c r="C24" s="25"/>
      <c r="D24" s="14">
        <f>IF(D13="64M",64,128)-CEILING((G22+I22)/1024/1024,1)</f>
        <v>84</v>
      </c>
      <c r="E24" s="14"/>
      <c r="F24" s="14"/>
      <c r="G24" s="27">
        <f>ROUNDUP(G23/1024,0)</f>
        <v>16</v>
      </c>
      <c r="H24" s="27"/>
      <c r="I24" s="34">
        <f>ROUNDUP(I23/1024,0)</f>
        <v>29</v>
      </c>
      <c r="J24" s="34"/>
      <c r="K24" s="34"/>
      <c r="N24"/>
      <c r="O24"/>
      <c r="P24"/>
    </row>
    <row r="25" ht="18.95" customHeight="1" spans="14:16">
      <c r="N25"/>
      <c r="O25"/>
      <c r="P25"/>
    </row>
    <row r="26" spans="1:16">
      <c r="A26" s="28" t="s">
        <v>53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/>
      <c r="O26"/>
      <c r="P26"/>
    </row>
    <row r="27" ht="18" customHeight="1" spans="1:16">
      <c r="A27" s="29" t="str">
        <f>"mem="&amp;D23&amp;"K@0x0"&amp;"  rmem="&amp;(IF(D13="64M",64,128)*1024-D23)&amp;"K@0x"&amp;DEC2HEX(D23*1024,7)</f>
        <v>mem=86400K@0x0  rmem=44672K@0x5460000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/>
      <c r="O27"/>
      <c r="P27"/>
    </row>
    <row r="28" ht="21.75" customHeight="1" spans="1:16">
      <c r="A28" s="30" t="str">
        <f>"mem="&amp;D24&amp;"M@0x0"&amp;" rmem="&amp;(IF(D13="64M",64,128)-D24)&amp;"M@0x"&amp;DEC2HEX(D24*1024*1024,7)</f>
        <v>mem=84M@0x0 rmem=44M@0x5400000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/>
      <c r="O28"/>
      <c r="P28"/>
    </row>
  </sheetData>
  <mergeCells count="38">
    <mergeCell ref="A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XEW11"/>
    <mergeCell ref="A12:F12"/>
    <mergeCell ref="A13:C13"/>
    <mergeCell ref="D13:F13"/>
    <mergeCell ref="A14:XEW14"/>
    <mergeCell ref="A19:N19"/>
    <mergeCell ref="A21:C21"/>
    <mergeCell ref="D21:F21"/>
    <mergeCell ref="G21:H21"/>
    <mergeCell ref="I21:J21"/>
    <mergeCell ref="A22:C22"/>
    <mergeCell ref="D22:F22"/>
    <mergeCell ref="G22:H22"/>
    <mergeCell ref="I22:J22"/>
    <mergeCell ref="A23:C23"/>
    <mergeCell ref="D23:F23"/>
    <mergeCell ref="G23:H23"/>
    <mergeCell ref="I23:J23"/>
    <mergeCell ref="A24:C24"/>
    <mergeCell ref="D24:F24"/>
    <mergeCell ref="G24:H24"/>
    <mergeCell ref="I24:J24"/>
    <mergeCell ref="A27:L27"/>
    <mergeCell ref="A28:L28"/>
    <mergeCell ref="A1:J4"/>
  </mergeCells>
  <dataValidations count="6">
    <dataValidation allowBlank="1" showInputMessage="1" showErrorMessage="1" sqref="I7 J7 K7"/>
    <dataValidation type="list" showInputMessage="1" showErrorMessage="1" sqref="G13">
      <formula1>"T30"</formula1>
    </dataValidation>
    <dataValidation type="list" allowBlank="1" showInputMessage="1" showErrorMessage="1" sqref="D13:F13">
      <formula1>"64M,128M"</formula1>
    </dataValidation>
    <dataValidation type="list" allowBlank="1" showInputMessage="1" showErrorMessage="1" sqref="I8:I10">
      <formula1>"NV12,BGR0"</formula1>
    </dataValidation>
    <dataValidation type="list" allowBlank="1" showInputMessage="1" showErrorMessage="1" sqref="H13 K16 L16 K17 L17 K18 L18 B16:B18">
      <formula1>"Yes,No"</formula1>
    </dataValidation>
    <dataValidation type="list" allowBlank="1" showInputMessage="1" showErrorMessage="1" sqref="M16 M17 M18">
      <formula1>"No"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28"/>
  <sheetViews>
    <sheetView topLeftCell="A7" workbookViewId="0">
      <selection activeCell="K8" sqref="K8"/>
    </sheetView>
  </sheetViews>
  <sheetFormatPr defaultColWidth="9" defaultRowHeight="23.25"/>
  <cols>
    <col min="1" max="2" width="6.12389380530973" style="5" customWidth="1"/>
    <col min="3" max="3" width="9.12389380530973" style="5" customWidth="1"/>
    <col min="4" max="4" width="17" style="5" customWidth="1"/>
    <col min="5" max="5" width="13.5044247787611" style="5" customWidth="1"/>
    <col min="6" max="6" width="9.12389380530973" style="5" customWidth="1"/>
    <col min="7" max="7" width="15.7522123893805" style="5" customWidth="1"/>
    <col min="8" max="8" width="17.6283185840708" style="5" customWidth="1"/>
    <col min="9" max="9" width="14.7522123893805" style="5" customWidth="1"/>
    <col min="10" max="10" width="15.7522123893805" style="5" customWidth="1"/>
    <col min="11" max="12" width="17.3716814159292" style="5" customWidth="1"/>
    <col min="13" max="13" width="14" style="5" customWidth="1"/>
    <col min="14" max="14" width="9" style="5"/>
    <col min="15" max="15" width="17.3716814159292" style="5" customWidth="1"/>
    <col min="16" max="16380" width="9" style="5"/>
  </cols>
  <sheetData>
    <row r="1" ht="13.5" spans="1:15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  <c r="M1"/>
      <c r="N1"/>
      <c r="O1"/>
    </row>
    <row r="2" ht="13.5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ht="13.5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42" customHeight="1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ht="8.1" customHeight="1"/>
    <row r="6" ht="30.95" customHeight="1" spans="1:10">
      <c r="A6" s="7" t="s">
        <v>71</v>
      </c>
      <c r="B6" s="8"/>
      <c r="C6" s="8"/>
      <c r="D6" s="8"/>
      <c r="E6" s="8"/>
      <c r="F6" s="8"/>
      <c r="G6" s="8"/>
      <c r="H6" s="9"/>
      <c r="I6" s="15" t="s">
        <v>2</v>
      </c>
      <c r="J6" s="31" t="s">
        <v>3</v>
      </c>
    </row>
    <row r="7" ht="23.1" customHeight="1" spans="1:12">
      <c r="A7" s="10" t="s">
        <v>12</v>
      </c>
      <c r="B7" s="10"/>
      <c r="C7" s="10"/>
      <c r="D7" s="11">
        <v>1920</v>
      </c>
      <c r="E7" s="11"/>
      <c r="F7" s="11"/>
      <c r="G7" s="12">
        <v>1080</v>
      </c>
      <c r="H7" s="13"/>
      <c r="I7" s="32"/>
      <c r="J7" s="32"/>
      <c r="K7" s="4"/>
      <c r="L7" s="4"/>
    </row>
    <row r="8" ht="23.1" customHeight="1" spans="1:12">
      <c r="A8" s="10" t="s">
        <v>13</v>
      </c>
      <c r="B8" s="10"/>
      <c r="C8" s="10"/>
      <c r="D8" s="11">
        <v>1920</v>
      </c>
      <c r="E8" s="11"/>
      <c r="F8" s="11"/>
      <c r="G8" s="12">
        <v>1080</v>
      </c>
      <c r="H8" s="13"/>
      <c r="I8" s="21" t="s">
        <v>14</v>
      </c>
      <c r="J8" s="21">
        <v>2</v>
      </c>
      <c r="K8" s="4"/>
      <c r="L8" s="4"/>
    </row>
    <row r="9" ht="27" customHeight="1" spans="1:12">
      <c r="A9" s="10" t="s">
        <v>18</v>
      </c>
      <c r="B9" s="10"/>
      <c r="C9" s="10"/>
      <c r="D9" s="11">
        <v>640</v>
      </c>
      <c r="E9" s="11"/>
      <c r="F9" s="11"/>
      <c r="G9" s="12">
        <v>360</v>
      </c>
      <c r="H9" s="13"/>
      <c r="I9" s="21" t="s">
        <v>14</v>
      </c>
      <c r="J9" s="21">
        <v>2</v>
      </c>
      <c r="K9" s="4"/>
      <c r="L9" s="4"/>
    </row>
    <row r="10" ht="27" customHeight="1" spans="1:12">
      <c r="A10" s="10" t="s">
        <v>19</v>
      </c>
      <c r="B10" s="10"/>
      <c r="C10" s="10"/>
      <c r="D10" s="11">
        <v>1280</v>
      </c>
      <c r="E10" s="11"/>
      <c r="F10" s="11"/>
      <c r="G10" s="12">
        <v>720</v>
      </c>
      <c r="H10" s="13"/>
      <c r="I10" s="21" t="s">
        <v>57</v>
      </c>
      <c r="J10" s="21">
        <v>2</v>
      </c>
      <c r="K10" s="4"/>
      <c r="L10" s="4"/>
    </row>
    <row r="11" s="3" customFormat="1" ht="15" customHeight="1"/>
    <row r="12" ht="27" customHeight="1" spans="1:7">
      <c r="A12" s="14" t="s">
        <v>20</v>
      </c>
      <c r="B12" s="14"/>
      <c r="C12" s="14"/>
      <c r="D12" s="14"/>
      <c r="E12" s="14"/>
      <c r="F12" s="14"/>
      <c r="G12" s="15" t="s">
        <v>21</v>
      </c>
    </row>
    <row r="13" ht="29.1" customHeight="1" spans="1:7">
      <c r="A13" s="16" t="s">
        <v>22</v>
      </c>
      <c r="B13" s="16"/>
      <c r="C13" s="16"/>
      <c r="D13" s="17" t="s">
        <v>74</v>
      </c>
      <c r="E13" s="17"/>
      <c r="F13" s="17"/>
      <c r="G13" s="18" t="s">
        <v>86</v>
      </c>
    </row>
    <row r="14" s="4" customFormat="1" ht="15" customHeight="1"/>
    <row r="15" ht="47.1" customHeight="1" spans="1:13">
      <c r="A15" s="19" t="s">
        <v>24</v>
      </c>
      <c r="B15" s="19" t="s">
        <v>25</v>
      </c>
      <c r="C15" s="19" t="s">
        <v>26</v>
      </c>
      <c r="D15" s="19" t="s">
        <v>27</v>
      </c>
      <c r="E15" s="19" t="s">
        <v>28</v>
      </c>
      <c r="F15" s="19" t="s">
        <v>3</v>
      </c>
      <c r="G15" s="19" t="s">
        <v>30</v>
      </c>
      <c r="H15" s="19" t="s">
        <v>31</v>
      </c>
      <c r="I15" s="19" t="s">
        <v>39</v>
      </c>
      <c r="J15" s="19" t="s">
        <v>77</v>
      </c>
      <c r="K15" s="19" t="s">
        <v>62</v>
      </c>
      <c r="L15" s="19" t="s">
        <v>84</v>
      </c>
      <c r="M15" s="19" t="s">
        <v>41</v>
      </c>
    </row>
    <row r="16" ht="30" customHeight="1" spans="1:13">
      <c r="A16" s="20">
        <v>1</v>
      </c>
      <c r="B16" s="20" t="s">
        <v>63</v>
      </c>
      <c r="C16" s="21">
        <f t="shared" ref="C16:C18" si="0">D8</f>
        <v>1920</v>
      </c>
      <c r="D16" s="21">
        <f t="shared" ref="D16:D18" si="1">G8</f>
        <v>1080</v>
      </c>
      <c r="E16" s="21">
        <f t="shared" ref="E16:E18" si="2">IF(I8="NV12",1.5,IF(I8="RGB565",2,IF(I8="BGR0",4,1.5)))</f>
        <v>1.5</v>
      </c>
      <c r="F16" s="21">
        <f t="shared" ref="F16:F18" si="3">J8</f>
        <v>2</v>
      </c>
      <c r="G16" s="22">
        <f t="shared" ref="G16:G18" si="4">C16</f>
        <v>1920</v>
      </c>
      <c r="H16" s="21">
        <f t="shared" ref="H16:H18" si="5">D16</f>
        <v>1080</v>
      </c>
      <c r="I16" s="21">
        <f>CEILING(1*1024*1024,4096)</f>
        <v>1048576</v>
      </c>
      <c r="J16" s="21">
        <f>CEILING(IF(G13="T10",1280*960,IF(G13="T20",1920*1080,2048*1536)),4096)</f>
        <v>2076672</v>
      </c>
      <c r="K16" s="21" t="s">
        <v>63</v>
      </c>
      <c r="L16" s="21" t="s">
        <v>64</v>
      </c>
      <c r="M16" s="21">
        <f>IF(B16="Yes",CEILING((CEILING(C16,16)*CEILING(D16,16)*E16*F16),4096)+IF(I8="NV12",IF(AND(C16=G16,D16=H16),0,CEILING(CEILING(G16,16)*CEILING(H16,16)*E16,4096))+CEILING(((CEILING(C16,16)+32)*(CEILING(D16,16)+48)+256+1024)*E16*IF(L16="YES",3,2)+256+20480+256,4096)+I16+J16+IF(K16="YES",CEILING(20480+256,4096),0),0),0)</f>
        <v>16097280</v>
      </c>
    </row>
    <row r="17" ht="27" customHeight="1" spans="1:13">
      <c r="A17" s="20">
        <v>2</v>
      </c>
      <c r="B17" s="20" t="s">
        <v>63</v>
      </c>
      <c r="C17" s="21">
        <f t="shared" si="0"/>
        <v>640</v>
      </c>
      <c r="D17" s="21">
        <f t="shared" si="1"/>
        <v>360</v>
      </c>
      <c r="E17" s="21">
        <f t="shared" si="2"/>
        <v>1.5</v>
      </c>
      <c r="F17" s="21">
        <f t="shared" si="3"/>
        <v>2</v>
      </c>
      <c r="G17" s="22">
        <f t="shared" si="4"/>
        <v>640</v>
      </c>
      <c r="H17" s="21">
        <f t="shared" si="5"/>
        <v>360</v>
      </c>
      <c r="I17" s="21">
        <v>0</v>
      </c>
      <c r="J17" s="21">
        <v>0</v>
      </c>
      <c r="K17" s="21" t="s">
        <v>64</v>
      </c>
      <c r="L17" s="21" t="s">
        <v>64</v>
      </c>
      <c r="M17" s="21">
        <f>IF(B17="Yes",CEILING((CEILING(C17,16)*CEILING(D17,16)*E17*F17),4096)+IF(I9="NV12",IF(AND(C17=G17,D17=H17),0,CEILING(CEILING(G17,16)*CEILING(H17,16)*E17,4096))+CEILING(((CEILING(C17,16)+32)*(CEILING(D17,16)+48)+256+1024)*E17*IF(L17="YES",3,2)+256+20480+256,4096)+I17+J17+IF(K17="YES",CEILING(20480+256,4096),0),0),0)</f>
        <v>1572864</v>
      </c>
    </row>
    <row r="18" ht="27" customHeight="1" spans="1:13">
      <c r="A18" s="20">
        <v>3</v>
      </c>
      <c r="B18" s="20" t="s">
        <v>64</v>
      </c>
      <c r="C18" s="21">
        <f t="shared" si="0"/>
        <v>1280</v>
      </c>
      <c r="D18" s="21">
        <f t="shared" si="1"/>
        <v>720</v>
      </c>
      <c r="E18" s="21">
        <f t="shared" si="2"/>
        <v>4</v>
      </c>
      <c r="F18" s="21">
        <f t="shared" si="3"/>
        <v>2</v>
      </c>
      <c r="G18" s="22">
        <f t="shared" si="4"/>
        <v>1280</v>
      </c>
      <c r="H18" s="21">
        <f t="shared" si="5"/>
        <v>720</v>
      </c>
      <c r="I18" s="21">
        <v>0</v>
      </c>
      <c r="J18" s="21">
        <v>0</v>
      </c>
      <c r="K18" s="21" t="s">
        <v>64</v>
      </c>
      <c r="L18" s="21" t="s">
        <v>64</v>
      </c>
      <c r="M18" s="21">
        <f>IF(B18="Yes",CEILING((CEILING(C18,16)*CEILING(D18,16)*E18*F18),4096)+IF(I10="NV12",IF(AND(C18=G18,D18=H18),0,CEILING(CEILING(G18,16)*CEILING(H18,16)*E18,4096))+CEILING(((CEILING(C18,16)+32)*(CEILING(D18,16)+48)+256+1024)*E18*IF(L18="YES",3,2)+256+20480,4096)+I18+J18+IF(K18="YES",CEILING(20480,4096),0),0),0)</f>
        <v>0</v>
      </c>
    </row>
    <row r="19" ht="21" customHeight="1" spans="1:13">
      <c r="A19" s="23" t="s">
        <v>66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ht="14.1" customHeight="1"/>
    <row r="21" ht="36" customHeight="1" spans="1:15">
      <c r="A21" s="25"/>
      <c r="B21" s="25"/>
      <c r="C21" s="25"/>
      <c r="D21" s="26" t="s">
        <v>48</v>
      </c>
      <c r="E21" s="26"/>
      <c r="F21" s="26"/>
      <c r="G21" s="26" t="s">
        <v>87</v>
      </c>
      <c r="H21" s="26"/>
      <c r="I21" s="26" t="s">
        <v>49</v>
      </c>
      <c r="J21" s="26"/>
      <c r="M21"/>
      <c r="N21"/>
      <c r="O21"/>
    </row>
    <row r="22" ht="36.95" customHeight="1" spans="1:15">
      <c r="A22" s="25" t="s">
        <v>50</v>
      </c>
      <c r="B22" s="25"/>
      <c r="C22" s="25"/>
      <c r="D22" s="14">
        <f>CEILING(1024*1024*IF(D13="64M",64,128)-G22-I22,1024)</f>
        <v>41082880</v>
      </c>
      <c r="E22" s="14"/>
      <c r="F22" s="14"/>
      <c r="G22" s="27">
        <f>CEILING(CEILING($D$7,16)*CEILING($G$7,16)*4,1024)</f>
        <v>8355840</v>
      </c>
      <c r="H22" s="27"/>
      <c r="I22" s="33">
        <f>CEILING(M16+M17+M18,1024)</f>
        <v>17670144</v>
      </c>
      <c r="J22" s="33"/>
      <c r="M22"/>
      <c r="N22"/>
      <c r="O22"/>
    </row>
    <row r="23" ht="33.95" customHeight="1" spans="1:15">
      <c r="A23" s="25" t="s">
        <v>51</v>
      </c>
      <c r="B23" s="25"/>
      <c r="C23" s="25"/>
      <c r="D23" s="14">
        <f t="shared" ref="D23" si="6">D22/1024</f>
        <v>40120</v>
      </c>
      <c r="E23" s="14"/>
      <c r="F23" s="14"/>
      <c r="G23" s="27">
        <f>G22/1024</f>
        <v>8160</v>
      </c>
      <c r="H23" s="27"/>
      <c r="I23" s="34">
        <f>I22/1024</f>
        <v>17256</v>
      </c>
      <c r="J23" s="34"/>
      <c r="M23"/>
      <c r="N23"/>
      <c r="O23"/>
    </row>
    <row r="24" ht="30" customHeight="1" spans="1:15">
      <c r="A24" s="25" t="s">
        <v>52</v>
      </c>
      <c r="B24" s="25"/>
      <c r="C24" s="25"/>
      <c r="D24" s="14">
        <f>IF(D13="64M",64,IF(D13="128M",128,D13))-G24-I24</f>
        <v>39</v>
      </c>
      <c r="E24" s="14"/>
      <c r="F24" s="14"/>
      <c r="G24" s="27">
        <f>ROUNDUP(G23/1024,0)</f>
        <v>8</v>
      </c>
      <c r="H24" s="27"/>
      <c r="I24" s="34">
        <f>ROUNDUP(I23/1024,0)</f>
        <v>17</v>
      </c>
      <c r="J24" s="34"/>
      <c r="M24"/>
      <c r="N24"/>
      <c r="O24"/>
    </row>
    <row r="25" ht="18.95" customHeight="1" spans="13:15">
      <c r="M25"/>
      <c r="N25"/>
      <c r="O25"/>
    </row>
    <row r="26" spans="1:15">
      <c r="A26" s="28" t="s">
        <v>53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/>
      <c r="N26"/>
      <c r="O26"/>
    </row>
    <row r="27" ht="18" customHeight="1" spans="1:15">
      <c r="A27" s="29" t="str">
        <f>"mem="&amp;D23&amp;"K@0x0"&amp;" ispmem="&amp;G23&amp;"K@0x"&amp;DEC2HEX(D23*1024,7)&amp;" rmem="&amp;I23&amp;"K@0x"&amp;DEC2HEX((D23+G23)*1024,7)</f>
        <v>mem=40120K@0x0 ispmem=8160K@0x272E000 rmem=17256K@0x2F26000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/>
      <c r="N27"/>
      <c r="O27"/>
    </row>
    <row r="28" ht="21.75" customHeight="1" spans="1:15">
      <c r="A28" s="30" t="str">
        <f>"mem="&amp;D24&amp;"M@0x0"&amp;" ispmem="&amp;G24&amp;"M@0x"&amp;DEC2HEX(D24*1024*1024,7)&amp;" rmem="&amp;I24&amp;"M@0x"&amp;DEC2HEX((D24+G24)*1024*1024,7)</f>
        <v>mem=39M@0x0 ispmem=8M@0x2700000 rmem=17M@0x2F00000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/>
      <c r="N28"/>
      <c r="O28"/>
    </row>
  </sheetData>
  <mergeCells count="38">
    <mergeCell ref="A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XEV11"/>
    <mergeCell ref="A12:F12"/>
    <mergeCell ref="A13:C13"/>
    <mergeCell ref="D13:F13"/>
    <mergeCell ref="A14:XEV14"/>
    <mergeCell ref="A19:M19"/>
    <mergeCell ref="A21:C21"/>
    <mergeCell ref="D21:F21"/>
    <mergeCell ref="G21:H21"/>
    <mergeCell ref="I21:J21"/>
    <mergeCell ref="A22:C22"/>
    <mergeCell ref="D22:F22"/>
    <mergeCell ref="G22:H22"/>
    <mergeCell ref="I22:J22"/>
    <mergeCell ref="A23:C23"/>
    <mergeCell ref="D23:F23"/>
    <mergeCell ref="G23:H23"/>
    <mergeCell ref="I23:J23"/>
    <mergeCell ref="A24:C24"/>
    <mergeCell ref="D24:F24"/>
    <mergeCell ref="G24:H24"/>
    <mergeCell ref="I24:J24"/>
    <mergeCell ref="A27:K27"/>
    <mergeCell ref="A28:K28"/>
    <mergeCell ref="A1:J4"/>
  </mergeCells>
  <dataValidations count="6">
    <dataValidation allowBlank="1" showInputMessage="1" showErrorMessage="1" sqref="I7 J7"/>
    <dataValidation type="list" showInputMessage="1" showErrorMessage="1" sqref="G13">
      <formula1>"T10,T20"</formula1>
    </dataValidation>
    <dataValidation type="list" allowBlank="1" showInputMessage="1" showErrorMessage="1" sqref="D13:F13">
      <formula1>"64M,128M"</formula1>
    </dataValidation>
    <dataValidation type="list" allowBlank="1" showInputMessage="1" showErrorMessage="1" sqref="I8:I10">
      <formula1>"NV12,BGR0"</formula1>
    </dataValidation>
    <dataValidation type="list" allowBlank="1" showInputMessage="1" showErrorMessage="1" sqref="K16 K17 K18 B16:B18">
      <formula1>"Yes,No"</formula1>
    </dataValidation>
    <dataValidation type="list" allowBlank="1" showInputMessage="1" showErrorMessage="1" sqref="L16 L17 L18">
      <formula1>"No"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K16" sqref="K16"/>
    </sheetView>
  </sheetViews>
  <sheetFormatPr defaultColWidth="9" defaultRowHeight="13.5"/>
  <cols>
    <col min="9" max="9" width="22.8407079646018" customWidth="1"/>
  </cols>
  <sheetData>
    <row r="1" spans="1:9">
      <c r="A1" s="1" t="s">
        <v>88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</sheetData>
  <mergeCells count="1">
    <mergeCell ref="A1:I9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rmem计算器T41</vt:lpstr>
      <vt:lpstr>rmem计算器T40 </vt:lpstr>
      <vt:lpstr>rmem计算器T31</vt:lpstr>
      <vt:lpstr>rmem计算器T21</vt:lpstr>
      <vt:lpstr>rmem计算器T30</vt:lpstr>
      <vt:lpstr>rmem计算器T20&amp;T10</vt:lpstr>
      <vt:lpstr>ChangeLog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Damon.jszhang</cp:lastModifiedBy>
  <dcterms:created xsi:type="dcterms:W3CDTF">2006-09-13T11:21:00Z</dcterms:created>
  <dcterms:modified xsi:type="dcterms:W3CDTF">2022-10-19T03:43:49Z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2052-11.1.0.10358</vt:lpwstr>
  </property>
  <property fmtid="{D5CDD505-2E9C-101B-9397-08002B2CF9AE}" pid="3" name="ICV">
    <vt:lpwstr>7EDDD61105F64EA5AF20D9E4976678B3</vt:lpwstr>
  </property>
</Properties>
</file>