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va\Documents\Coding\IIB_Project\Gesture_elicitation\"/>
    </mc:Choice>
  </mc:AlternateContent>
  <xr:revisionPtr revIDLastSave="0" documentId="13_ncr:1_{DA73620F-ED22-4B9B-A97F-74CE8BB52AC0}" xr6:coauthVersionLast="43" xr6:coauthVersionMax="43" xr10:uidLastSave="{00000000-0000-0000-0000-000000000000}"/>
  <bookViews>
    <workbookView xWindow="-98" yWindow="-98" windowWidth="20715" windowHeight="13276" xr2:uid="{0FD874E3-1E4C-49D7-8375-9B1B8A2BC18A}"/>
  </bookViews>
  <sheets>
    <sheet name="Gesture evaluation" sheetId="1" r:id="rId1"/>
    <sheet name="Accura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1" l="1"/>
  <c r="U6" i="1"/>
  <c r="Q20" i="2" l="1"/>
  <c r="AK29" i="1" s="1"/>
  <c r="P20" i="2"/>
  <c r="AI29" i="1" s="1"/>
  <c r="O20" i="2"/>
  <c r="AG29" i="1" s="1"/>
  <c r="N20" i="2"/>
  <c r="AE29" i="1" s="1"/>
  <c r="M20" i="2"/>
  <c r="AC29" i="1" s="1"/>
  <c r="L20" i="2"/>
  <c r="AA29" i="1" s="1"/>
  <c r="K20" i="2"/>
  <c r="Y29" i="1" s="1"/>
  <c r="J20" i="2"/>
  <c r="I20" i="2"/>
  <c r="S29" i="1" s="1"/>
  <c r="T29" i="1" s="1"/>
  <c r="H20" i="2"/>
  <c r="Q29" i="1" s="1"/>
  <c r="R29" i="1" s="1"/>
  <c r="G20" i="2"/>
  <c r="O29" i="1" s="1"/>
  <c r="P29" i="1" s="1"/>
  <c r="F20" i="2"/>
  <c r="M29" i="1" s="1"/>
  <c r="N29" i="1" s="1"/>
  <c r="E20" i="2"/>
  <c r="K29" i="1" s="1"/>
  <c r="L29" i="1" s="1"/>
  <c r="D20" i="2"/>
  <c r="C20" i="2"/>
  <c r="D19" i="2"/>
  <c r="E19" i="2"/>
  <c r="K28" i="1" s="1"/>
  <c r="L28" i="1" s="1"/>
  <c r="F19" i="2"/>
  <c r="M28" i="1" s="1"/>
  <c r="N28" i="1" s="1"/>
  <c r="G19" i="2"/>
  <c r="O28" i="1" s="1"/>
  <c r="P28" i="1" s="1"/>
  <c r="H19" i="2"/>
  <c r="Q28" i="1" s="1"/>
  <c r="I19" i="2"/>
  <c r="S28" i="1" s="1"/>
  <c r="T28" i="1" s="1"/>
  <c r="J19" i="2"/>
  <c r="K19" i="2"/>
  <c r="Y28" i="1" s="1"/>
  <c r="L19" i="2"/>
  <c r="AA28" i="1" s="1"/>
  <c r="M19" i="2"/>
  <c r="AC28" i="1" s="1"/>
  <c r="N19" i="2"/>
  <c r="AE28" i="1" s="1"/>
  <c r="O19" i="2"/>
  <c r="AG28" i="1" s="1"/>
  <c r="P19" i="2"/>
  <c r="AI28" i="1" s="1"/>
  <c r="Q19" i="2"/>
  <c r="AK28" i="1" s="1"/>
  <c r="C19" i="2"/>
  <c r="D18" i="2"/>
  <c r="E18" i="2"/>
  <c r="K27" i="1" s="1"/>
  <c r="L27" i="1" s="1"/>
  <c r="F18" i="2"/>
  <c r="M27" i="1" s="1"/>
  <c r="N27" i="1" s="1"/>
  <c r="G18" i="2"/>
  <c r="O27" i="1" s="1"/>
  <c r="P27" i="1" s="1"/>
  <c r="H18" i="2"/>
  <c r="Q27" i="1" s="1"/>
  <c r="I18" i="2"/>
  <c r="S27" i="1" s="1"/>
  <c r="T27" i="1" s="1"/>
  <c r="J18" i="2"/>
  <c r="K18" i="2"/>
  <c r="Y27" i="1" s="1"/>
  <c r="L18" i="2"/>
  <c r="AA27" i="1" s="1"/>
  <c r="M18" i="2"/>
  <c r="AC27" i="1" s="1"/>
  <c r="N18" i="2"/>
  <c r="AE27" i="1" s="1"/>
  <c r="O18" i="2"/>
  <c r="AG27" i="1" s="1"/>
  <c r="P18" i="2"/>
  <c r="AI27" i="1" s="1"/>
  <c r="Q18" i="2"/>
  <c r="AK27" i="1" s="1"/>
  <c r="C18" i="2"/>
  <c r="G29" i="1" l="1"/>
  <c r="H29" i="1" s="1"/>
  <c r="I29" i="1"/>
  <c r="J29" i="1" s="1"/>
  <c r="W29" i="1"/>
  <c r="X29" i="1" s="1"/>
  <c r="U29" i="1"/>
  <c r="V29" i="1" s="1"/>
  <c r="U28" i="1"/>
  <c r="V28" i="1" s="1"/>
  <c r="W28" i="1"/>
  <c r="I28" i="1"/>
  <c r="J28" i="1" s="1"/>
  <c r="G28" i="1"/>
  <c r="H28" i="1" s="1"/>
  <c r="W27" i="1"/>
  <c r="U27" i="1"/>
  <c r="V27" i="1" s="1"/>
  <c r="I27" i="1"/>
  <c r="J27" i="1" s="1"/>
  <c r="G27" i="1"/>
  <c r="H27" i="1" s="1"/>
  <c r="AL29" i="1"/>
  <c r="AL28" i="1"/>
  <c r="AL27" i="1"/>
  <c r="AJ29" i="1"/>
  <c r="AJ28" i="1"/>
  <c r="AJ27" i="1"/>
  <c r="AH29" i="1"/>
  <c r="AH28" i="1"/>
  <c r="AH27" i="1"/>
  <c r="AF29" i="1"/>
  <c r="AF28" i="1"/>
  <c r="AF27" i="1"/>
  <c r="AD29" i="1"/>
  <c r="AD28" i="1"/>
  <c r="AD27" i="1"/>
  <c r="AB29" i="1"/>
  <c r="AB28" i="1"/>
  <c r="AB27" i="1"/>
  <c r="Z29" i="1"/>
  <c r="Z28" i="1"/>
  <c r="Z27" i="1"/>
  <c r="B24" i="1"/>
  <c r="C24" i="1"/>
  <c r="AG13" i="1" s="1"/>
  <c r="C29" i="1" l="1"/>
  <c r="B29" i="1"/>
  <c r="K13" i="1"/>
  <c r="L13" i="1" s="1"/>
  <c r="S13" i="1"/>
  <c r="AA13" i="1"/>
  <c r="AI13" i="1"/>
  <c r="AJ13" i="1" s="1"/>
  <c r="M13" i="1"/>
  <c r="N13" i="1" s="1"/>
  <c r="U13" i="1"/>
  <c r="AC13" i="1"/>
  <c r="AK13" i="1"/>
  <c r="AL13" i="1" s="1"/>
  <c r="G13" i="1"/>
  <c r="H13" i="1" s="1"/>
  <c r="O13" i="1"/>
  <c r="W13" i="1"/>
  <c r="X13" i="1" s="1"/>
  <c r="AE13" i="1"/>
  <c r="AF13" i="1" s="1"/>
  <c r="I13" i="1"/>
  <c r="Q13" i="1"/>
  <c r="R13" i="1" s="1"/>
  <c r="Y13" i="1"/>
  <c r="Z13" i="1" s="1"/>
  <c r="AH13" i="1"/>
  <c r="AD13" i="1"/>
  <c r="AB13" i="1"/>
  <c r="V13" i="1"/>
  <c r="T13" i="1"/>
  <c r="P13" i="1"/>
  <c r="J13" i="1"/>
  <c r="E13" i="1"/>
  <c r="AK14" i="1"/>
  <c r="AK11" i="1"/>
  <c r="AL11" i="1" s="1"/>
  <c r="AI14" i="1"/>
  <c r="AI11" i="1"/>
  <c r="AJ11" i="1" s="1"/>
  <c r="AG14" i="1"/>
  <c r="AH14" i="1" s="1"/>
  <c r="AE14" i="1"/>
  <c r="AE11" i="1"/>
  <c r="AF11" i="1" s="1"/>
  <c r="AC14" i="1"/>
  <c r="AD14" i="1" s="1"/>
  <c r="AA14" i="1"/>
  <c r="AB14" i="1" s="1"/>
  <c r="Y14" i="1"/>
  <c r="Z14" i="1" s="1"/>
  <c r="Y11" i="1"/>
  <c r="Z11" i="1" s="1"/>
  <c r="W14" i="1"/>
  <c r="X14" i="1" s="1"/>
  <c r="W11" i="1"/>
  <c r="X11" i="1" s="1"/>
  <c r="V22" i="1"/>
  <c r="U11" i="1"/>
  <c r="V11" i="1" s="1"/>
  <c r="U14" i="1"/>
  <c r="V14" i="1" s="1"/>
  <c r="S14" i="1"/>
  <c r="T14" i="1" s="1"/>
  <c r="S11" i="1"/>
  <c r="T11" i="1" s="1"/>
  <c r="H22" i="1"/>
  <c r="H12" i="1"/>
  <c r="Q14" i="1"/>
  <c r="R14" i="1" s="1"/>
  <c r="P22" i="1"/>
  <c r="O14" i="1"/>
  <c r="P14" i="1" s="1"/>
  <c r="O11" i="1"/>
  <c r="P11" i="1" s="1"/>
  <c r="K14" i="1"/>
  <c r="L14" i="1" s="1"/>
  <c r="K11" i="1"/>
  <c r="L11" i="1" s="1"/>
  <c r="M14" i="1"/>
  <c r="N14" i="1" s="1"/>
  <c r="M11" i="1"/>
  <c r="N11" i="1" s="1"/>
  <c r="I14" i="1"/>
  <c r="J14" i="1" s="1"/>
  <c r="G14" i="1"/>
  <c r="H14" i="1" s="1"/>
  <c r="I11" i="1"/>
  <c r="J11" i="1" s="1"/>
  <c r="AL14" i="1"/>
  <c r="AL22" i="1"/>
  <c r="AL12" i="1"/>
  <c r="AJ14" i="1"/>
  <c r="AJ22" i="1"/>
  <c r="AJ12" i="1"/>
  <c r="AH22" i="1"/>
  <c r="AH12" i="1"/>
  <c r="AH11" i="1"/>
  <c r="AF14" i="1"/>
  <c r="AF22" i="1"/>
  <c r="AF12" i="1"/>
  <c r="AD22" i="1"/>
  <c r="AD12" i="1"/>
  <c r="AD11" i="1"/>
  <c r="AB22" i="1"/>
  <c r="AB12" i="1"/>
  <c r="AB11" i="1"/>
  <c r="Z22" i="1"/>
  <c r="Z12" i="1"/>
  <c r="X22" i="1"/>
  <c r="X12" i="1"/>
  <c r="V12" i="1"/>
  <c r="T22" i="1"/>
  <c r="T12" i="1"/>
  <c r="R22" i="1"/>
  <c r="R12" i="1"/>
  <c r="R11" i="1"/>
  <c r="P12" i="1"/>
  <c r="N22" i="1"/>
  <c r="N12" i="1"/>
  <c r="L22" i="1"/>
  <c r="L12" i="1"/>
  <c r="J22" i="1"/>
  <c r="J12" i="1"/>
  <c r="G11" i="1"/>
  <c r="H11" i="1" s="1"/>
  <c r="M17" i="1" l="1"/>
  <c r="N17" i="1" s="1"/>
  <c r="G17" i="1"/>
  <c r="H17" i="1" s="1"/>
  <c r="S17" i="1"/>
  <c r="T17" i="1" s="1"/>
  <c r="W17" i="1"/>
  <c r="X17" i="1" s="1"/>
  <c r="U17" i="1"/>
  <c r="V17" i="1" s="1"/>
  <c r="Q17" i="1"/>
  <c r="R17" i="1" s="1"/>
  <c r="O17" i="1"/>
  <c r="P17" i="1" s="1"/>
  <c r="AG17" i="1"/>
  <c r="AH17" i="1" s="1"/>
  <c r="AA17" i="1"/>
  <c r="AB17" i="1" s="1"/>
  <c r="K17" i="1"/>
  <c r="L17" i="1" s="1"/>
  <c r="AC17" i="1"/>
  <c r="AD17" i="1" s="1"/>
  <c r="AI17" i="1"/>
  <c r="AJ17" i="1" s="1"/>
  <c r="Y17" i="1"/>
  <c r="Z17" i="1" s="1"/>
  <c r="AE17" i="1"/>
  <c r="AF17" i="1" s="1"/>
  <c r="I17" i="1"/>
  <c r="J17" i="1" s="1"/>
  <c r="AK17" i="1"/>
  <c r="AL17" i="1" s="1"/>
  <c r="E11" i="1"/>
  <c r="E12" i="1"/>
  <c r="E22" i="1"/>
  <c r="E14" i="1"/>
  <c r="E15" i="1"/>
  <c r="E16" i="1"/>
  <c r="E17" i="1"/>
  <c r="E18" i="1" l="1"/>
  <c r="X28" i="1" l="1"/>
  <c r="X27" i="1"/>
  <c r="D27" i="1"/>
  <c r="R27" i="1"/>
  <c r="R28" i="1"/>
  <c r="D28" i="1"/>
  <c r="E28" i="1"/>
  <c r="E27" i="1"/>
  <c r="U16" i="1" l="1"/>
  <c r="V16" i="1" s="1"/>
  <c r="AA15" i="1"/>
  <c r="AB15" i="1" s="1"/>
  <c r="AK16" i="1"/>
  <c r="AL16" i="1" s="1"/>
  <c r="K16" i="1"/>
  <c r="L16" i="1" s="1"/>
  <c r="AI16" i="1"/>
  <c r="AJ16" i="1" s="1"/>
  <c r="S16" i="1"/>
  <c r="T16" i="1" s="1"/>
  <c r="Y16" i="1"/>
  <c r="Z16" i="1" s="1"/>
  <c r="AG16" i="1"/>
  <c r="AH16" i="1" s="1"/>
  <c r="AA16" i="1"/>
  <c r="AB16" i="1" s="1"/>
  <c r="AE15" i="1"/>
  <c r="AF15" i="1" s="1"/>
  <c r="AC15" i="1"/>
  <c r="AD15" i="1" s="1"/>
  <c r="M15" i="1"/>
  <c r="N15" i="1" s="1"/>
  <c r="Q15" i="1"/>
  <c r="R15" i="1" s="1"/>
  <c r="Y15" i="1"/>
  <c r="Z15" i="1" s="1"/>
  <c r="AK15" i="1"/>
  <c r="AL15" i="1" s="1"/>
  <c r="G16" i="1"/>
  <c r="H16" i="1" s="1"/>
  <c r="M16" i="1"/>
  <c r="N16" i="1" s="1"/>
  <c r="U15" i="1"/>
  <c r="V15" i="1" s="1"/>
  <c r="AC16" i="1"/>
  <c r="AD16" i="1" s="1"/>
  <c r="O15" i="1"/>
  <c r="P15" i="1" s="1"/>
  <c r="O16" i="1"/>
  <c r="P16" i="1" s="1"/>
  <c r="AI15" i="1"/>
  <c r="AJ15" i="1" s="1"/>
  <c r="I15" i="1"/>
  <c r="J15" i="1" s="1"/>
  <c r="G15" i="1"/>
  <c r="H15" i="1" s="1"/>
  <c r="S15" i="1"/>
  <c r="T15" i="1" s="1"/>
  <c r="K15" i="1"/>
  <c r="L15" i="1" s="1"/>
  <c r="W15" i="1"/>
  <c r="X15" i="1" s="1"/>
  <c r="Q16" i="1"/>
  <c r="R16" i="1" s="1"/>
  <c r="W16" i="1"/>
  <c r="X16" i="1" s="1"/>
  <c r="AG15" i="1"/>
  <c r="AH15" i="1" s="1"/>
  <c r="AE16" i="1"/>
  <c r="AF16" i="1" s="1"/>
  <c r="I16" i="1"/>
  <c r="J16" i="1" s="1"/>
  <c r="AJ18" i="1" l="1"/>
  <c r="V18" i="1"/>
  <c r="H18" i="1"/>
  <c r="AL18" i="1"/>
  <c r="AB18" i="1"/>
  <c r="L18" i="1"/>
  <c r="AH18" i="1"/>
  <c r="Z18" i="1"/>
  <c r="T18" i="1"/>
  <c r="R18" i="1"/>
  <c r="X18" i="1"/>
  <c r="J18" i="1"/>
  <c r="AD18" i="1"/>
  <c r="P18" i="1"/>
  <c r="N18" i="1"/>
  <c r="AF18" i="1"/>
  <c r="R5" i="1" l="1"/>
  <c r="R6" i="1"/>
  <c r="T6" i="1" s="1"/>
  <c r="Q5" i="1"/>
  <c r="Q4" i="1"/>
  <c r="S4" i="1" s="1"/>
  <c r="Q6" i="1"/>
  <c r="S6" i="1" s="1"/>
  <c r="Q3" i="1"/>
  <c r="R3" i="1"/>
  <c r="R4" i="1"/>
  <c r="T4" i="1" s="1"/>
  <c r="R7" i="1"/>
  <c r="Q7" i="1"/>
  <c r="AO18" i="1"/>
  <c r="AQ18" i="1" s="1"/>
  <c r="S3" i="1" l="1"/>
  <c r="S5" i="1"/>
  <c r="T5" i="1"/>
  <c r="S7" i="1"/>
  <c r="T3" i="1"/>
  <c r="T7" i="1"/>
</calcChain>
</file>

<file path=xl/sharedStrings.xml><?xml version="1.0" encoding="utf-8"?>
<sst xmlns="http://schemas.openxmlformats.org/spreadsheetml/2006/main" count="103" uniqueCount="69">
  <si>
    <t>Undo</t>
  </si>
  <si>
    <t>Redo</t>
  </si>
  <si>
    <t>Copy</t>
  </si>
  <si>
    <t>Paste</t>
  </si>
  <si>
    <t>Delete</t>
  </si>
  <si>
    <t>Task\Gesture</t>
  </si>
  <si>
    <t>20 Flick to the left</t>
  </si>
  <si>
    <t>20 Flick to the right</t>
  </si>
  <si>
    <t>17 Rotate CCW</t>
  </si>
  <si>
    <t>17 Rotate CW</t>
  </si>
  <si>
    <t>10 Plam forward, bend 4 fingers down</t>
  </si>
  <si>
    <t>29 Grab out of plane</t>
  </si>
  <si>
    <t>29 Push into plane</t>
  </si>
  <si>
    <t>9 Contract hand and rotate to the left</t>
  </si>
  <si>
    <t>9 Contract hand and rotate to the right</t>
  </si>
  <si>
    <t>1 Form letter C</t>
  </si>
  <si>
    <t>1 Form letter V</t>
  </si>
  <si>
    <t>16 Wipe blackboard</t>
  </si>
  <si>
    <t>13 Cross out text</t>
  </si>
  <si>
    <t>8 Palm upwards, bend 4 fingers down</t>
  </si>
  <si>
    <t>New gesture no</t>
  </si>
  <si>
    <t>Weight</t>
  </si>
  <si>
    <t>How good is this gesture for this task</t>
  </si>
  <si>
    <t>Professional judgement on the ease of performance</t>
  </si>
  <si>
    <t>How many people suggested this</t>
  </si>
  <si>
    <t>Recognition accuracy</t>
  </si>
  <si>
    <t>True positives rate</t>
  </si>
  <si>
    <t>Ideal choice</t>
  </si>
  <si>
    <t>Min value</t>
  </si>
  <si>
    <t>Max value</t>
  </si>
  <si>
    <t>Value</t>
  </si>
  <si>
    <t>W. value</t>
  </si>
  <si>
    <t>G1 for Undo</t>
  </si>
  <si>
    <t>G1 for Delete</t>
  </si>
  <si>
    <t>G2 for Redo</t>
  </si>
  <si>
    <t>G3 for Undo</t>
  </si>
  <si>
    <t>G4 for Redo</t>
  </si>
  <si>
    <t>G5 for Undo</t>
  </si>
  <si>
    <t>G6 for Redo</t>
  </si>
  <si>
    <t>G7 for Copy</t>
  </si>
  <si>
    <t>G7 for Delete</t>
  </si>
  <si>
    <t>G8 for Paste</t>
  </si>
  <si>
    <t>G9 for Copy</t>
  </si>
  <si>
    <t>G10 for Paste</t>
  </si>
  <si>
    <t>G11 for Copy</t>
  </si>
  <si>
    <t>G13 for Delete</t>
  </si>
  <si>
    <t>G14 for Delete</t>
  </si>
  <si>
    <t>G12 for Paste</t>
  </si>
  <si>
    <t>Duration efficiency mapping:</t>
  </si>
  <si>
    <t>Smallest = 5</t>
  </si>
  <si>
    <t>Largest = 0</t>
  </si>
  <si>
    <t>Raw average duration/efficiency</t>
  </si>
  <si>
    <t>Duration/efficiency rating</t>
  </si>
  <si>
    <t xml:space="preserve">RR   </t>
  </si>
  <si>
    <t>TPR</t>
  </si>
  <si>
    <t xml:space="preserve">FPR </t>
  </si>
  <si>
    <t>Largest=5</t>
  </si>
  <si>
    <t>Smallest = 0</t>
  </si>
  <si>
    <t>Best:</t>
  </si>
  <si>
    <t>Position:</t>
  </si>
  <si>
    <t>SECOND BEST GESTURE</t>
  </si>
  <si>
    <t>BEST GESTURE</t>
  </si>
  <si>
    <t>BEST VALUE</t>
  </si>
  <si>
    <t>SECOND BEST VALUE</t>
  </si>
  <si>
    <t>False positives rate</t>
  </si>
  <si>
    <t>Qualities</t>
  </si>
  <si>
    <t>RR</t>
  </si>
  <si>
    <t>FPR</t>
  </si>
  <si>
    <t>COPY PASTE 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</si>
</sst>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4" xfId="0" applyFont="1" applyBorder="1" applyAlignment="1">
      <alignment wrapText="1"/>
    </xf>
    <xf numFmtId="2" fontId="0" fillId="0" borderId="9" xfId="0" applyNumberFormat="1" applyBorder="1" applyAlignment="1">
      <alignment wrapText="1"/>
    </xf>
    <xf numFmtId="2" fontId="0" fillId="0" borderId="10" xfId="0" applyNumberFormat="1" applyBorder="1"/>
    <xf numFmtId="2" fontId="0" fillId="0" borderId="11" xfId="0" applyNumberFormat="1" applyBorder="1" applyAlignment="1">
      <alignment wrapText="1"/>
    </xf>
    <xf numFmtId="2" fontId="0" fillId="0" borderId="13" xfId="0" applyNumberFormat="1" applyBorder="1"/>
    <xf numFmtId="2" fontId="0" fillId="0" borderId="0" xfId="0" applyNumberFormat="1" applyAlignment="1">
      <alignment wrapText="1"/>
    </xf>
    <xf numFmtId="2" fontId="0" fillId="0" borderId="0" xfId="0" applyNumberFormat="1"/>
    <xf numFmtId="0" fontId="0" fillId="2" borderId="9" xfId="0" applyFill="1" applyBorder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0" borderId="10" xfId="0" applyNumberFormat="1" applyBorder="1"/>
    <xf numFmtId="0" fontId="1" fillId="0" borderId="0" xfId="0" applyFont="1" applyAlignment="1">
      <alignment vertical="center" wrapText="1"/>
    </xf>
    <xf numFmtId="0" fontId="0" fillId="3" borderId="0" xfId="0" applyFill="1"/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2" xfId="0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/>
    <xf numFmtId="0" fontId="0" fillId="0" borderId="0" xfId="0" applyFill="1"/>
    <xf numFmtId="0" fontId="0" fillId="0" borderId="0" xfId="0" applyFill="1" applyAlignment="1"/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36F5-6585-4231-8B92-87F12A5DCA57}">
  <dimension ref="A1:AQ31"/>
  <sheetViews>
    <sheetView tabSelected="1" topLeftCell="A5" zoomScale="88" workbookViewId="0">
      <pane xSplit="1" topLeftCell="B1" activePane="topRight" state="frozen"/>
      <selection activeCell="A3" sqref="A3"/>
      <selection pane="topRight" activeCell="U6" sqref="U6"/>
    </sheetView>
  </sheetViews>
  <sheetFormatPr defaultRowHeight="14.25" x14ac:dyDescent="0.45"/>
  <cols>
    <col min="1" max="1" width="18.796875" style="1" customWidth="1"/>
    <col min="2" max="7" width="13.59765625" style="1" customWidth="1"/>
    <col min="21" max="21" width="9.1328125" customWidth="1"/>
  </cols>
  <sheetData>
    <row r="1" spans="1:38" x14ac:dyDescent="0.45">
      <c r="A1" s="17" t="s">
        <v>20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</row>
    <row r="2" spans="1:38" ht="85.5" customHeight="1" x14ac:dyDescent="0.45">
      <c r="A2" s="4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19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6" t="s">
        <v>18</v>
      </c>
      <c r="P2" s="34"/>
      <c r="Q2" s="34" t="s">
        <v>62</v>
      </c>
      <c r="R2" s="34" t="s">
        <v>63</v>
      </c>
      <c r="S2" s="34" t="s">
        <v>61</v>
      </c>
      <c r="T2" s="34" t="s">
        <v>60</v>
      </c>
      <c r="U2" s="34" t="s">
        <v>68</v>
      </c>
      <c r="V2" s="34"/>
      <c r="W2" s="34"/>
      <c r="X2" s="34"/>
    </row>
    <row r="3" spans="1:38" x14ac:dyDescent="0.45">
      <c r="A3" s="2" t="s">
        <v>0</v>
      </c>
      <c r="B3" s="7">
        <v>1</v>
      </c>
      <c r="C3" s="8"/>
      <c r="D3" s="8">
        <v>1</v>
      </c>
      <c r="E3" s="8"/>
      <c r="F3" s="8">
        <v>1</v>
      </c>
      <c r="G3" s="8"/>
      <c r="H3" s="9"/>
      <c r="I3" s="9"/>
      <c r="J3" s="9"/>
      <c r="K3" s="9"/>
      <c r="L3" s="9"/>
      <c r="M3" s="9"/>
      <c r="N3" s="9"/>
      <c r="O3" s="10"/>
      <c r="Q3" s="29">
        <f>MAX(H18,N18,R18)</f>
        <v>918.46882748848736</v>
      </c>
      <c r="R3" s="29">
        <f>LARGE((H18,N18,R18), 2)</f>
        <v>892.64169323414819</v>
      </c>
      <c r="S3" s="35">
        <f>IF(Q3=$H$18,$B$1,IF(Q3=$N$18,$D$1,IF(Q3=$R$18,$F$1,0)))</f>
        <v>3</v>
      </c>
      <c r="T3" s="48">
        <f>IF(R3=$H$18,$B$1,IF(R3=$N$18,$D$1,IF(R3=$R$18,$F$1,0)))</f>
        <v>1</v>
      </c>
      <c r="U3" s="50"/>
      <c r="V3" s="50"/>
    </row>
    <row r="4" spans="1:38" x14ac:dyDescent="0.45">
      <c r="A4" s="2" t="s">
        <v>1</v>
      </c>
      <c r="B4" s="11"/>
      <c r="C4" s="1">
        <v>1</v>
      </c>
      <c r="E4" s="1">
        <v>1</v>
      </c>
      <c r="G4" s="1">
        <v>1</v>
      </c>
      <c r="O4" s="12"/>
      <c r="Q4" s="29">
        <f>MAX(L18,P18,T18)</f>
        <v>817.89851222104153</v>
      </c>
      <c r="R4" s="29">
        <f>LARGE((L18,P18,T18), 2)</f>
        <v>749.27116542685087</v>
      </c>
      <c r="S4" s="35">
        <f>IF(Q4=$L$18,$C$1,IF(Q4=$P$18,$E$1,IF(Q4=$T$18,$G$1,0)))</f>
        <v>4</v>
      </c>
      <c r="T4">
        <f>IF(R4=$L$18,$C$1,IF(R4=$P$18,$E$1,IF(R4=$T$18,$G$1,0)))</f>
        <v>6</v>
      </c>
      <c r="U4" s="50"/>
      <c r="V4" s="50"/>
    </row>
    <row r="5" spans="1:38" x14ac:dyDescent="0.45">
      <c r="A5" s="2" t="s">
        <v>2</v>
      </c>
      <c r="B5" s="11"/>
      <c r="H5">
        <v>1</v>
      </c>
      <c r="J5">
        <v>1</v>
      </c>
      <c r="L5">
        <v>1</v>
      </c>
      <c r="O5" s="12"/>
      <c r="Q5" s="29">
        <f>MAX(V18,AB18,AF18)</f>
        <v>1061.3044633368756</v>
      </c>
      <c r="R5" s="29">
        <f>LARGE((V18,AB18,AF18), 2)</f>
        <v>947.5</v>
      </c>
      <c r="S5" s="35">
        <f>IF(Q5=$V$18,$H$1,IF(Q5=$AB$18,$J$1,IF(Q5=$AF$18,$L$1,0)))</f>
        <v>11</v>
      </c>
      <c r="T5" s="48">
        <f>IF(R5=$V$18,$H$1,IF(R5=$AB$18,$J$1,IF(R5=$AF$18,$L$1,0)))</f>
        <v>7</v>
      </c>
      <c r="U5" s="51">
        <f>Q5+R6</f>
        <v>1930.5366631243357</v>
      </c>
      <c r="V5" s="50"/>
    </row>
    <row r="6" spans="1:38" x14ac:dyDescent="0.45">
      <c r="A6" s="2" t="s">
        <v>3</v>
      </c>
      <c r="B6" s="11"/>
      <c r="I6">
        <v>1</v>
      </c>
      <c r="K6">
        <v>1</v>
      </c>
      <c r="M6">
        <v>1</v>
      </c>
      <c r="O6" s="12"/>
      <c r="Q6" s="29">
        <f>MAX(Z18,AD18,AH18)</f>
        <v>929.28702540817301</v>
      </c>
      <c r="R6" s="29">
        <f>LARGE((Z18,AD18,AH18), 2)</f>
        <v>869.2321997874601</v>
      </c>
      <c r="S6" s="48">
        <f>IF(Q6=$Z$18,$I$1,IF(Q6=$AD$18,$K$1,IF(Q6=$AH$18,$M$1,0)))</f>
        <v>8</v>
      </c>
      <c r="T6" s="35">
        <f>IF(R6=$Z$18,$I$1,IF(R6=$AD$18,$K$1,IF(R6=$AH$18,$M$1,0)))</f>
        <v>12</v>
      </c>
      <c r="U6" s="52">
        <f>R5+Q6</f>
        <v>1876.7870254081731</v>
      </c>
      <c r="V6" s="49"/>
    </row>
    <row r="7" spans="1:38" x14ac:dyDescent="0.45">
      <c r="A7" s="3" t="s">
        <v>4</v>
      </c>
      <c r="B7" s="13">
        <v>1</v>
      </c>
      <c r="C7" s="14"/>
      <c r="D7" s="14"/>
      <c r="E7" s="14"/>
      <c r="F7" s="14"/>
      <c r="G7" s="14"/>
      <c r="H7" s="15">
        <v>1</v>
      </c>
      <c r="I7" s="15"/>
      <c r="J7" s="15"/>
      <c r="K7" s="15"/>
      <c r="L7" s="15"/>
      <c r="M7" s="15"/>
      <c r="N7" s="15">
        <v>1</v>
      </c>
      <c r="O7" s="16">
        <v>1</v>
      </c>
      <c r="Q7" s="29">
        <f>MAX(J18,X18,AJ18,AL18)</f>
        <v>893.47502656748145</v>
      </c>
      <c r="R7" s="29">
        <f>LARGE((J18,X18,AJ18,AL18), 2)</f>
        <v>887.41232731137086</v>
      </c>
      <c r="S7" s="35">
        <f>IF(Q7=$J$18,$B$1,IF(Q7=$X$18,$H$1,IF(Q7=$AJ$18,$N$1,IF(Q7=$AL$18,$O$1, 0))))</f>
        <v>1</v>
      </c>
      <c r="T7">
        <f>IF(R7=$J$18,$B$1,IF(R7=$X$18,$H$1,IF(R7=$AJ$18,$N$1,IF(R7=$AL$18,$O$1, 0))))</f>
        <v>14</v>
      </c>
      <c r="W7" s="47"/>
      <c r="X7" s="29"/>
    </row>
    <row r="9" spans="1:38" ht="14.25" customHeight="1" x14ac:dyDescent="0.45">
      <c r="G9" s="36" t="s">
        <v>32</v>
      </c>
      <c r="H9" s="37"/>
      <c r="I9" s="36" t="s">
        <v>33</v>
      </c>
      <c r="J9" s="37"/>
      <c r="K9" s="36" t="s">
        <v>34</v>
      </c>
      <c r="L9" s="37"/>
      <c r="M9" s="36" t="s">
        <v>35</v>
      </c>
      <c r="N9" s="37"/>
      <c r="O9" s="36" t="s">
        <v>36</v>
      </c>
      <c r="P9" s="37"/>
      <c r="Q9" s="36" t="s">
        <v>37</v>
      </c>
      <c r="R9" s="37"/>
      <c r="S9" s="36" t="s">
        <v>38</v>
      </c>
      <c r="T9" s="37"/>
      <c r="U9" s="36" t="s">
        <v>39</v>
      </c>
      <c r="V9" s="37"/>
      <c r="W9" s="36" t="s">
        <v>40</v>
      </c>
      <c r="X9" s="37"/>
      <c r="Y9" s="36" t="s">
        <v>41</v>
      </c>
      <c r="Z9" s="37"/>
      <c r="AA9" s="36" t="s">
        <v>42</v>
      </c>
      <c r="AB9" s="37"/>
      <c r="AC9" s="36" t="s">
        <v>43</v>
      </c>
      <c r="AD9" s="37"/>
      <c r="AE9" s="36" t="s">
        <v>44</v>
      </c>
      <c r="AF9" s="37"/>
      <c r="AG9" s="36" t="s">
        <v>47</v>
      </c>
      <c r="AH9" s="37"/>
      <c r="AI9" s="36" t="s">
        <v>45</v>
      </c>
      <c r="AJ9" s="37"/>
      <c r="AK9" s="36" t="s">
        <v>46</v>
      </c>
      <c r="AL9" s="37"/>
    </row>
    <row r="10" spans="1:38" x14ac:dyDescent="0.45">
      <c r="A10" s="17" t="s">
        <v>65</v>
      </c>
      <c r="B10" s="23" t="s">
        <v>21</v>
      </c>
      <c r="C10" s="23" t="s">
        <v>28</v>
      </c>
      <c r="D10" s="18" t="s">
        <v>29</v>
      </c>
      <c r="E10" s="17" t="s">
        <v>27</v>
      </c>
      <c r="G10" s="11" t="s">
        <v>30</v>
      </c>
      <c r="H10" s="19" t="s">
        <v>31</v>
      </c>
      <c r="I10" s="11" t="s">
        <v>30</v>
      </c>
      <c r="J10" s="19" t="s">
        <v>31</v>
      </c>
      <c r="K10" s="11" t="s">
        <v>30</v>
      </c>
      <c r="L10" s="19" t="s">
        <v>31</v>
      </c>
      <c r="M10" s="11" t="s">
        <v>30</v>
      </c>
      <c r="N10" s="19" t="s">
        <v>31</v>
      </c>
      <c r="O10" s="11" t="s">
        <v>30</v>
      </c>
      <c r="P10" s="19" t="s">
        <v>31</v>
      </c>
      <c r="Q10" s="11" t="s">
        <v>30</v>
      </c>
      <c r="R10" s="19" t="s">
        <v>31</v>
      </c>
      <c r="S10" s="11" t="s">
        <v>30</v>
      </c>
      <c r="T10" s="19" t="s">
        <v>31</v>
      </c>
      <c r="U10" s="11" t="s">
        <v>30</v>
      </c>
      <c r="V10" s="19" t="s">
        <v>31</v>
      </c>
      <c r="W10" s="11" t="s">
        <v>30</v>
      </c>
      <c r="X10" s="19" t="s">
        <v>31</v>
      </c>
      <c r="Y10" s="11" t="s">
        <v>30</v>
      </c>
      <c r="Z10" s="19" t="s">
        <v>31</v>
      </c>
      <c r="AA10" s="11" t="s">
        <v>30</v>
      </c>
      <c r="AB10" s="19" t="s">
        <v>31</v>
      </c>
      <c r="AC10" s="11" t="s">
        <v>30</v>
      </c>
      <c r="AD10" s="19" t="s">
        <v>31</v>
      </c>
      <c r="AE10" s="11" t="s">
        <v>30</v>
      </c>
      <c r="AF10" s="19" t="s">
        <v>31</v>
      </c>
      <c r="AG10" s="11" t="s">
        <v>30</v>
      </c>
      <c r="AH10" s="19" t="s">
        <v>31</v>
      </c>
      <c r="AI10" s="11" t="s">
        <v>30</v>
      </c>
      <c r="AJ10" s="19" t="s">
        <v>31</v>
      </c>
      <c r="AK10" s="11" t="s">
        <v>30</v>
      </c>
      <c r="AL10" s="19" t="s">
        <v>31</v>
      </c>
    </row>
    <row r="11" spans="1:38" ht="28.5" x14ac:dyDescent="0.45">
      <c r="A11" s="11" t="s">
        <v>22</v>
      </c>
      <c r="B11" s="11">
        <v>20</v>
      </c>
      <c r="C11" s="1">
        <v>0</v>
      </c>
      <c r="D11" s="19">
        <v>5</v>
      </c>
      <c r="E11" s="21">
        <f t="shared" ref="E11:E17" si="0">D11*B11</f>
        <v>100</v>
      </c>
      <c r="G11" s="24">
        <f>18.5/6</f>
        <v>3.0833333333333335</v>
      </c>
      <c r="H11" s="25">
        <f t="shared" ref="H11:H14" si="1">G11*$B11</f>
        <v>61.666666666666671</v>
      </c>
      <c r="I11" s="28">
        <f>14.5/4</f>
        <v>3.625</v>
      </c>
      <c r="J11" s="25">
        <f t="shared" ref="J11" si="2">I11*$B11</f>
        <v>72.5</v>
      </c>
      <c r="K11" s="24">
        <f>17/5</f>
        <v>3.4</v>
      </c>
      <c r="L11" s="25">
        <f t="shared" ref="L11" si="3">K11*$B11</f>
        <v>68</v>
      </c>
      <c r="M11" s="24">
        <f>11/3</f>
        <v>3.6666666666666665</v>
      </c>
      <c r="N11" s="25">
        <f t="shared" ref="N11" si="4">M11*$B11</f>
        <v>73.333333333333329</v>
      </c>
      <c r="O11" s="24">
        <f>13/4</f>
        <v>3.25</v>
      </c>
      <c r="P11" s="25">
        <f t="shared" ref="P11" si="5">O11*$B11</f>
        <v>65</v>
      </c>
      <c r="Q11" s="24">
        <v>2</v>
      </c>
      <c r="R11" s="25">
        <f t="shared" ref="R11" si="6">Q11*$B11</f>
        <v>40</v>
      </c>
      <c r="S11" s="24">
        <f>11/3</f>
        <v>3.6666666666666665</v>
      </c>
      <c r="T11" s="25">
        <f t="shared" ref="T11" si="7">S11*$B11</f>
        <v>73.333333333333329</v>
      </c>
      <c r="U11" s="24">
        <f>40.5/12</f>
        <v>3.375</v>
      </c>
      <c r="V11" s="25">
        <f t="shared" ref="V11" si="8">U11*$B11</f>
        <v>67.5</v>
      </c>
      <c r="W11" s="24">
        <f>7.5/3</f>
        <v>2.5</v>
      </c>
      <c r="X11" s="25">
        <f t="shared" ref="X11" si="9">W11*$B11</f>
        <v>50</v>
      </c>
      <c r="Y11" s="24">
        <f>43/11</f>
        <v>3.9090909090909092</v>
      </c>
      <c r="Z11" s="25">
        <f t="shared" ref="Z11" si="10">Y11*$B11</f>
        <v>78.181818181818187</v>
      </c>
      <c r="AA11" s="24">
        <v>1</v>
      </c>
      <c r="AB11" s="25">
        <f t="shared" ref="AB11" si="11">AA11*$B11</f>
        <v>20</v>
      </c>
      <c r="AC11" s="24">
        <v>1</v>
      </c>
      <c r="AD11" s="25">
        <f t="shared" ref="AD11" si="12">AC11*$B11</f>
        <v>20</v>
      </c>
      <c r="AE11" s="24">
        <f>9/3</f>
        <v>3</v>
      </c>
      <c r="AF11" s="25">
        <f t="shared" ref="AF11" si="13">AE11*$B11</f>
        <v>60</v>
      </c>
      <c r="AG11" s="24">
        <v>4</v>
      </c>
      <c r="AH11" s="25">
        <f t="shared" ref="AH11" si="14">AG11*$B11</f>
        <v>80</v>
      </c>
      <c r="AI11" s="24">
        <f>8/3</f>
        <v>2.6666666666666665</v>
      </c>
      <c r="AJ11" s="25">
        <f t="shared" ref="AJ11" si="15">AI11*$B11</f>
        <v>53.333333333333329</v>
      </c>
      <c r="AK11" s="24">
        <f>9/3</f>
        <v>3</v>
      </c>
      <c r="AL11" s="25">
        <f t="shared" ref="AL11" si="16">AK11*$B11</f>
        <v>60</v>
      </c>
    </row>
    <row r="12" spans="1:38" ht="42.75" x14ac:dyDescent="0.45">
      <c r="A12" s="11" t="s">
        <v>23</v>
      </c>
      <c r="B12" s="11">
        <v>20</v>
      </c>
      <c r="C12" s="1">
        <v>0</v>
      </c>
      <c r="D12" s="19">
        <v>5</v>
      </c>
      <c r="E12" s="21">
        <f t="shared" si="0"/>
        <v>100</v>
      </c>
      <c r="G12" s="24">
        <v>5</v>
      </c>
      <c r="H12" s="25">
        <f t="shared" si="1"/>
        <v>100</v>
      </c>
      <c r="I12" s="28">
        <v>5</v>
      </c>
      <c r="J12" s="25">
        <f t="shared" ref="J12" si="17">I12*$B12</f>
        <v>100</v>
      </c>
      <c r="K12" s="24">
        <v>5</v>
      </c>
      <c r="L12" s="25">
        <f t="shared" ref="L12" si="18">K12*$B12</f>
        <v>100</v>
      </c>
      <c r="M12" s="24">
        <v>4.5</v>
      </c>
      <c r="N12" s="25">
        <f t="shared" ref="N12" si="19">M12*$B12</f>
        <v>90</v>
      </c>
      <c r="O12" s="24">
        <v>4.5</v>
      </c>
      <c r="P12" s="25">
        <f t="shared" ref="P12" si="20">O12*$B12</f>
        <v>90</v>
      </c>
      <c r="Q12" s="24">
        <v>4</v>
      </c>
      <c r="R12" s="25">
        <f t="shared" ref="R12" si="21">Q12*$B12</f>
        <v>80</v>
      </c>
      <c r="S12" s="24">
        <v>4</v>
      </c>
      <c r="T12" s="25">
        <f t="shared" ref="T12" si="22">S12*$B12</f>
        <v>80</v>
      </c>
      <c r="U12" s="24">
        <v>4.5</v>
      </c>
      <c r="V12" s="25">
        <f t="shared" ref="V12" si="23">U12*$B12</f>
        <v>90</v>
      </c>
      <c r="W12" s="24">
        <v>4.5</v>
      </c>
      <c r="X12" s="25">
        <f t="shared" ref="X12" si="24">W12*$B12</f>
        <v>90</v>
      </c>
      <c r="Y12" s="24">
        <v>4.5</v>
      </c>
      <c r="Z12" s="25">
        <f t="shared" ref="Z12" si="25">Y12*$B12</f>
        <v>90</v>
      </c>
      <c r="AA12" s="24">
        <v>3</v>
      </c>
      <c r="AB12" s="25">
        <f t="shared" ref="AB12" si="26">AA12*$B12</f>
        <v>60</v>
      </c>
      <c r="AC12" s="24">
        <v>3</v>
      </c>
      <c r="AD12" s="25">
        <f t="shared" ref="AD12" si="27">AC12*$B12</f>
        <v>60</v>
      </c>
      <c r="AE12" s="24">
        <v>5</v>
      </c>
      <c r="AF12" s="25">
        <f t="shared" ref="AF12" si="28">AE12*$B12</f>
        <v>100</v>
      </c>
      <c r="AG12" s="24">
        <v>5</v>
      </c>
      <c r="AH12" s="25">
        <f t="shared" ref="AH12" si="29">AG12*$B12</f>
        <v>100</v>
      </c>
      <c r="AI12" s="24">
        <v>2</v>
      </c>
      <c r="AJ12" s="25">
        <f t="shared" ref="AJ12" si="30">AI12*$B12</f>
        <v>40</v>
      </c>
      <c r="AK12" s="24">
        <v>4.5</v>
      </c>
      <c r="AL12" s="25">
        <f t="shared" ref="AL12" si="31">AK12*$B12</f>
        <v>90</v>
      </c>
    </row>
    <row r="13" spans="1:38" ht="28.5" x14ac:dyDescent="0.45">
      <c r="A13" s="1" t="s">
        <v>52</v>
      </c>
      <c r="B13" s="11">
        <v>0</v>
      </c>
      <c r="C13" s="1">
        <v>0</v>
      </c>
      <c r="D13" s="19">
        <v>5</v>
      </c>
      <c r="E13" s="21">
        <f t="shared" si="0"/>
        <v>0</v>
      </c>
      <c r="G13" s="24">
        <f>-(G$22-$C$24)/($C$24-$B$24)*5</f>
        <v>4.75</v>
      </c>
      <c r="H13" s="25">
        <f t="shared" si="1"/>
        <v>0</v>
      </c>
      <c r="I13" s="24">
        <f>-(I$22-$C$24)/($C$24-$B$24)*5</f>
        <v>4.75</v>
      </c>
      <c r="J13" s="25">
        <f>I13*$B13</f>
        <v>0</v>
      </c>
      <c r="K13" s="24">
        <f>-(K$22-$C$24)/($C$24-$B$24)*5</f>
        <v>5</v>
      </c>
      <c r="L13" s="25">
        <f>K13*$B13</f>
        <v>0</v>
      </c>
      <c r="M13" s="24">
        <f>-(M$22-$C$24)/($C$24-$B$24)*5</f>
        <v>2.7727272727272729</v>
      </c>
      <c r="N13" s="25">
        <f>M13*$B13</f>
        <v>0</v>
      </c>
      <c r="O13" s="24">
        <f>-(O$22-$C$24)/($C$24-$B$24)*5</f>
        <v>2.3409090909090908</v>
      </c>
      <c r="P13" s="25">
        <f>O13*$B13</f>
        <v>0</v>
      </c>
      <c r="Q13" s="24">
        <f>-(Q$22-$C$24)/($C$24-$B$24)*5</f>
        <v>3.6590909090909096</v>
      </c>
      <c r="R13" s="25">
        <f>Q13*$B13</f>
        <v>0</v>
      </c>
      <c r="S13" s="24">
        <f>-(S$22-$C$24)/($C$24-$B$24)*5</f>
        <v>2.4090909090909083</v>
      </c>
      <c r="T13" s="25">
        <f>S13*$B13</f>
        <v>0</v>
      </c>
      <c r="U13" s="24">
        <f>-(U$22-$C$24)/($C$24-$B$24)*5</f>
        <v>2.9090909090909092</v>
      </c>
      <c r="V13" s="25">
        <f>U13*$B13</f>
        <v>0</v>
      </c>
      <c r="W13" s="24">
        <f>-(W$22-$C$24)/($C$24-$B$24)*5</f>
        <v>2.9090909090909092</v>
      </c>
      <c r="X13" s="25">
        <f>W13*$B13</f>
        <v>0</v>
      </c>
      <c r="Y13" s="24">
        <f>-(Y$22-$C$24)/($C$24-$B$24)*5</f>
        <v>4.8863636363636367</v>
      </c>
      <c r="Z13" s="25">
        <f>Y13*$B13</f>
        <v>0</v>
      </c>
      <c r="AA13" s="24">
        <f>-(AA$22-$C$24)/($C$24-$B$24)*5</f>
        <v>0.43181818181818149</v>
      </c>
      <c r="AB13" s="25">
        <f>AA13*$B13</f>
        <v>0</v>
      </c>
      <c r="AC13" s="24">
        <f>-(AC$22-$C$24)/($C$24-$B$24)*5</f>
        <v>0</v>
      </c>
      <c r="AD13" s="25">
        <f>AC13*$B13</f>
        <v>0</v>
      </c>
      <c r="AE13" s="24">
        <f>-(AE$22-$C$24)/($C$24-$B$24)*5</f>
        <v>2.0909090909090908</v>
      </c>
      <c r="AF13" s="25">
        <f>AE13*$B13</f>
        <v>0</v>
      </c>
      <c r="AG13" s="24">
        <f>-(AG$22-$C$24)/($C$24-$B$24)*5</f>
        <v>3.1818181818181817</v>
      </c>
      <c r="AH13" s="25">
        <f>AG13*$B13</f>
        <v>0</v>
      </c>
      <c r="AI13" s="24">
        <f>-(AI$22-$C$24)/($C$24-$B$24)*5</f>
        <v>1.8863636363636367</v>
      </c>
      <c r="AJ13" s="25">
        <f>AI13*$B13</f>
        <v>0</v>
      </c>
      <c r="AK13" s="24">
        <f>-(AK$22-$C$24)/($C$24-$B$24)*5</f>
        <v>2.5227272727272725</v>
      </c>
      <c r="AL13" s="25">
        <f>AK13*$B13</f>
        <v>0</v>
      </c>
    </row>
    <row r="14" spans="1:38" ht="28.5" x14ac:dyDescent="0.45">
      <c r="A14" s="11" t="s">
        <v>24</v>
      </c>
      <c r="B14" s="11">
        <v>20</v>
      </c>
      <c r="C14" s="1">
        <v>0</v>
      </c>
      <c r="D14" s="19">
        <v>5</v>
      </c>
      <c r="E14" s="21">
        <f t="shared" si="0"/>
        <v>100</v>
      </c>
      <c r="G14" s="24">
        <f>6/20*5</f>
        <v>1.5</v>
      </c>
      <c r="H14" s="25">
        <f t="shared" si="1"/>
        <v>30</v>
      </c>
      <c r="I14" s="28">
        <f>4/20*5</f>
        <v>1</v>
      </c>
      <c r="J14" s="25">
        <f t="shared" ref="J14" si="32">I14*$B14</f>
        <v>20</v>
      </c>
      <c r="K14" s="24">
        <f>5/20*5</f>
        <v>1.25</v>
      </c>
      <c r="L14" s="25">
        <f t="shared" ref="L14" si="33">K14*$B14</f>
        <v>25</v>
      </c>
      <c r="M14" s="24">
        <f>3/20*5</f>
        <v>0.75</v>
      </c>
      <c r="N14" s="25">
        <f t="shared" ref="N14" si="34">M14*$B14</f>
        <v>15</v>
      </c>
      <c r="O14" s="24">
        <f>4/20*5</f>
        <v>1</v>
      </c>
      <c r="P14" s="25">
        <f t="shared" ref="P14:P15" si="35">O14*$B14</f>
        <v>20</v>
      </c>
      <c r="Q14" s="24">
        <f>1/20*5</f>
        <v>0.25</v>
      </c>
      <c r="R14" s="25">
        <f t="shared" ref="R14" si="36">Q14*$B14</f>
        <v>5</v>
      </c>
      <c r="S14" s="24">
        <f>3/20*5</f>
        <v>0.75</v>
      </c>
      <c r="T14" s="25">
        <f t="shared" ref="T14" si="37">S14*$B14</f>
        <v>15</v>
      </c>
      <c r="U14" s="24">
        <f>12/20*5</f>
        <v>3</v>
      </c>
      <c r="V14" s="25">
        <f t="shared" ref="V14" si="38">U14*$B14</f>
        <v>60</v>
      </c>
      <c r="W14" s="24">
        <f>3/20*5</f>
        <v>0.75</v>
      </c>
      <c r="X14" s="25">
        <f t="shared" ref="X14" si="39">W14*$B14</f>
        <v>15</v>
      </c>
      <c r="Y14" s="24">
        <f>11/20*5</f>
        <v>2.75</v>
      </c>
      <c r="Z14" s="25">
        <f t="shared" ref="Z14" si="40">Y14*$B14</f>
        <v>55</v>
      </c>
      <c r="AA14" s="24">
        <f>1/20*5</f>
        <v>0.25</v>
      </c>
      <c r="AB14" s="25">
        <f t="shared" ref="AB14" si="41">AA14*$B14</f>
        <v>5</v>
      </c>
      <c r="AC14" s="24">
        <f>1/20*5</f>
        <v>0.25</v>
      </c>
      <c r="AD14" s="25">
        <f t="shared" ref="AD14" si="42">AC14*$B14</f>
        <v>5</v>
      </c>
      <c r="AE14" s="24">
        <f>3/20*5</f>
        <v>0.75</v>
      </c>
      <c r="AF14" s="25">
        <f t="shared" ref="AF14" si="43">AE14*$B14</f>
        <v>15</v>
      </c>
      <c r="AG14" s="24">
        <f>1/20*5</f>
        <v>0.25</v>
      </c>
      <c r="AH14" s="25">
        <f t="shared" ref="AH14" si="44">AG14*$B14</f>
        <v>5</v>
      </c>
      <c r="AI14" s="24">
        <f>3/20*5</f>
        <v>0.75</v>
      </c>
      <c r="AJ14" s="25">
        <f t="shared" ref="AJ14" si="45">AI14*$B14</f>
        <v>15</v>
      </c>
      <c r="AK14" s="24">
        <f>3/20*5</f>
        <v>0.75</v>
      </c>
      <c r="AL14" s="25">
        <f t="shared" ref="AL14" si="46">AK14*$B14</f>
        <v>15</v>
      </c>
    </row>
    <row r="15" spans="1:38" x14ac:dyDescent="0.45">
      <c r="A15" s="11" t="s">
        <v>25</v>
      </c>
      <c r="B15" s="11">
        <v>0</v>
      </c>
      <c r="C15" s="1">
        <v>0</v>
      </c>
      <c r="D15" s="19">
        <v>5</v>
      </c>
      <c r="E15" s="21">
        <f t="shared" si="0"/>
        <v>0</v>
      </c>
      <c r="G15" s="24">
        <f>(G27-$E$27)/($D$27-$E$27)*5</f>
        <v>4.5004803073966908</v>
      </c>
      <c r="H15" s="25">
        <f t="shared" ref="H15:J15" si="47">G15*$B15</f>
        <v>0</v>
      </c>
      <c r="I15" s="24">
        <f>(I27-$E$27)/($D$27-$E$27)*5</f>
        <v>4.5004803073966908</v>
      </c>
      <c r="J15" s="25">
        <f t="shared" si="47"/>
        <v>0</v>
      </c>
      <c r="K15" s="24">
        <f>(K27-$E$27)/($D$27-$E$27)*5</f>
        <v>3.9886098531631067</v>
      </c>
      <c r="L15" s="25">
        <f t="shared" ref="L15" si="48">K15*$B15</f>
        <v>0</v>
      </c>
      <c r="M15" s="24">
        <f>(M27-$E$27)/($D$27-$E$27)*5</f>
        <v>4.2843419788664248</v>
      </c>
      <c r="N15" s="25">
        <f t="shared" ref="N15" si="49">M15*$B15</f>
        <v>0</v>
      </c>
      <c r="O15" s="24">
        <f>(O27-$E$27)/($D$27-$E$27)*5</f>
        <v>3.336764100452795</v>
      </c>
      <c r="P15" s="25">
        <f t="shared" si="35"/>
        <v>0</v>
      </c>
      <c r="Q15" s="24">
        <f>(Q27-$E$27)/($D$27-$E$27)*5</f>
        <v>4.285028132290388</v>
      </c>
      <c r="R15" s="25">
        <f t="shared" ref="R15" si="50">Q15*$B15</f>
        <v>0</v>
      </c>
      <c r="S15" s="24">
        <f>(S27-$E$27)/($D$27-$E$27)*5</f>
        <v>4.3049265815836124</v>
      </c>
      <c r="T15" s="25">
        <f t="shared" ref="T15" si="51">S15*$B15</f>
        <v>0</v>
      </c>
      <c r="U15" s="24">
        <f>(U27-$E$27)/($D$27-$E$27)*5</f>
        <v>5</v>
      </c>
      <c r="V15" s="25">
        <f t="shared" ref="V15" si="52">U15*$B15</f>
        <v>0</v>
      </c>
      <c r="W15" s="24">
        <f>(W27-$E$27)/($D$27-$E$27)*5</f>
        <v>5</v>
      </c>
      <c r="X15" s="25">
        <f t="shared" ref="X15" si="53">W15*$B15</f>
        <v>0</v>
      </c>
      <c r="Y15" s="24">
        <f>(Y27-$E$27)/($D$27-$E$27)*5</f>
        <v>4.4112803622889132</v>
      </c>
      <c r="Z15" s="25">
        <f t="shared" ref="Z15" si="54">Y15*$B15</f>
        <v>0</v>
      </c>
      <c r="AA15" s="24">
        <f>(AA27-$E$27)/($D$27-$E$27)*5</f>
        <v>0</v>
      </c>
      <c r="AB15" s="25">
        <f t="shared" ref="AB15" si="55">AA15*$B15</f>
        <v>0</v>
      </c>
      <c r="AC15" s="24">
        <f>(AC27-$E$27)/($D$27-$E$27)*5</f>
        <v>1.8642788527513812</v>
      </c>
      <c r="AD15" s="25">
        <f t="shared" ref="AD15" si="56">AC15*$B15</f>
        <v>0</v>
      </c>
      <c r="AE15" s="24">
        <f>(AE27-$E$27)/($D$27-$E$27)*5</f>
        <v>4.9588307945656238</v>
      </c>
      <c r="AF15" s="25">
        <f t="shared" ref="AF15" si="57">AE15*$B15</f>
        <v>0</v>
      </c>
      <c r="AG15" s="24">
        <f>(AG27-$E$27)/($D$27-$E$27)*5</f>
        <v>3.8801976121860675</v>
      </c>
      <c r="AH15" s="25">
        <f t="shared" ref="AH15" si="58">AG15*$B15</f>
        <v>0</v>
      </c>
      <c r="AI15" s="24">
        <f>(AI27-$E$27)/($D$27-$E$27)*5</f>
        <v>3.524083985179074</v>
      </c>
      <c r="AJ15" s="25">
        <f t="shared" ref="AJ15" si="59">AI15*$B15</f>
        <v>0</v>
      </c>
      <c r="AK15" s="24">
        <f>(AK27-$E$27)/($D$27-$E$27)*5</f>
        <v>3.2352133937147807</v>
      </c>
      <c r="AL15" s="25">
        <f t="shared" ref="AL15" si="60">AK15*$B15</f>
        <v>0</v>
      </c>
    </row>
    <row r="16" spans="1:38" x14ac:dyDescent="0.45">
      <c r="A16" s="11" t="s">
        <v>26</v>
      </c>
      <c r="B16" s="11">
        <v>90</v>
      </c>
      <c r="C16" s="1">
        <v>0</v>
      </c>
      <c r="D16" s="19">
        <v>5</v>
      </c>
      <c r="E16" s="21">
        <f t="shared" si="0"/>
        <v>450</v>
      </c>
      <c r="G16" s="24">
        <f>(G28-$E$28)/($D$28-$E$28)*5</f>
        <v>2.5555555555555558</v>
      </c>
      <c r="H16" s="25">
        <f t="shared" ref="H16:J16" si="61">G16*$B16</f>
        <v>230.00000000000003</v>
      </c>
      <c r="I16" s="24">
        <f>(I28-$E$28)/($D$28-$E$28)*5</f>
        <v>2.5555555555555558</v>
      </c>
      <c r="J16" s="25">
        <f t="shared" si="61"/>
        <v>230.00000000000003</v>
      </c>
      <c r="K16" s="24">
        <f>(K28-$E$28)/($D$28-$E$28)*5</f>
        <v>0</v>
      </c>
      <c r="L16" s="25">
        <f t="shared" ref="L16" si="62">K16*$B16</f>
        <v>0</v>
      </c>
      <c r="M16" s="24">
        <f>(M28-$E$28)/($D$28-$E$28)*5</f>
        <v>3.666666666666667</v>
      </c>
      <c r="N16" s="25">
        <f t="shared" ref="N16" si="63">M16*$B16</f>
        <v>330</v>
      </c>
      <c r="O16" s="24">
        <f>(O28-$E$28)/($D$28-$E$28)*5</f>
        <v>3.6666666666666679</v>
      </c>
      <c r="P16" s="25">
        <f t="shared" ref="P16" si="64">O16*$B16</f>
        <v>330.00000000000011</v>
      </c>
      <c r="Q16" s="24">
        <f>(Q28-$E$28)/($D$28-$E$28)*5</f>
        <v>3.7777777777777768</v>
      </c>
      <c r="R16" s="25">
        <f t="shared" ref="R16" si="65">Q16*$B16</f>
        <v>339.99999999999989</v>
      </c>
      <c r="S16" s="24">
        <f>(S28-$E$28)/($D$28-$E$28)*5</f>
        <v>1.1111111111111114</v>
      </c>
      <c r="T16" s="25">
        <f t="shared" ref="T16" si="66">S16*$B16</f>
        <v>100.00000000000003</v>
      </c>
      <c r="U16" s="24">
        <f>(U28-$E$28)/($D$28-$E$28)*5</f>
        <v>2.5555555555555558</v>
      </c>
      <c r="V16" s="25">
        <f t="shared" ref="V16" si="67">U16*$B16</f>
        <v>230.00000000000003</v>
      </c>
      <c r="W16" s="24">
        <f>(W28-$E$28)/($D$28-$E$28)*5</f>
        <v>2.5555555555555558</v>
      </c>
      <c r="X16" s="25">
        <f t="shared" ref="X16" si="68">W16*$B16</f>
        <v>230.00000000000003</v>
      </c>
      <c r="Y16" s="24">
        <f>(Y28-$E$28)/($D$28-$E$28)*5</f>
        <v>2.9999999999999991</v>
      </c>
      <c r="Z16" s="25">
        <f t="shared" ref="Z16" si="69">Y16*$B16</f>
        <v>269.99999999999994</v>
      </c>
      <c r="AA16" s="24">
        <f>(AA28-$E$28)/($D$28-$E$28)*5</f>
        <v>2.666666666666667</v>
      </c>
      <c r="AB16" s="25">
        <f t="shared" ref="AB16" si="70">AA16*$B16</f>
        <v>240.00000000000003</v>
      </c>
      <c r="AC16" s="24">
        <f>(AC28-$E$28)/($D$28-$E$28)*5</f>
        <v>1.1111111111111107</v>
      </c>
      <c r="AD16" s="25">
        <f t="shared" ref="AD16" si="71">AC16*$B16</f>
        <v>99.999999999999972</v>
      </c>
      <c r="AE16" s="24">
        <f>(AE28-$E$28)/($D$28-$E$28)*5</f>
        <v>5</v>
      </c>
      <c r="AF16" s="25">
        <f t="shared" ref="AF16" si="72">AE16*$B16</f>
        <v>450</v>
      </c>
      <c r="AG16" s="24">
        <f>(AG28-$E$28)/($D$28-$E$28)*5</f>
        <v>3.333333333333333</v>
      </c>
      <c r="AH16" s="25">
        <f t="shared" ref="AH16" si="73">AG16*$B16</f>
        <v>300</v>
      </c>
      <c r="AI16" s="24">
        <f>(AI28-$E$28)/($D$28-$E$28)*5</f>
        <v>1.8888888888888893</v>
      </c>
      <c r="AJ16" s="25">
        <f t="shared" ref="AJ16" si="74">AI16*$B16</f>
        <v>170.00000000000003</v>
      </c>
      <c r="AK16" s="24">
        <f>(AK28-$E$28)/($D$28-$E$28)*5</f>
        <v>4.8888888888888884</v>
      </c>
      <c r="AL16" s="25">
        <f t="shared" ref="AL16" si="75">AK16*$B16</f>
        <v>439.99999999999994</v>
      </c>
    </row>
    <row r="17" spans="1:43" x14ac:dyDescent="0.45">
      <c r="A17" s="13" t="s">
        <v>64</v>
      </c>
      <c r="B17" s="13">
        <v>100</v>
      </c>
      <c r="C17" s="14">
        <v>0</v>
      </c>
      <c r="D17" s="20">
        <v>5</v>
      </c>
      <c r="E17" s="22">
        <f t="shared" si="0"/>
        <v>500</v>
      </c>
      <c r="G17" s="26">
        <f>-(G$29-$C$29)/($C$29-$B$29)*5</f>
        <v>4.7097502656748143</v>
      </c>
      <c r="H17" s="27">
        <f t="shared" ref="H17:J17" si="76">G17*$B17</f>
        <v>470.97502656748145</v>
      </c>
      <c r="I17" s="26">
        <f>-(I$29-$C$29)/($C$29-$B$29)*5</f>
        <v>4.7097502656748143</v>
      </c>
      <c r="J17" s="27">
        <f t="shared" si="76"/>
        <v>470.97502656748145</v>
      </c>
      <c r="K17" s="26">
        <f>-(K$29-$C$29)/($C$29-$B$29)*5</f>
        <v>4.7403028692879916</v>
      </c>
      <c r="L17" s="27">
        <f t="shared" ref="L17" si="77">K17*$B17</f>
        <v>474.03028692879917</v>
      </c>
      <c r="M17" s="26">
        <f>-(M$29-$C$29)/($C$29-$B$29)*5</f>
        <v>4.1013549415515405</v>
      </c>
      <c r="N17" s="27">
        <f t="shared" ref="N17" si="78">M17*$B17</f>
        <v>410.13549415515405</v>
      </c>
      <c r="O17" s="26">
        <f>-(O$29-$C$29)/($C$29-$B$29)*5</f>
        <v>3.1289851222104144</v>
      </c>
      <c r="P17" s="27">
        <f t="shared" ref="P17" si="79">O17*$B17</f>
        <v>312.89851222104141</v>
      </c>
      <c r="Q17" s="26">
        <f>-(Q$29-$C$29)/($C$29-$B$29)*5</f>
        <v>4.2242295430393204</v>
      </c>
      <c r="R17" s="27">
        <f t="shared" ref="R17" si="80">Q17*$B17</f>
        <v>422.42295430393204</v>
      </c>
      <c r="S17" s="26">
        <f>-(S$29-$C$29)/($C$29-$B$29)*5</f>
        <v>4.809378320935175</v>
      </c>
      <c r="T17" s="27">
        <f t="shared" ref="T17" si="81">S17*$B17</f>
        <v>480.9378320935175</v>
      </c>
      <c r="U17" s="26">
        <f>-(U$29-$C$29)/($C$29-$B$29)*5</f>
        <v>5</v>
      </c>
      <c r="V17" s="27">
        <f t="shared" ref="V17" si="82">U17*$B17</f>
        <v>500</v>
      </c>
      <c r="W17" s="26">
        <f>-(W$29-$C$29)/($C$29-$B$29)*5</f>
        <v>5</v>
      </c>
      <c r="X17" s="27">
        <f t="shared" ref="X17" si="83">W17*$B17</f>
        <v>500</v>
      </c>
      <c r="Y17" s="26">
        <f>-(Y$29-$C$29)/($C$29-$B$29)*5</f>
        <v>4.3610520722635489</v>
      </c>
      <c r="Z17" s="27">
        <f t="shared" ref="Z17" si="84">Y17*$B17</f>
        <v>436.10520722635488</v>
      </c>
      <c r="AA17" s="26">
        <f>-(AA$29-$C$29)/($C$29-$B$29)*5</f>
        <v>0</v>
      </c>
      <c r="AB17" s="27">
        <f t="shared" ref="AB17" si="85">AA17*$B17</f>
        <v>0</v>
      </c>
      <c r="AC17" s="26">
        <f>-(AC$29-$C$29)/($C$29-$B$29)*5</f>
        <v>2.3983793836344316</v>
      </c>
      <c r="AD17" s="27">
        <f t="shared" ref="AD17" si="86">AC17*$B17</f>
        <v>239.83793836344316</v>
      </c>
      <c r="AE17" s="26">
        <f>-(AE$29-$C$29)/($C$29-$B$29)*5</f>
        <v>4.363044633368756</v>
      </c>
      <c r="AF17" s="27">
        <f t="shared" ref="AF17" si="87">AE17*$B17</f>
        <v>436.30446333687559</v>
      </c>
      <c r="AG17" s="26">
        <f>-(AG$29-$C$29)/($C$29-$B$29)*5</f>
        <v>3.8423219978746008</v>
      </c>
      <c r="AH17" s="27">
        <f t="shared" ref="AH17" si="88">AG17*$B17</f>
        <v>384.2321997874601</v>
      </c>
      <c r="AI17" s="26">
        <f>-(AI$29-$C$29)/($C$29-$B$29)*5</f>
        <v>4.010361317747078</v>
      </c>
      <c r="AJ17" s="27">
        <f t="shared" ref="AJ17" si="89">AI17*$B17</f>
        <v>401.03613177470783</v>
      </c>
      <c r="AK17" s="26">
        <f>-(AK$29-$C$29)/($C$29-$B$29)*5</f>
        <v>2.8241232731137087</v>
      </c>
      <c r="AL17" s="27">
        <f t="shared" ref="AL17" si="90">AK17*$B17</f>
        <v>282.41232731137086</v>
      </c>
    </row>
    <row r="18" spans="1:43" x14ac:dyDescent="0.45">
      <c r="E18" s="1">
        <f>SUM(E11:E17)</f>
        <v>1250</v>
      </c>
      <c r="H18" s="29">
        <f>SUM(H11:H17)</f>
        <v>892.64169323414819</v>
      </c>
      <c r="J18" s="29">
        <f>SUM(J11:J17)</f>
        <v>893.47502656748145</v>
      </c>
      <c r="L18" s="29">
        <f>SUM(L11:L17)</f>
        <v>667.03028692879911</v>
      </c>
      <c r="N18" s="29">
        <f>SUM(N11:N17)</f>
        <v>918.46882748848736</v>
      </c>
      <c r="P18" s="29">
        <f>SUM(P11:P17)</f>
        <v>817.89851222104153</v>
      </c>
      <c r="R18" s="29">
        <f>SUM(R11:R17)</f>
        <v>887.42295430393187</v>
      </c>
      <c r="T18" s="29">
        <f>SUM(T11:T17)</f>
        <v>749.27116542685087</v>
      </c>
      <c r="V18" s="29">
        <f>SUM(V11:V17)</f>
        <v>947.5</v>
      </c>
      <c r="X18" s="29">
        <f>SUM(X11:X17)</f>
        <v>885</v>
      </c>
      <c r="Z18" s="29">
        <f>SUM(Z11:Z17)</f>
        <v>929.28702540817301</v>
      </c>
      <c r="AB18" s="29">
        <f>SUM(AB11:AB17)</f>
        <v>325</v>
      </c>
      <c r="AD18" s="29">
        <f>SUM(AD11:AD17)</f>
        <v>424.83793836344313</v>
      </c>
      <c r="AF18" s="29">
        <f>SUM(AF11:AF17)</f>
        <v>1061.3044633368756</v>
      </c>
      <c r="AH18" s="29">
        <f>SUM(AH11:AH17)</f>
        <v>869.2321997874601</v>
      </c>
      <c r="AJ18" s="29">
        <f>SUM(AJ11:AJ17)</f>
        <v>679.36946510804114</v>
      </c>
      <c r="AL18" s="29">
        <f>SUM(AL11:AL17)</f>
        <v>887.41232731137086</v>
      </c>
      <c r="AN18" t="s">
        <v>58</v>
      </c>
      <c r="AO18" s="29">
        <f>MAX(G18:AL18)</f>
        <v>1061.3044633368756</v>
      </c>
      <c r="AP18" t="s">
        <v>59</v>
      </c>
      <c r="AQ18">
        <f>MATCH(AO18,G18:AL18,0)</f>
        <v>26</v>
      </c>
    </row>
    <row r="22" spans="1:43" ht="28.5" x14ac:dyDescent="0.45">
      <c r="A22" s="30" t="s">
        <v>51</v>
      </c>
      <c r="B22" s="11">
        <v>-0.1</v>
      </c>
      <c r="C22" s="1">
        <v>0</v>
      </c>
      <c r="D22" s="19">
        <v>5</v>
      </c>
      <c r="E22" s="21">
        <f>D22*B22</f>
        <v>-0.5</v>
      </c>
      <c r="G22" s="25">
        <v>11.6</v>
      </c>
      <c r="H22" s="25">
        <f>G22*$B22</f>
        <v>-1.1599999999999999</v>
      </c>
      <c r="I22" s="25">
        <v>11.6</v>
      </c>
      <c r="J22" s="25">
        <f>I22*$B22</f>
        <v>-1.1599999999999999</v>
      </c>
      <c r="K22" s="24">
        <v>9.4</v>
      </c>
      <c r="L22" s="25">
        <f>K22*$B22</f>
        <v>-0.94000000000000006</v>
      </c>
      <c r="M22" s="24">
        <v>29</v>
      </c>
      <c r="N22" s="25">
        <f>M22*$B22</f>
        <v>-2.9000000000000004</v>
      </c>
      <c r="O22" s="24">
        <v>32.799999999999997</v>
      </c>
      <c r="P22" s="25">
        <f>O22*$B22</f>
        <v>-3.28</v>
      </c>
      <c r="Q22" s="24">
        <v>21.2</v>
      </c>
      <c r="R22" s="25">
        <f>Q22*$B22</f>
        <v>-2.12</v>
      </c>
      <c r="S22" s="24">
        <v>32.200000000000003</v>
      </c>
      <c r="T22" s="25">
        <f>S22*$B22</f>
        <v>-3.2200000000000006</v>
      </c>
      <c r="U22" s="24">
        <v>27.8</v>
      </c>
      <c r="V22" s="25">
        <f>U22*$B22</f>
        <v>-2.7800000000000002</v>
      </c>
      <c r="W22" s="24">
        <v>27.8</v>
      </c>
      <c r="X22" s="25">
        <f>W22*$B22</f>
        <v>-2.7800000000000002</v>
      </c>
      <c r="Y22" s="24">
        <v>10.4</v>
      </c>
      <c r="Z22" s="25">
        <f>Y22*$B22</f>
        <v>-1.04</v>
      </c>
      <c r="AA22" s="24">
        <v>49.6</v>
      </c>
      <c r="AB22" s="25">
        <f>AA22*$B22</f>
        <v>-4.9600000000000009</v>
      </c>
      <c r="AC22" s="24">
        <v>53.4</v>
      </c>
      <c r="AD22" s="25">
        <f>AC22*$B22</f>
        <v>-5.34</v>
      </c>
      <c r="AE22" s="24">
        <v>35</v>
      </c>
      <c r="AF22" s="25">
        <f>AE22*$B22</f>
        <v>-3.5</v>
      </c>
      <c r="AG22" s="24">
        <v>25.4</v>
      </c>
      <c r="AH22" s="25">
        <f>AG22*$B22</f>
        <v>-2.54</v>
      </c>
      <c r="AI22" s="24">
        <v>36.799999999999997</v>
      </c>
      <c r="AJ22" s="25">
        <f>AI22*$B22</f>
        <v>-3.6799999999999997</v>
      </c>
      <c r="AK22" s="24">
        <v>31.2</v>
      </c>
      <c r="AL22" s="25">
        <f>AK22*$B22</f>
        <v>-3.12</v>
      </c>
    </row>
    <row r="23" spans="1:43" ht="28.5" x14ac:dyDescent="0.45">
      <c r="A23" s="1" t="s">
        <v>48</v>
      </c>
      <c r="B23" s="1" t="s">
        <v>49</v>
      </c>
      <c r="C23" s="1" t="s">
        <v>50</v>
      </c>
      <c r="D23" s="1" t="s">
        <v>56</v>
      </c>
      <c r="E23" s="1" t="s">
        <v>57</v>
      </c>
    </row>
    <row r="24" spans="1:43" x14ac:dyDescent="0.45">
      <c r="B24" s="28">
        <f>MIN(G22,I22,K22,M22,O22,Q22,S22,U22,W22,Y22,AA22,AC22,AE22,AG22,AI22,AK22)</f>
        <v>9.4</v>
      </c>
      <c r="C24" s="28">
        <f>MAX(G22,I22,K22,M22,O22,Q22,S22,U22,W22,Y22,AA22,AC22,AE22,AG22,AI22,AK22)</f>
        <v>53.4</v>
      </c>
      <c r="D24" s="28"/>
      <c r="E24" s="28"/>
    </row>
    <row r="25" spans="1:43" x14ac:dyDescent="0.45">
      <c r="B25" s="28"/>
      <c r="C25" s="28"/>
      <c r="D25" s="28"/>
      <c r="E25" s="28"/>
    </row>
    <row r="26" spans="1:43" x14ac:dyDescent="0.45">
      <c r="B26" s="28"/>
      <c r="C26" s="28"/>
      <c r="D26" s="28"/>
      <c r="E26" s="28"/>
    </row>
    <row r="27" spans="1:43" x14ac:dyDescent="0.45">
      <c r="A27" s="1" t="s">
        <v>53</v>
      </c>
      <c r="B27" s="32"/>
      <c r="C27" s="32"/>
      <c r="D27" s="32">
        <f>MAX(G27,I27,K27,M27,O27,Q27,S27,U27,W27,Y27,AA27,AC27,AE27,AG27,AI27,AK27)</f>
        <v>0.99617800000000012</v>
      </c>
      <c r="E27" s="32">
        <f>MIN(G27,I27,K27,M27,O27,Q27,S27,U27,W27,Y27,AA27,AC27,AE27,AG27,AI27,AK27)</f>
        <v>0.98160400000000014</v>
      </c>
      <c r="F27" s="32"/>
      <c r="G27" s="31">
        <f>Accuracies!D18</f>
        <v>0.994722</v>
      </c>
      <c r="H27" s="33">
        <f>G27*$B15</f>
        <v>0</v>
      </c>
      <c r="I27" s="31">
        <f>Accuracies!D18</f>
        <v>0.994722</v>
      </c>
      <c r="J27" s="33">
        <f>I27*$B15</f>
        <v>0</v>
      </c>
      <c r="K27" s="31">
        <f>Accuracies!E18</f>
        <v>0.99322999999999995</v>
      </c>
      <c r="L27" s="33">
        <f>K27*$B15</f>
        <v>0</v>
      </c>
      <c r="M27" s="31">
        <f>Accuracies!F18</f>
        <v>0.99409199999999998</v>
      </c>
      <c r="N27" s="33">
        <f>M27*$B15</f>
        <v>0</v>
      </c>
      <c r="O27" s="31">
        <f>Accuracies!G18</f>
        <v>0.99132999999999993</v>
      </c>
      <c r="P27" s="33">
        <f>O27*$B15</f>
        <v>0</v>
      </c>
      <c r="Q27">
        <f>Accuracies!H18</f>
        <v>0.99409400000000014</v>
      </c>
      <c r="R27" s="33">
        <f>Q27*$B15</f>
        <v>0</v>
      </c>
      <c r="S27" s="31">
        <f>Accuracies!I18</f>
        <v>0.99415200000000004</v>
      </c>
      <c r="T27" s="33">
        <f>S27*$B15</f>
        <v>0</v>
      </c>
      <c r="U27" s="31">
        <f>Accuracies!J18</f>
        <v>0.99617800000000012</v>
      </c>
      <c r="V27" s="33">
        <f>U27*$B15</f>
        <v>0</v>
      </c>
      <c r="W27" s="31">
        <f>Accuracies!J18</f>
        <v>0.99617800000000012</v>
      </c>
      <c r="X27" s="33">
        <f>W27*$B15</f>
        <v>0</v>
      </c>
      <c r="Y27" s="31">
        <f>Accuracies!K18</f>
        <v>0.99446199999999985</v>
      </c>
      <c r="Z27" s="33">
        <f>Y27*$B15</f>
        <v>0</v>
      </c>
      <c r="AA27" s="31">
        <f>Accuracies!L18</f>
        <v>0.98160400000000014</v>
      </c>
      <c r="AB27" s="33">
        <f>AA27*$B15</f>
        <v>0</v>
      </c>
      <c r="AC27" s="31">
        <f>Accuracies!M18</f>
        <v>0.98703799999999986</v>
      </c>
      <c r="AD27" s="33">
        <f>AC27*$B15</f>
        <v>0</v>
      </c>
      <c r="AE27" s="31">
        <f>Accuracies!N18</f>
        <v>0.996058</v>
      </c>
      <c r="AF27" s="33">
        <f>AE27*$B15</f>
        <v>0</v>
      </c>
      <c r="AG27" s="31">
        <f>Accuracies!O18</f>
        <v>0.99291400000000007</v>
      </c>
      <c r="AH27" s="33">
        <f>AG27*$B15</f>
        <v>0</v>
      </c>
      <c r="AI27" s="31">
        <f>Accuracies!P18</f>
        <v>0.99187600000000009</v>
      </c>
      <c r="AJ27" s="33">
        <f>AI27*$B15</f>
        <v>0</v>
      </c>
      <c r="AK27" s="31">
        <f>Accuracies!Q18</f>
        <v>0.99103399999999997</v>
      </c>
      <c r="AL27" s="33">
        <f>AK27*$B15</f>
        <v>0</v>
      </c>
    </row>
    <row r="28" spans="1:43" x14ac:dyDescent="0.45">
      <c r="A28" s="1" t="s">
        <v>54</v>
      </c>
      <c r="B28" s="32"/>
      <c r="C28" s="32"/>
      <c r="D28" s="32">
        <f>MAX(G28,I28,K28,M28,O28,Q28,S28,U28,W28,Y28,AA28,AC28,AE28,AG28,AI28,AK28)</f>
        <v>0.75</v>
      </c>
      <c r="E28" s="32">
        <f>MIN(G28,I28,K28,M28,O28,Q28,S28,U28,W28,Y28,AA28,AC28,AE28,AG28,AI28,AK28)</f>
        <v>0.3</v>
      </c>
      <c r="F28" s="32"/>
      <c r="G28" s="31">
        <f>Accuracies!D19</f>
        <v>0.53</v>
      </c>
      <c r="H28" s="33">
        <f t="shared" ref="H28:J29" si="91">G28*$B16</f>
        <v>47.7</v>
      </c>
      <c r="I28" s="31">
        <f>Accuracies!D19</f>
        <v>0.53</v>
      </c>
      <c r="J28" s="33">
        <f t="shared" si="91"/>
        <v>47.7</v>
      </c>
      <c r="K28" s="31">
        <f>Accuracies!E19</f>
        <v>0.3</v>
      </c>
      <c r="L28" s="33">
        <f t="shared" ref="L28" si="92">K28*$B16</f>
        <v>27</v>
      </c>
      <c r="M28" s="31">
        <f>Accuracies!F19</f>
        <v>0.63</v>
      </c>
      <c r="N28" s="33">
        <f t="shared" ref="N28" si="93">M28*$B16</f>
        <v>56.7</v>
      </c>
      <c r="O28" s="31">
        <f>Accuracies!G19</f>
        <v>0.63000000000000012</v>
      </c>
      <c r="P28" s="33">
        <f t="shared" ref="P28" si="94">O28*$B16</f>
        <v>56.70000000000001</v>
      </c>
      <c r="Q28">
        <f>Accuracies!H19</f>
        <v>0.6399999999999999</v>
      </c>
      <c r="R28" s="33">
        <f t="shared" ref="R28" si="95">Q28*$B16</f>
        <v>57.599999999999994</v>
      </c>
      <c r="S28" s="31">
        <f>Accuracies!I19</f>
        <v>0.4</v>
      </c>
      <c r="T28" s="33">
        <f t="shared" ref="T28" si="96">S28*$B16</f>
        <v>36</v>
      </c>
      <c r="U28" s="31">
        <f>Accuracies!J19</f>
        <v>0.53</v>
      </c>
      <c r="V28" s="33">
        <f t="shared" ref="V28" si="97">U28*$B16</f>
        <v>47.7</v>
      </c>
      <c r="W28" s="31">
        <f>Accuracies!J19</f>
        <v>0.53</v>
      </c>
      <c r="X28" s="33">
        <f t="shared" ref="X28" si="98">W28*$B16</f>
        <v>47.7</v>
      </c>
      <c r="Y28" s="31">
        <f>Accuracies!K19</f>
        <v>0.56999999999999995</v>
      </c>
      <c r="Z28" s="33">
        <f t="shared" ref="Z28" si="99">Y28*$B16</f>
        <v>51.3</v>
      </c>
      <c r="AA28" s="31">
        <f>Accuracies!L19</f>
        <v>0.54</v>
      </c>
      <c r="AB28" s="33">
        <f t="shared" ref="AB28" si="100">AA28*$B16</f>
        <v>48.6</v>
      </c>
      <c r="AC28" s="31">
        <f>Accuracies!M19</f>
        <v>0.39999999999999997</v>
      </c>
      <c r="AD28" s="33">
        <f t="shared" ref="AD28" si="101">AC28*$B16</f>
        <v>36</v>
      </c>
      <c r="AE28" s="31">
        <f>Accuracies!N19</f>
        <v>0.75</v>
      </c>
      <c r="AF28" s="33">
        <f t="shared" ref="AF28" si="102">AE28*$B16</f>
        <v>67.5</v>
      </c>
      <c r="AG28" s="31">
        <f>Accuracies!O19</f>
        <v>0.6</v>
      </c>
      <c r="AH28" s="33">
        <f t="shared" ref="AH28" si="103">AG28*$B16</f>
        <v>54</v>
      </c>
      <c r="AI28" s="31">
        <f>Accuracies!P19</f>
        <v>0.47000000000000003</v>
      </c>
      <c r="AJ28" s="33">
        <f t="shared" ref="AJ28" si="104">AI28*$B16</f>
        <v>42.300000000000004</v>
      </c>
      <c r="AK28" s="31">
        <f>Accuracies!Q19</f>
        <v>0.74</v>
      </c>
      <c r="AL28" s="33">
        <f t="shared" ref="AL28" si="105">AK28*$B16</f>
        <v>66.599999999999994</v>
      </c>
    </row>
    <row r="29" spans="1:43" x14ac:dyDescent="0.45">
      <c r="A29" s="1" t="s">
        <v>55</v>
      </c>
      <c r="B29" s="32">
        <f>MIN(G29,I29,K29,M29,O29,Q29,S29,U29,W29,Y29,AA29,AC29,AE29,AG29,AI29,AK29)</f>
        <v>4.5400000000000008E-4</v>
      </c>
      <c r="C29" s="32">
        <f>MAX(G29,I29,K29,M29,O29,Q29,S29,U29,W29,Y29,AA29,AC29,AE29,AG29,AI29,AK29)</f>
        <v>1.5510000000000001E-2</v>
      </c>
      <c r="D29" s="32"/>
      <c r="E29" s="32"/>
      <c r="F29" s="32"/>
      <c r="G29" s="31">
        <f>Accuracies!D20</f>
        <v>1.328E-3</v>
      </c>
      <c r="H29" s="33">
        <f t="shared" si="91"/>
        <v>0.1328</v>
      </c>
      <c r="I29" s="31">
        <f>Accuracies!D20</f>
        <v>1.328E-3</v>
      </c>
      <c r="J29" s="33">
        <f t="shared" si="91"/>
        <v>0.1328</v>
      </c>
      <c r="K29" s="31">
        <f>Accuracies!E20</f>
        <v>1.2359999999999999E-3</v>
      </c>
      <c r="L29" s="33">
        <f t="shared" ref="L29" si="106">K29*$B17</f>
        <v>0.12359999999999999</v>
      </c>
      <c r="M29" s="31">
        <f>Accuracies!F20</f>
        <v>3.1600000000000005E-3</v>
      </c>
      <c r="N29" s="33">
        <f t="shared" ref="N29" si="107">M29*$B17</f>
        <v>0.31600000000000006</v>
      </c>
      <c r="O29" s="31">
        <f>Accuracies!G20</f>
        <v>6.0880000000000014E-3</v>
      </c>
      <c r="P29" s="33">
        <f t="shared" ref="P29" si="108">O29*$B17</f>
        <v>0.60880000000000012</v>
      </c>
      <c r="Q29">
        <f>Accuracies!H20</f>
        <v>2.7899999999999999E-3</v>
      </c>
      <c r="R29" s="33">
        <f t="shared" ref="R29" si="109">Q29*$B17</f>
        <v>0.27899999999999997</v>
      </c>
      <c r="S29" s="31">
        <f>Accuracies!I20</f>
        <v>1.0280000000000001E-3</v>
      </c>
      <c r="T29" s="33">
        <f t="shared" ref="T29" si="110">S29*$B17</f>
        <v>0.1028</v>
      </c>
      <c r="U29" s="31">
        <f>Accuracies!J20</f>
        <v>4.5400000000000008E-4</v>
      </c>
      <c r="V29" s="33">
        <f t="shared" ref="V29" si="111">U29*$B17</f>
        <v>4.540000000000001E-2</v>
      </c>
      <c r="W29" s="31">
        <f>Accuracies!J20</f>
        <v>4.5400000000000008E-4</v>
      </c>
      <c r="X29" s="33">
        <f t="shared" ref="X29" si="112">W29*$B17</f>
        <v>4.540000000000001E-2</v>
      </c>
      <c r="Y29" s="31">
        <f>Accuracies!K20</f>
        <v>2.3779999999999999E-3</v>
      </c>
      <c r="Z29" s="33">
        <f t="shared" ref="Z29" si="113">Y29*$B17</f>
        <v>0.23779999999999998</v>
      </c>
      <c r="AA29" s="31">
        <f>Accuracies!L20</f>
        <v>1.5510000000000001E-2</v>
      </c>
      <c r="AB29" s="33">
        <f t="shared" ref="AB29" si="114">AA29*$B17</f>
        <v>1.5510000000000002</v>
      </c>
      <c r="AC29" s="31">
        <f>Accuracies!M20</f>
        <v>8.2880000000000002E-3</v>
      </c>
      <c r="AD29" s="33">
        <f t="shared" ref="AD29" si="115">AC29*$B17</f>
        <v>0.82879999999999998</v>
      </c>
      <c r="AE29" s="31">
        <f>Accuracies!N20</f>
        <v>2.3720000000000004E-3</v>
      </c>
      <c r="AF29" s="33">
        <f t="shared" ref="AF29" si="116">AE29*$B17</f>
        <v>0.23720000000000005</v>
      </c>
      <c r="AG29" s="31">
        <f>Accuracies!O20</f>
        <v>3.9399999999999999E-3</v>
      </c>
      <c r="AH29" s="33">
        <f t="shared" ref="AH29" si="117">AG29*$B17</f>
        <v>0.39400000000000002</v>
      </c>
      <c r="AI29" s="31">
        <f>Accuracies!P20</f>
        <v>3.4339999999999996E-3</v>
      </c>
      <c r="AJ29" s="33">
        <f t="shared" ref="AJ29" si="118">AI29*$B17</f>
        <v>0.34339999999999993</v>
      </c>
      <c r="AK29" s="31">
        <f>Accuracies!Q20</f>
        <v>7.0060000000000001E-3</v>
      </c>
      <c r="AL29" s="33">
        <f t="shared" ref="AL29" si="119">AK29*$B17</f>
        <v>0.7006</v>
      </c>
    </row>
    <row r="30" spans="1:43" x14ac:dyDescent="0.45">
      <c r="B30" s="28"/>
      <c r="C30" s="28"/>
      <c r="D30" s="28"/>
      <c r="E30" s="28"/>
    </row>
    <row r="31" spans="1:43" x14ac:dyDescent="0.45">
      <c r="B31" s="28"/>
      <c r="C31" s="28"/>
      <c r="D31" s="28"/>
      <c r="E31" s="28"/>
    </row>
  </sheetData>
  <mergeCells count="16">
    <mergeCell ref="AE9:AF9"/>
    <mergeCell ref="AG9:AH9"/>
    <mergeCell ref="AI9:AJ9"/>
    <mergeCell ref="AK9:AL9"/>
    <mergeCell ref="S9:T9"/>
    <mergeCell ref="U9:V9"/>
    <mergeCell ref="W9:X9"/>
    <mergeCell ref="Y9:Z9"/>
    <mergeCell ref="AA9:AB9"/>
    <mergeCell ref="AC9:AD9"/>
    <mergeCell ref="Q9:R9"/>
    <mergeCell ref="G9:H9"/>
    <mergeCell ref="I9:J9"/>
    <mergeCell ref="K9:L9"/>
    <mergeCell ref="M9:N9"/>
    <mergeCell ref="O9:P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9939-C2B1-4320-A55F-36706FA0AC61}">
  <dimension ref="A1:Q20"/>
  <sheetViews>
    <sheetView workbookViewId="0">
      <selection activeCell="C9" sqref="C9"/>
    </sheetView>
  </sheetViews>
  <sheetFormatPr defaultRowHeight="14.25" x14ac:dyDescent="0.45"/>
  <sheetData>
    <row r="1" spans="1:17" x14ac:dyDescent="0.4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</row>
    <row r="2" spans="1:17" s="39" customFormat="1" x14ac:dyDescent="0.45">
      <c r="A2" s="38" t="s">
        <v>66</v>
      </c>
      <c r="B2" s="39">
        <v>1</v>
      </c>
      <c r="C2" s="39">
        <v>0.88475999999999999</v>
      </c>
      <c r="D2" s="39">
        <v>0.99892999999999998</v>
      </c>
      <c r="E2" s="39">
        <v>0.99465000000000003</v>
      </c>
      <c r="F2" s="39">
        <v>0.99678999999999995</v>
      </c>
      <c r="G2" s="39">
        <v>0.97941</v>
      </c>
      <c r="H2" s="39">
        <v>0.99705999999999995</v>
      </c>
      <c r="I2" s="39">
        <v>0.99544999999999995</v>
      </c>
      <c r="J2" s="39">
        <v>0.99626000000000003</v>
      </c>
      <c r="K2" s="39">
        <v>0.99465000000000003</v>
      </c>
      <c r="L2" s="39">
        <v>0.99036999999999997</v>
      </c>
      <c r="M2" s="39">
        <v>0.97594000000000003</v>
      </c>
      <c r="N2" s="39">
        <v>0.99626000000000003</v>
      </c>
      <c r="O2" s="39">
        <v>0.99385000000000001</v>
      </c>
      <c r="P2" s="39">
        <v>0.99358000000000002</v>
      </c>
      <c r="Q2" s="39">
        <v>0.97085999999999995</v>
      </c>
    </row>
    <row r="3" spans="1:17" s="39" customFormat="1" x14ac:dyDescent="0.45">
      <c r="A3" s="38"/>
      <c r="B3" s="39">
        <v>2</v>
      </c>
      <c r="C3" s="39">
        <v>0.92976999999999999</v>
      </c>
      <c r="D3" s="39">
        <v>0.99848000000000003</v>
      </c>
      <c r="E3" s="39">
        <v>0.99392000000000003</v>
      </c>
      <c r="F3" s="39">
        <v>0.99482999999999999</v>
      </c>
      <c r="G3" s="39">
        <v>0.98904999999999998</v>
      </c>
      <c r="H3" s="39">
        <v>0.99787000000000003</v>
      </c>
      <c r="I3" s="39">
        <v>0.99392000000000003</v>
      </c>
      <c r="J3" s="39">
        <v>0.99604999999999999</v>
      </c>
      <c r="K3" s="39">
        <v>0.99421999999999999</v>
      </c>
      <c r="L3" s="39">
        <v>0.98267000000000004</v>
      </c>
      <c r="M3" s="39">
        <v>0.98053999999999997</v>
      </c>
      <c r="N3" s="39">
        <v>0.99239999999999995</v>
      </c>
      <c r="O3" s="39">
        <v>0.99665999999999999</v>
      </c>
      <c r="P3" s="39">
        <v>0.99239999999999995</v>
      </c>
      <c r="Q3" s="39">
        <v>0.99695999999999996</v>
      </c>
    </row>
    <row r="4" spans="1:17" s="39" customFormat="1" x14ac:dyDescent="0.45">
      <c r="A4" s="38"/>
      <c r="B4" s="39">
        <v>3</v>
      </c>
      <c r="C4" s="39">
        <v>0.91120000000000001</v>
      </c>
      <c r="D4" s="39">
        <v>0.99055000000000004</v>
      </c>
      <c r="E4" s="39">
        <v>0.99055000000000004</v>
      </c>
      <c r="F4" s="39">
        <v>0.99528000000000005</v>
      </c>
      <c r="G4" s="39">
        <v>0.99480000000000002</v>
      </c>
      <c r="H4" s="39">
        <v>0.98724999999999996</v>
      </c>
      <c r="I4" s="39">
        <v>0.99055000000000004</v>
      </c>
      <c r="J4" s="39">
        <v>0.99339</v>
      </c>
      <c r="K4" s="39">
        <v>0.99197000000000002</v>
      </c>
      <c r="L4" s="39">
        <v>0.99763999999999997</v>
      </c>
      <c r="M4" s="39">
        <v>0.99055000000000004</v>
      </c>
      <c r="N4" s="39">
        <v>0.99811000000000005</v>
      </c>
      <c r="O4" s="39">
        <v>0.98865999999999998</v>
      </c>
      <c r="P4" s="39">
        <v>0.99055000000000004</v>
      </c>
      <c r="Q4" s="39">
        <v>0.99621999999999999</v>
      </c>
    </row>
    <row r="5" spans="1:17" s="39" customFormat="1" x14ac:dyDescent="0.45">
      <c r="A5" s="38"/>
      <c r="B5" s="39">
        <v>4</v>
      </c>
      <c r="C5" s="39">
        <v>0.92230000000000001</v>
      </c>
      <c r="D5" s="39">
        <v>0.99402000000000001</v>
      </c>
      <c r="E5" s="39">
        <v>0.99080000000000001</v>
      </c>
      <c r="F5" s="39">
        <v>0.99402000000000001</v>
      </c>
      <c r="G5" s="39">
        <v>0.99631999999999998</v>
      </c>
      <c r="H5" s="39">
        <v>0.99080000000000001</v>
      </c>
      <c r="I5" s="39">
        <v>0.99585999999999997</v>
      </c>
      <c r="J5" s="39">
        <v>0.99770000000000003</v>
      </c>
      <c r="K5" s="39">
        <v>0.99816000000000005</v>
      </c>
      <c r="L5" s="39">
        <v>0.98253000000000001</v>
      </c>
      <c r="M5" s="39">
        <v>0.99402000000000001</v>
      </c>
      <c r="N5" s="39">
        <v>0.99770000000000003</v>
      </c>
      <c r="O5" s="39">
        <v>0.99126000000000003</v>
      </c>
      <c r="P5" s="39">
        <v>0.99080000000000001</v>
      </c>
      <c r="Q5" s="39">
        <v>0.99448000000000003</v>
      </c>
    </row>
    <row r="6" spans="1:17" s="41" customFormat="1" x14ac:dyDescent="0.45">
      <c r="A6" s="40"/>
      <c r="B6" s="41">
        <v>5</v>
      </c>
      <c r="C6" s="41">
        <v>0.89622999999999997</v>
      </c>
      <c r="D6" s="41">
        <v>0.99163000000000001</v>
      </c>
      <c r="E6" s="41">
        <v>0.99622999999999995</v>
      </c>
      <c r="F6" s="41">
        <v>0.98953999999999998</v>
      </c>
      <c r="G6" s="41">
        <v>0.99707000000000001</v>
      </c>
      <c r="H6" s="41">
        <v>0.99748999999999999</v>
      </c>
      <c r="I6" s="41">
        <v>0.99497999999999998</v>
      </c>
      <c r="J6" s="41">
        <v>0.99748999999999999</v>
      </c>
      <c r="K6" s="41">
        <v>0.99331000000000003</v>
      </c>
      <c r="L6" s="41">
        <v>0.95481000000000005</v>
      </c>
      <c r="M6" s="41">
        <v>0.99414000000000002</v>
      </c>
      <c r="N6" s="41">
        <v>0.99582000000000004</v>
      </c>
      <c r="O6" s="41">
        <v>0.99414000000000002</v>
      </c>
      <c r="P6" s="41">
        <v>0.99204999999999999</v>
      </c>
      <c r="Q6" s="41">
        <v>0.99665000000000004</v>
      </c>
    </row>
    <row r="7" spans="1:17" s="9" customFormat="1" x14ac:dyDescent="0.45">
      <c r="A7" s="42" t="s">
        <v>54</v>
      </c>
      <c r="B7" s="9">
        <v>1</v>
      </c>
      <c r="C7" s="39">
        <v>0.90693999999999997</v>
      </c>
      <c r="D7" s="39">
        <v>0.8</v>
      </c>
      <c r="E7" s="39">
        <v>0.6</v>
      </c>
      <c r="F7" s="39">
        <v>0.4</v>
      </c>
      <c r="G7" s="39">
        <v>0.5</v>
      </c>
      <c r="H7" s="39">
        <v>0.85</v>
      </c>
      <c r="I7" s="39">
        <v>0.95</v>
      </c>
      <c r="J7" s="39">
        <v>0.3</v>
      </c>
      <c r="K7" s="39">
        <v>0</v>
      </c>
      <c r="L7" s="39">
        <v>0</v>
      </c>
      <c r="M7" s="39">
        <v>0.75</v>
      </c>
      <c r="N7" s="39">
        <v>0.3</v>
      </c>
      <c r="O7" s="39">
        <v>0.45</v>
      </c>
      <c r="P7" s="39">
        <v>0.9</v>
      </c>
      <c r="Q7" s="39">
        <v>0.75</v>
      </c>
    </row>
    <row r="8" spans="1:17" s="44" customFormat="1" x14ac:dyDescent="0.45">
      <c r="A8" s="43"/>
      <c r="B8" s="46">
        <v>2</v>
      </c>
      <c r="C8" s="44">
        <v>0.94682999999999995</v>
      </c>
      <c r="D8" s="44">
        <v>0.85</v>
      </c>
      <c r="E8" s="44">
        <v>0</v>
      </c>
      <c r="F8" s="44">
        <v>0.85</v>
      </c>
      <c r="G8" s="44">
        <v>0.35</v>
      </c>
      <c r="H8" s="44">
        <v>0.9</v>
      </c>
      <c r="I8" s="44">
        <v>0</v>
      </c>
      <c r="J8" s="44">
        <v>0.35</v>
      </c>
      <c r="K8" s="44">
        <v>1</v>
      </c>
      <c r="L8" s="44">
        <v>0.3</v>
      </c>
      <c r="M8" s="44">
        <v>0.1</v>
      </c>
      <c r="N8" s="44">
        <v>0.8</v>
      </c>
      <c r="O8" s="44">
        <v>0.85</v>
      </c>
      <c r="P8" s="44">
        <v>0.9</v>
      </c>
      <c r="Q8" s="44">
        <v>0.75</v>
      </c>
    </row>
    <row r="9" spans="1:17" s="44" customFormat="1" x14ac:dyDescent="0.45">
      <c r="A9" s="43"/>
      <c r="B9" s="46">
        <v>3</v>
      </c>
      <c r="C9" s="44">
        <v>0.97985999999999995</v>
      </c>
      <c r="D9" s="44">
        <v>0</v>
      </c>
      <c r="E9" s="44">
        <v>0</v>
      </c>
      <c r="F9" s="44">
        <v>0.5</v>
      </c>
      <c r="G9" s="44">
        <v>0.75</v>
      </c>
      <c r="H9" s="44">
        <v>0.55000000000000004</v>
      </c>
      <c r="I9" s="44">
        <v>0</v>
      </c>
      <c r="J9" s="44">
        <v>0.45</v>
      </c>
      <c r="K9" s="44">
        <v>0.15</v>
      </c>
      <c r="L9" s="44">
        <v>1</v>
      </c>
      <c r="M9" s="44">
        <v>0</v>
      </c>
      <c r="N9" s="44">
        <v>0.95</v>
      </c>
      <c r="O9" s="44">
        <v>0.65</v>
      </c>
      <c r="P9" s="44">
        <v>0</v>
      </c>
      <c r="Q9" s="44">
        <v>0.65</v>
      </c>
    </row>
    <row r="10" spans="1:17" s="44" customFormat="1" x14ac:dyDescent="0.45">
      <c r="A10" s="43"/>
      <c r="B10" s="46">
        <v>4</v>
      </c>
      <c r="C10" s="44">
        <v>0.9657</v>
      </c>
      <c r="D10" s="44">
        <v>1</v>
      </c>
      <c r="E10" s="44">
        <v>0</v>
      </c>
      <c r="F10" s="44">
        <v>1</v>
      </c>
      <c r="G10" s="44">
        <v>0.6</v>
      </c>
      <c r="H10" s="44">
        <v>0</v>
      </c>
      <c r="I10" s="44">
        <v>0.55000000000000004</v>
      </c>
      <c r="J10" s="44">
        <v>0.75</v>
      </c>
      <c r="K10" s="44">
        <v>1</v>
      </c>
      <c r="L10" s="44">
        <v>0.5</v>
      </c>
      <c r="M10" s="44">
        <v>0.7</v>
      </c>
      <c r="N10" s="44">
        <v>1</v>
      </c>
      <c r="O10" s="44">
        <v>0.05</v>
      </c>
      <c r="P10" s="44">
        <v>0</v>
      </c>
      <c r="Q10" s="44">
        <v>0.9</v>
      </c>
    </row>
    <row r="11" spans="1:17" s="15" customFormat="1" x14ac:dyDescent="0.45">
      <c r="A11" s="45"/>
      <c r="B11" s="15">
        <v>5</v>
      </c>
      <c r="C11" s="15">
        <v>0.91991000000000001</v>
      </c>
      <c r="D11" s="15">
        <v>0</v>
      </c>
      <c r="E11" s="15">
        <v>0.9</v>
      </c>
      <c r="F11" s="15">
        <v>0.4</v>
      </c>
      <c r="G11" s="15">
        <v>0.95</v>
      </c>
      <c r="H11" s="15">
        <v>0.9</v>
      </c>
      <c r="I11" s="15">
        <v>0.5</v>
      </c>
      <c r="J11" s="15">
        <v>0.8</v>
      </c>
      <c r="K11" s="15">
        <v>0.7</v>
      </c>
      <c r="L11" s="15">
        <v>0.9</v>
      </c>
      <c r="M11" s="15">
        <v>0.45</v>
      </c>
      <c r="N11" s="15">
        <v>0.7</v>
      </c>
      <c r="O11" s="15">
        <v>1</v>
      </c>
      <c r="P11" s="15">
        <v>0.55000000000000004</v>
      </c>
      <c r="Q11" s="15">
        <v>0.65</v>
      </c>
    </row>
    <row r="12" spans="1:17" s="9" customFormat="1" x14ac:dyDescent="0.45">
      <c r="A12" s="42" t="s">
        <v>67</v>
      </c>
      <c r="B12" s="9">
        <v>1</v>
      </c>
      <c r="C12" s="9">
        <v>0.38929000000000002</v>
      </c>
      <c r="D12" s="9">
        <v>0</v>
      </c>
      <c r="E12" s="9">
        <v>3.2299999999999998E-3</v>
      </c>
      <c r="F12" s="9">
        <v>0</v>
      </c>
      <c r="G12" s="9">
        <v>1.8010000000000002E-2</v>
      </c>
      <c r="H12" s="9">
        <v>2.15E-3</v>
      </c>
      <c r="I12" s="9">
        <v>4.3E-3</v>
      </c>
      <c r="J12" s="9">
        <v>0</v>
      </c>
      <c r="K12" s="9">
        <v>0</v>
      </c>
      <c r="L12" s="9">
        <v>4.3E-3</v>
      </c>
      <c r="M12" s="9">
        <v>2.2849999999999999E-2</v>
      </c>
      <c r="N12" s="9">
        <v>0</v>
      </c>
      <c r="O12" s="9">
        <v>3.2299999999999998E-3</v>
      </c>
      <c r="P12" s="9">
        <v>5.9100000000000003E-3</v>
      </c>
      <c r="Q12" s="9">
        <v>2.7959999999999999E-2</v>
      </c>
    </row>
    <row r="13" spans="1:17" s="44" customFormat="1" x14ac:dyDescent="0.45">
      <c r="A13" s="43"/>
      <c r="B13" s="46">
        <v>2</v>
      </c>
      <c r="C13" s="44">
        <v>0.25357000000000002</v>
      </c>
      <c r="D13" s="44">
        <v>6.0999999999999997E-4</v>
      </c>
      <c r="E13" s="44">
        <v>0</v>
      </c>
      <c r="F13" s="44">
        <v>4.28E-3</v>
      </c>
      <c r="G13" s="44">
        <v>7.0400000000000003E-3</v>
      </c>
      <c r="H13" s="44">
        <v>1.5299999999999999E-3</v>
      </c>
      <c r="I13" s="44">
        <v>0</v>
      </c>
      <c r="J13" s="44">
        <v>0</v>
      </c>
      <c r="K13" s="44">
        <v>5.8100000000000001E-3</v>
      </c>
      <c r="L13" s="44">
        <v>1.315E-2</v>
      </c>
      <c r="M13" s="44">
        <v>1.4069999999999999E-2</v>
      </c>
      <c r="N13" s="44">
        <v>6.4200000000000004E-3</v>
      </c>
      <c r="O13" s="44">
        <v>2.4499999999999999E-3</v>
      </c>
      <c r="P13" s="44">
        <v>7.0400000000000003E-3</v>
      </c>
      <c r="Q13" s="44">
        <v>1.5299999999999999E-3</v>
      </c>
    </row>
    <row r="14" spans="1:17" s="44" customFormat="1" x14ac:dyDescent="0.45">
      <c r="A14" s="43"/>
      <c r="B14" s="46">
        <v>3</v>
      </c>
      <c r="C14" s="44">
        <v>0.53929000000000005</v>
      </c>
      <c r="D14" s="44">
        <v>0</v>
      </c>
      <c r="E14" s="44">
        <v>0</v>
      </c>
      <c r="F14" s="44">
        <v>0</v>
      </c>
      <c r="G14" s="44">
        <v>2.8600000000000001E-3</v>
      </c>
      <c r="H14" s="44">
        <v>8.5800000000000008E-3</v>
      </c>
      <c r="I14" s="44">
        <v>0</v>
      </c>
      <c r="J14" s="44">
        <v>1.4300000000000001E-3</v>
      </c>
      <c r="K14" s="44">
        <v>0</v>
      </c>
      <c r="L14" s="44">
        <v>2.3800000000000002E-3</v>
      </c>
      <c r="M14" s="44">
        <v>0</v>
      </c>
      <c r="N14" s="44">
        <v>1.4300000000000001E-3</v>
      </c>
      <c r="O14" s="44">
        <v>8.1099999999999992E-3</v>
      </c>
      <c r="P14" s="44">
        <v>0</v>
      </c>
      <c r="Q14" s="44">
        <v>4.8000000000000001E-4</v>
      </c>
    </row>
    <row r="15" spans="1:17" s="44" customFormat="1" x14ac:dyDescent="0.45">
      <c r="A15" s="43"/>
      <c r="B15" s="46">
        <v>4</v>
      </c>
      <c r="C15" s="44">
        <v>0.37142999999999998</v>
      </c>
      <c r="D15" s="44">
        <v>6.0299999999999998E-3</v>
      </c>
      <c r="E15" s="44">
        <v>0</v>
      </c>
      <c r="F15" s="44">
        <v>6.0299999999999998E-3</v>
      </c>
      <c r="G15" s="44">
        <v>0</v>
      </c>
      <c r="H15" s="44">
        <v>0</v>
      </c>
      <c r="I15" s="44">
        <v>0</v>
      </c>
      <c r="J15" s="44">
        <v>0</v>
      </c>
      <c r="K15" s="44">
        <v>1.8600000000000001E-3</v>
      </c>
      <c r="L15" s="44">
        <v>1.299E-2</v>
      </c>
      <c r="M15" s="44">
        <v>3.2499999999999999E-3</v>
      </c>
      <c r="N15" s="44">
        <v>2.32E-3</v>
      </c>
      <c r="O15" s="44">
        <v>0</v>
      </c>
      <c r="P15" s="44">
        <v>0</v>
      </c>
      <c r="Q15" s="44">
        <v>4.64E-3</v>
      </c>
    </row>
    <row r="16" spans="1:17" s="15" customFormat="1" x14ac:dyDescent="0.45">
      <c r="A16" s="45"/>
      <c r="B16" s="15">
        <v>5</v>
      </c>
      <c r="C16" s="15">
        <v>0.28214</v>
      </c>
      <c r="D16" s="15">
        <v>0</v>
      </c>
      <c r="E16" s="15">
        <v>2.9499999999999999E-3</v>
      </c>
      <c r="F16" s="15">
        <v>5.4900000000000001E-3</v>
      </c>
      <c r="G16" s="15">
        <v>2.5300000000000001E-3</v>
      </c>
      <c r="H16" s="15">
        <v>1.6900000000000001E-3</v>
      </c>
      <c r="I16" s="15">
        <v>8.4000000000000003E-4</v>
      </c>
      <c r="J16" s="15">
        <v>8.4000000000000003E-4</v>
      </c>
      <c r="K16" s="15">
        <v>4.2199999999999998E-3</v>
      </c>
      <c r="L16" s="15">
        <v>4.4729999999999999E-2</v>
      </c>
      <c r="M16" s="15">
        <v>1.2700000000000001E-3</v>
      </c>
      <c r="N16" s="15">
        <v>1.6900000000000001E-3</v>
      </c>
      <c r="O16" s="15">
        <v>5.9100000000000003E-3</v>
      </c>
      <c r="P16" s="15">
        <v>4.2199999999999998E-3</v>
      </c>
      <c r="Q16" s="15">
        <v>4.2000000000000002E-4</v>
      </c>
    </row>
    <row r="18" spans="1:17" x14ac:dyDescent="0.45">
      <c r="A18" t="s">
        <v>66</v>
      </c>
      <c r="C18">
        <f>AVERAGE(C2:C6)</f>
        <v>0.90885199999999988</v>
      </c>
      <c r="D18">
        <f t="shared" ref="D18:Q18" si="0">AVERAGE(D2:D6)</f>
        <v>0.994722</v>
      </c>
      <c r="E18">
        <f t="shared" si="0"/>
        <v>0.99322999999999995</v>
      </c>
      <c r="F18">
        <f t="shared" si="0"/>
        <v>0.99409199999999998</v>
      </c>
      <c r="G18">
        <f t="shared" si="0"/>
        <v>0.99132999999999993</v>
      </c>
      <c r="H18">
        <f t="shared" si="0"/>
        <v>0.99409400000000014</v>
      </c>
      <c r="I18">
        <f t="shared" si="0"/>
        <v>0.99415200000000004</v>
      </c>
      <c r="J18">
        <f t="shared" si="0"/>
        <v>0.99617800000000012</v>
      </c>
      <c r="K18">
        <f t="shared" si="0"/>
        <v>0.99446199999999985</v>
      </c>
      <c r="L18">
        <f t="shared" si="0"/>
        <v>0.98160400000000014</v>
      </c>
      <c r="M18">
        <f t="shared" si="0"/>
        <v>0.98703799999999986</v>
      </c>
      <c r="N18">
        <f t="shared" si="0"/>
        <v>0.996058</v>
      </c>
      <c r="O18">
        <f t="shared" si="0"/>
        <v>0.99291400000000007</v>
      </c>
      <c r="P18">
        <f t="shared" si="0"/>
        <v>0.99187600000000009</v>
      </c>
      <c r="Q18">
        <f t="shared" si="0"/>
        <v>0.99103399999999997</v>
      </c>
    </row>
    <row r="19" spans="1:17" x14ac:dyDescent="0.45">
      <c r="A19" t="s">
        <v>54</v>
      </c>
      <c r="C19">
        <f>AVERAGE(C7:C11)</f>
        <v>0.94384800000000002</v>
      </c>
      <c r="D19">
        <f t="shared" ref="D19:Q19" si="1">AVERAGE(D7:D11)</f>
        <v>0.53</v>
      </c>
      <c r="E19">
        <f t="shared" si="1"/>
        <v>0.3</v>
      </c>
      <c r="F19">
        <f t="shared" si="1"/>
        <v>0.63</v>
      </c>
      <c r="G19">
        <f t="shared" si="1"/>
        <v>0.63000000000000012</v>
      </c>
      <c r="H19">
        <f t="shared" si="1"/>
        <v>0.6399999999999999</v>
      </c>
      <c r="I19">
        <f t="shared" si="1"/>
        <v>0.4</v>
      </c>
      <c r="J19">
        <f t="shared" si="1"/>
        <v>0.53</v>
      </c>
      <c r="K19">
        <f t="shared" si="1"/>
        <v>0.56999999999999995</v>
      </c>
      <c r="L19">
        <f t="shared" si="1"/>
        <v>0.54</v>
      </c>
      <c r="M19">
        <f t="shared" si="1"/>
        <v>0.39999999999999997</v>
      </c>
      <c r="N19">
        <f t="shared" si="1"/>
        <v>0.75</v>
      </c>
      <c r="O19">
        <f t="shared" si="1"/>
        <v>0.6</v>
      </c>
      <c r="P19">
        <f t="shared" si="1"/>
        <v>0.47000000000000003</v>
      </c>
      <c r="Q19">
        <f t="shared" si="1"/>
        <v>0.74</v>
      </c>
    </row>
    <row r="20" spans="1:17" x14ac:dyDescent="0.45">
      <c r="A20" t="s">
        <v>67</v>
      </c>
      <c r="C20">
        <f>AVERAGE(C12:C16)</f>
        <v>0.36714400000000003</v>
      </c>
      <c r="D20">
        <f t="shared" ref="D20:Q20" si="2">AVERAGE(D12:D16)</f>
        <v>1.328E-3</v>
      </c>
      <c r="E20">
        <f t="shared" si="2"/>
        <v>1.2359999999999999E-3</v>
      </c>
      <c r="F20">
        <f t="shared" si="2"/>
        <v>3.1600000000000005E-3</v>
      </c>
      <c r="G20">
        <f t="shared" si="2"/>
        <v>6.0880000000000014E-3</v>
      </c>
      <c r="H20">
        <f t="shared" si="2"/>
        <v>2.7899999999999999E-3</v>
      </c>
      <c r="I20">
        <f t="shared" si="2"/>
        <v>1.0280000000000001E-3</v>
      </c>
      <c r="J20">
        <f t="shared" si="2"/>
        <v>4.5400000000000008E-4</v>
      </c>
      <c r="K20">
        <f t="shared" si="2"/>
        <v>2.3779999999999999E-3</v>
      </c>
      <c r="L20">
        <f t="shared" si="2"/>
        <v>1.5510000000000001E-2</v>
      </c>
      <c r="M20">
        <f t="shared" si="2"/>
        <v>8.2880000000000002E-3</v>
      </c>
      <c r="N20">
        <f t="shared" si="2"/>
        <v>2.3720000000000004E-3</v>
      </c>
      <c r="O20">
        <f t="shared" si="2"/>
        <v>3.9399999999999999E-3</v>
      </c>
      <c r="P20">
        <f t="shared" si="2"/>
        <v>3.4339999999999996E-3</v>
      </c>
      <c r="Q20">
        <f t="shared" si="2"/>
        <v>7.0060000000000001E-3</v>
      </c>
    </row>
  </sheetData>
  <mergeCells count="3">
    <mergeCell ref="A2:A6"/>
    <mergeCell ref="A7:A11"/>
    <mergeCell ref="A12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Gesture evaluation</vt:lpstr>
      <vt:lpstr>Accuracies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Ieva Černytė</dc:creator>
  <cp:lastModifiedBy>Ieva Černytė</cp:lastModifiedBy>
  <dcterms:created xsi:type="dcterms:W3CDTF">2019-02-12T13:46:32Z</dcterms:created>
  <dcterms:modified xsi:type="dcterms:W3CDTF">2019-05-14T22:02:11Z</dcterms:modified>
</cp:coreProperties>
</file>