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eva\Documents\Coding\IIB_Project\Gesture_elicitation\"/>
    </mc:Choice>
  </mc:AlternateContent>
  <xr:revisionPtr revIDLastSave="0" documentId="13_ncr:1_{10576AAD-EC61-43FE-9EB2-8D8FD93BAC26}" xr6:coauthVersionLast="40" xr6:coauthVersionMax="40" xr10:uidLastSave="{00000000-0000-0000-0000-000000000000}"/>
  <bookViews>
    <workbookView xWindow="-98" yWindow="-98" windowWidth="20715" windowHeight="13276" xr2:uid="{0FD874E3-1E4C-49D7-8375-9B1B8A2BC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1" i="1" l="1"/>
  <c r="AK20" i="1"/>
  <c r="AK19" i="1"/>
  <c r="AI21" i="1"/>
  <c r="AI20" i="1"/>
  <c r="AI19" i="1"/>
  <c r="AG21" i="1"/>
  <c r="AG20" i="1"/>
  <c r="AG19" i="1"/>
  <c r="AE21" i="1"/>
  <c r="AE20" i="1"/>
  <c r="AE19" i="1"/>
  <c r="AC21" i="1"/>
  <c r="AC20" i="1"/>
  <c r="AC19" i="1"/>
  <c r="AA21" i="1"/>
  <c r="AA20" i="1"/>
  <c r="AA19" i="1"/>
  <c r="Y21" i="1"/>
  <c r="Y20" i="1"/>
  <c r="Y19" i="1"/>
  <c r="W21" i="1"/>
  <c r="W20" i="1"/>
  <c r="W19" i="1"/>
  <c r="U21" i="1"/>
  <c r="U20" i="1"/>
  <c r="U19" i="1"/>
  <c r="S21" i="1"/>
  <c r="S20" i="1"/>
  <c r="S19" i="1"/>
  <c r="Q21" i="1"/>
  <c r="Q20" i="1"/>
  <c r="Q19" i="1"/>
  <c r="O21" i="1"/>
  <c r="O20" i="1"/>
  <c r="O19" i="1"/>
  <c r="M21" i="1"/>
  <c r="M20" i="1"/>
  <c r="M19" i="1"/>
  <c r="K21" i="1"/>
  <c r="K20" i="1"/>
  <c r="K19" i="1"/>
  <c r="I21" i="1"/>
  <c r="I20" i="1"/>
  <c r="I19" i="1"/>
  <c r="G20" i="1"/>
  <c r="G21" i="1"/>
  <c r="G19" i="1"/>
  <c r="AL33" i="1"/>
  <c r="AL32" i="1"/>
  <c r="AL31" i="1"/>
  <c r="AJ33" i="1"/>
  <c r="AJ32" i="1"/>
  <c r="AJ31" i="1"/>
  <c r="AH33" i="1"/>
  <c r="AH32" i="1"/>
  <c r="AH31" i="1"/>
  <c r="AF33" i="1"/>
  <c r="AF32" i="1"/>
  <c r="AF31" i="1"/>
  <c r="AD33" i="1"/>
  <c r="AD32" i="1"/>
  <c r="AD31" i="1"/>
  <c r="AB33" i="1"/>
  <c r="AB32" i="1"/>
  <c r="AB31" i="1"/>
  <c r="Z33" i="1"/>
  <c r="Z32" i="1"/>
  <c r="Z31" i="1"/>
  <c r="X33" i="1"/>
  <c r="X32" i="1"/>
  <c r="X31" i="1"/>
  <c r="V33" i="1"/>
  <c r="V32" i="1"/>
  <c r="V31" i="1"/>
  <c r="T33" i="1"/>
  <c r="T32" i="1"/>
  <c r="T31" i="1"/>
  <c r="R33" i="1"/>
  <c r="R32" i="1"/>
  <c r="R31" i="1"/>
  <c r="P33" i="1"/>
  <c r="P32" i="1"/>
  <c r="P31" i="1"/>
  <c r="N33" i="1"/>
  <c r="N32" i="1"/>
  <c r="N31" i="1"/>
  <c r="L33" i="1"/>
  <c r="L32" i="1"/>
  <c r="L31" i="1"/>
  <c r="J33" i="1"/>
  <c r="J32" i="1"/>
  <c r="J31" i="1"/>
  <c r="H32" i="1"/>
  <c r="H33" i="1"/>
  <c r="H31" i="1"/>
  <c r="E32" i="1"/>
  <c r="D32" i="1"/>
  <c r="E31" i="1"/>
  <c r="D31" i="1"/>
  <c r="C33" i="1"/>
  <c r="B33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B28" i="1"/>
  <c r="C28" i="1"/>
  <c r="AL17" i="1" l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E17" i="1"/>
  <c r="AK18" i="1"/>
  <c r="AK15" i="1"/>
  <c r="AK14" i="1"/>
  <c r="AL14" i="1" s="1"/>
  <c r="AK13" i="1"/>
  <c r="AK12" i="1"/>
  <c r="AL12" i="1" s="1"/>
  <c r="AK11" i="1"/>
  <c r="AL11" i="1" s="1"/>
  <c r="AI18" i="1"/>
  <c r="AI15" i="1"/>
  <c r="AJ15" i="1" s="1"/>
  <c r="AI14" i="1"/>
  <c r="AI13" i="1"/>
  <c r="AI12" i="1"/>
  <c r="AI11" i="1"/>
  <c r="AJ11" i="1" s="1"/>
  <c r="AG18" i="1"/>
  <c r="AH18" i="1" s="1"/>
  <c r="AG15" i="1"/>
  <c r="AE18" i="1"/>
  <c r="AE15" i="1"/>
  <c r="AF15" i="1" s="1"/>
  <c r="AE14" i="1"/>
  <c r="AF14" i="1" s="1"/>
  <c r="AE13" i="1"/>
  <c r="AF13" i="1" s="1"/>
  <c r="AE12" i="1"/>
  <c r="AE11" i="1"/>
  <c r="AC18" i="1"/>
  <c r="AD18" i="1" s="1"/>
  <c r="AC15" i="1"/>
  <c r="AA18" i="1"/>
  <c r="AA15" i="1"/>
  <c r="AB15" i="1" s="1"/>
  <c r="Y18" i="1"/>
  <c r="Y15" i="1"/>
  <c r="Y14" i="1"/>
  <c r="Z14" i="1" s="1"/>
  <c r="Y13" i="1"/>
  <c r="Y12" i="1"/>
  <c r="Y11" i="1"/>
  <c r="W18" i="1"/>
  <c r="X18" i="1" s="1"/>
  <c r="W15" i="1"/>
  <c r="W14" i="1"/>
  <c r="W13" i="1"/>
  <c r="X13" i="1" s="1"/>
  <c r="W12" i="1"/>
  <c r="W11" i="1"/>
  <c r="V26" i="1"/>
  <c r="U15" i="1"/>
  <c r="V15" i="1" s="1"/>
  <c r="U14" i="1"/>
  <c r="U18" i="1"/>
  <c r="V18" i="1" s="1"/>
  <c r="U13" i="1"/>
  <c r="V13" i="1" s="1"/>
  <c r="U12" i="1"/>
  <c r="V12" i="1" s="1"/>
  <c r="U11" i="1"/>
  <c r="S18" i="1"/>
  <c r="T18" i="1" s="1"/>
  <c r="S15" i="1"/>
  <c r="T15" i="1" s="1"/>
  <c r="S14" i="1"/>
  <c r="T14" i="1" s="1"/>
  <c r="S13" i="1"/>
  <c r="T13" i="1" s="1"/>
  <c r="S12" i="1"/>
  <c r="S11" i="1"/>
  <c r="T11" i="1" s="1"/>
  <c r="H26" i="1"/>
  <c r="H13" i="1"/>
  <c r="H14" i="1"/>
  <c r="H16" i="1"/>
  <c r="H19" i="1"/>
  <c r="H20" i="1"/>
  <c r="H21" i="1"/>
  <c r="Q18" i="1"/>
  <c r="R18" i="1" s="1"/>
  <c r="Q15" i="1"/>
  <c r="P19" i="1"/>
  <c r="P26" i="1"/>
  <c r="O18" i="1"/>
  <c r="O15" i="1"/>
  <c r="O14" i="1"/>
  <c r="O13" i="1"/>
  <c r="P13" i="1" s="1"/>
  <c r="O12" i="1"/>
  <c r="O11" i="1"/>
  <c r="M15" i="1"/>
  <c r="K15" i="1"/>
  <c r="L15" i="1" s="1"/>
  <c r="K18" i="1"/>
  <c r="K14" i="1"/>
  <c r="M18" i="1"/>
  <c r="N18" i="1" s="1"/>
  <c r="M12" i="1"/>
  <c r="M13" i="1"/>
  <c r="N13" i="1" s="1"/>
  <c r="M14" i="1"/>
  <c r="M11" i="1"/>
  <c r="N11" i="1" s="1"/>
  <c r="K13" i="1"/>
  <c r="K12" i="1"/>
  <c r="K11" i="1"/>
  <c r="L11" i="1" s="1"/>
  <c r="I18" i="1"/>
  <c r="J18" i="1" s="1"/>
  <c r="G18" i="1"/>
  <c r="H18" i="1" s="1"/>
  <c r="I15" i="1"/>
  <c r="J15" i="1" s="1"/>
  <c r="G15" i="1"/>
  <c r="H15" i="1" s="1"/>
  <c r="I14" i="1"/>
  <c r="I12" i="1"/>
  <c r="I11" i="1"/>
  <c r="J11" i="1" s="1"/>
  <c r="AL21" i="1"/>
  <c r="AL20" i="1"/>
  <c r="AL19" i="1"/>
  <c r="AL18" i="1"/>
  <c r="AL26" i="1"/>
  <c r="AL16" i="1"/>
  <c r="AL15" i="1"/>
  <c r="AL13" i="1"/>
  <c r="AJ21" i="1"/>
  <c r="AJ20" i="1"/>
  <c r="AJ19" i="1"/>
  <c r="AJ18" i="1"/>
  <c r="AJ26" i="1"/>
  <c r="AJ16" i="1"/>
  <c r="AJ14" i="1"/>
  <c r="AJ13" i="1"/>
  <c r="AJ12" i="1"/>
  <c r="AH21" i="1"/>
  <c r="AH20" i="1"/>
  <c r="AH19" i="1"/>
  <c r="AH26" i="1"/>
  <c r="AH16" i="1"/>
  <c r="AH15" i="1"/>
  <c r="AH14" i="1"/>
  <c r="AH13" i="1"/>
  <c r="AH12" i="1"/>
  <c r="AH11" i="1"/>
  <c r="AF21" i="1"/>
  <c r="AF20" i="1"/>
  <c r="AF19" i="1"/>
  <c r="AF18" i="1"/>
  <c r="AF26" i="1"/>
  <c r="AF16" i="1"/>
  <c r="AF12" i="1"/>
  <c r="AF11" i="1"/>
  <c r="AD21" i="1"/>
  <c r="AD20" i="1"/>
  <c r="AD19" i="1"/>
  <c r="AD26" i="1"/>
  <c r="AD16" i="1"/>
  <c r="AD15" i="1"/>
  <c r="AD14" i="1"/>
  <c r="AD13" i="1"/>
  <c r="AD12" i="1"/>
  <c r="AD11" i="1"/>
  <c r="AB21" i="1"/>
  <c r="AB20" i="1"/>
  <c r="AB19" i="1"/>
  <c r="AB18" i="1"/>
  <c r="AB26" i="1"/>
  <c r="AB16" i="1"/>
  <c r="AB14" i="1"/>
  <c r="AB13" i="1"/>
  <c r="AB12" i="1"/>
  <c r="AB11" i="1"/>
  <c r="Z21" i="1"/>
  <c r="Z20" i="1"/>
  <c r="Z19" i="1"/>
  <c r="Z18" i="1"/>
  <c r="Z26" i="1"/>
  <c r="Z16" i="1"/>
  <c r="Z15" i="1"/>
  <c r="Z13" i="1"/>
  <c r="Z12" i="1"/>
  <c r="Z11" i="1"/>
  <c r="X21" i="1"/>
  <c r="X20" i="1"/>
  <c r="X19" i="1"/>
  <c r="X26" i="1"/>
  <c r="X16" i="1"/>
  <c r="X15" i="1"/>
  <c r="X14" i="1"/>
  <c r="X12" i="1"/>
  <c r="X11" i="1"/>
  <c r="V21" i="1"/>
  <c r="V20" i="1"/>
  <c r="V19" i="1"/>
  <c r="V16" i="1"/>
  <c r="V14" i="1"/>
  <c r="V11" i="1"/>
  <c r="T21" i="1"/>
  <c r="T20" i="1"/>
  <c r="T19" i="1"/>
  <c r="T26" i="1"/>
  <c r="T16" i="1"/>
  <c r="T12" i="1"/>
  <c r="R21" i="1"/>
  <c r="R20" i="1"/>
  <c r="R19" i="1"/>
  <c r="R26" i="1"/>
  <c r="R16" i="1"/>
  <c r="R15" i="1"/>
  <c r="R14" i="1"/>
  <c r="R13" i="1"/>
  <c r="R12" i="1"/>
  <c r="R11" i="1"/>
  <c r="P21" i="1"/>
  <c r="P20" i="1"/>
  <c r="P18" i="1"/>
  <c r="P16" i="1"/>
  <c r="P15" i="1"/>
  <c r="P14" i="1"/>
  <c r="P12" i="1"/>
  <c r="P11" i="1"/>
  <c r="N21" i="1"/>
  <c r="N20" i="1"/>
  <c r="N19" i="1"/>
  <c r="N26" i="1"/>
  <c r="N16" i="1"/>
  <c r="N15" i="1"/>
  <c r="N14" i="1"/>
  <c r="N12" i="1"/>
  <c r="L21" i="1"/>
  <c r="L20" i="1"/>
  <c r="L19" i="1"/>
  <c r="L18" i="1"/>
  <c r="L26" i="1"/>
  <c r="L16" i="1"/>
  <c r="L14" i="1"/>
  <c r="L13" i="1"/>
  <c r="L12" i="1"/>
  <c r="J21" i="1"/>
  <c r="J20" i="1"/>
  <c r="J19" i="1"/>
  <c r="J26" i="1"/>
  <c r="J16" i="1"/>
  <c r="J14" i="1"/>
  <c r="J13" i="1"/>
  <c r="J12" i="1"/>
  <c r="H11" i="1"/>
  <c r="G14" i="1"/>
  <c r="G12" i="1"/>
  <c r="H12" i="1" s="1"/>
  <c r="G11" i="1"/>
  <c r="AL22" i="1" l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H22" i="1"/>
  <c r="J22" i="1"/>
  <c r="E12" i="1"/>
  <c r="E13" i="1"/>
  <c r="E14" i="1"/>
  <c r="E15" i="1"/>
  <c r="E16" i="1"/>
  <c r="E26" i="1"/>
  <c r="E18" i="1"/>
  <c r="E19" i="1"/>
  <c r="E20" i="1"/>
  <c r="E21" i="1"/>
  <c r="E11" i="1"/>
  <c r="Q3" i="1" l="1"/>
  <c r="S3" i="1" s="1"/>
  <c r="R3" i="1"/>
  <c r="T3" i="1" s="1"/>
  <c r="AO22" i="1"/>
  <c r="AQ22" i="1" s="1"/>
  <c r="R6" i="1"/>
  <c r="T6" i="1" s="1"/>
  <c r="Q6" i="1"/>
  <c r="S6" i="1" s="1"/>
  <c r="R7" i="1"/>
  <c r="T7" i="1" s="1"/>
  <c r="Q7" i="1"/>
  <c r="S7" i="1" s="1"/>
  <c r="Q4" i="1"/>
  <c r="S4" i="1" s="1"/>
  <c r="R4" i="1"/>
  <c r="T4" i="1" s="1"/>
  <c r="E22" i="1"/>
  <c r="R5" i="1"/>
  <c r="T5" i="1" s="1"/>
  <c r="Q5" i="1"/>
  <c r="S5" i="1" s="1"/>
</calcChain>
</file>

<file path=xl/sharedStrings.xml><?xml version="1.0" encoding="utf-8"?>
<sst xmlns="http://schemas.openxmlformats.org/spreadsheetml/2006/main" count="100" uniqueCount="70">
  <si>
    <t>Undo</t>
  </si>
  <si>
    <t>Redo</t>
  </si>
  <si>
    <t>Copy</t>
  </si>
  <si>
    <t>Paste</t>
  </si>
  <si>
    <t>Delete</t>
  </si>
  <si>
    <t>Task\Gesture</t>
  </si>
  <si>
    <t>20 Flick to the left</t>
  </si>
  <si>
    <t>20 Flick to the right</t>
  </si>
  <si>
    <t>17 Rotate CCW</t>
  </si>
  <si>
    <t>17 Rotate CW</t>
  </si>
  <si>
    <t>10 Plam forward, bend 4 fingers down</t>
  </si>
  <si>
    <t>29 Grab out of plane</t>
  </si>
  <si>
    <t>29 Push into plane</t>
  </si>
  <si>
    <t>9 Contract hand and rotate to the left</t>
  </si>
  <si>
    <t>9 Contract hand and rotate to the right</t>
  </si>
  <si>
    <t>1 Form letter C</t>
  </si>
  <si>
    <t>1 Form letter V</t>
  </si>
  <si>
    <t>16 Wipe blackboard</t>
  </si>
  <si>
    <t>13 Cross out text</t>
  </si>
  <si>
    <t>8 Palm upwards, bend 4 fingers down</t>
  </si>
  <si>
    <t>New gesture no</t>
  </si>
  <si>
    <t>Criteria</t>
  </si>
  <si>
    <t>Weight</t>
  </si>
  <si>
    <t>How good is this gesture for this task</t>
  </si>
  <si>
    <t>How easy was it to think of this gesture for this task</t>
  </si>
  <si>
    <t>How easy is it to perform the gesture</t>
  </si>
  <si>
    <t>How easy is it to remember this gesture for this task</t>
  </si>
  <si>
    <t>Professional judgement on the ease of performance</t>
  </si>
  <si>
    <t>How many people suggested this</t>
  </si>
  <si>
    <t>Recognition accuracy</t>
  </si>
  <si>
    <t>True positives rate</t>
  </si>
  <si>
    <t>Ideal choice</t>
  </si>
  <si>
    <t>Min value</t>
  </si>
  <si>
    <t>Max value</t>
  </si>
  <si>
    <t>Value</t>
  </si>
  <si>
    <t>W. value</t>
  </si>
  <si>
    <t>G1 for Undo</t>
  </si>
  <si>
    <t>G1 for Delete</t>
  </si>
  <si>
    <t>G2 for Redo</t>
  </si>
  <si>
    <t>G3 for Undo</t>
  </si>
  <si>
    <t>G4 for Redo</t>
  </si>
  <si>
    <t>G5 for Undo</t>
  </si>
  <si>
    <t>G6 for Redo</t>
  </si>
  <si>
    <t>G7 for Copy</t>
  </si>
  <si>
    <t>G7 for Delete</t>
  </si>
  <si>
    <t>G8 for Paste</t>
  </si>
  <si>
    <t>G9 for Copy</t>
  </si>
  <si>
    <t>G10 for Paste</t>
  </si>
  <si>
    <t>G11 for Copy</t>
  </si>
  <si>
    <t>G13 for Delete</t>
  </si>
  <si>
    <t>G14 for Delete</t>
  </si>
  <si>
    <t>How many participant remembered this gesture when had to repeat</t>
  </si>
  <si>
    <t>G12 for Paste</t>
  </si>
  <si>
    <t>Duration efficiency mapping:</t>
  </si>
  <si>
    <t>Smallest = 5</t>
  </si>
  <si>
    <t>Largest = 0</t>
  </si>
  <si>
    <t>Raw average duration/efficiency</t>
  </si>
  <si>
    <t>Duration/efficiency rating</t>
  </si>
  <si>
    <t xml:space="preserve">RR   </t>
  </si>
  <si>
    <t>TPR</t>
  </si>
  <si>
    <t xml:space="preserve">FPR </t>
  </si>
  <si>
    <t>Largest=5</t>
  </si>
  <si>
    <t>Smallest = 0</t>
  </si>
  <si>
    <t>Best:</t>
  </si>
  <si>
    <t>Position:</t>
  </si>
  <si>
    <t>SECOND BEST GESTURE</t>
  </si>
  <si>
    <t>BEST GESTURE</t>
  </si>
  <si>
    <t>BEST VALUE</t>
  </si>
  <si>
    <t>SECOND BEST VALUE</t>
  </si>
  <si>
    <t>False positives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</si>
</sst>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2" fontId="0" fillId="0" borderId="6" xfId="0" applyNumberFormat="1" applyBorder="1" applyAlignment="1">
      <alignment wrapText="1"/>
    </xf>
    <xf numFmtId="2" fontId="0" fillId="0" borderId="8" xfId="0" applyNumberFormat="1" applyBorder="1"/>
    <xf numFmtId="2" fontId="0" fillId="0" borderId="9" xfId="0" applyNumberFormat="1" applyBorder="1" applyAlignment="1">
      <alignment wrapText="1"/>
    </xf>
    <xf numFmtId="2" fontId="0" fillId="0" borderId="10" xfId="0" applyNumberFormat="1" applyBorder="1"/>
    <xf numFmtId="2" fontId="0" fillId="0" borderId="11" xfId="0" applyNumberFormat="1" applyBorder="1" applyAlignment="1">
      <alignment wrapText="1"/>
    </xf>
    <xf numFmtId="2" fontId="0" fillId="0" borderId="13" xfId="0" applyNumberFormat="1" applyBorder="1"/>
    <xf numFmtId="2" fontId="0" fillId="0" borderId="7" xfId="0" applyNumberFormat="1" applyBorder="1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0" fontId="0" fillId="2" borderId="9" xfId="0" applyFill="1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7" fontId="0" fillId="0" borderId="0" xfId="0" applyNumberFormat="1"/>
    <xf numFmtId="167" fontId="0" fillId="0" borderId="0" xfId="0" applyNumberFormat="1" applyAlignment="1">
      <alignment wrapText="1"/>
    </xf>
    <xf numFmtId="167" fontId="0" fillId="0" borderId="10" xfId="0" applyNumberFormat="1" applyBorder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36F5-6585-4231-8B92-87F12A5DCA57}">
  <dimension ref="A1:AQ35"/>
  <sheetViews>
    <sheetView tabSelected="1" zoomScale="73" workbookViewId="0">
      <pane xSplit="1" topLeftCell="B1" activePane="topRight" state="frozen"/>
      <selection activeCell="A3" sqref="A3"/>
      <selection pane="topRight" activeCell="B26" sqref="B26"/>
    </sheetView>
  </sheetViews>
  <sheetFormatPr defaultRowHeight="14.25" x14ac:dyDescent="0.45"/>
  <cols>
    <col min="1" max="1" width="18.796875" style="1" customWidth="1"/>
    <col min="2" max="7" width="13.59765625" style="1" customWidth="1"/>
  </cols>
  <sheetData>
    <row r="1" spans="1:38" x14ac:dyDescent="0.45">
      <c r="A1" s="17" t="s">
        <v>20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38" ht="57" x14ac:dyDescent="0.45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19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6" t="s">
        <v>18</v>
      </c>
      <c r="Q2" s="39" t="s">
        <v>67</v>
      </c>
      <c r="R2" s="39" t="s">
        <v>68</v>
      </c>
      <c r="S2" s="39" t="s">
        <v>66</v>
      </c>
      <c r="T2" s="39" t="s">
        <v>65</v>
      </c>
    </row>
    <row r="3" spans="1:38" x14ac:dyDescent="0.45">
      <c r="A3" s="2" t="s">
        <v>0</v>
      </c>
      <c r="B3" s="7">
        <v>1</v>
      </c>
      <c r="C3" s="8"/>
      <c r="D3" s="8">
        <v>1</v>
      </c>
      <c r="E3" s="8"/>
      <c r="F3" s="8">
        <v>1</v>
      </c>
      <c r="G3" s="8"/>
      <c r="H3" s="9"/>
      <c r="I3" s="9"/>
      <c r="J3" s="9"/>
      <c r="K3" s="9"/>
      <c r="L3" s="9"/>
      <c r="M3" s="9"/>
      <c r="N3" s="9"/>
      <c r="O3" s="10"/>
      <c r="Q3" s="32">
        <f>MAX(H22,N22,R22)</f>
        <v>237</v>
      </c>
      <c r="R3" s="32">
        <f>LARGE((H22,N22,R22), 2)</f>
        <v>226.19696969696969</v>
      </c>
      <c r="S3">
        <f>IF(Q3=$H$22,$B$1,IF(Q3=$N$22,$D$1,IF(Q3=$R$22,$F$1,0)))</f>
        <v>1</v>
      </c>
      <c r="T3">
        <f>IF(R3=$H$22,$B$1,IF(R3=$N$22,$D$1,IF(R3=$R$22,$F$1,0)))</f>
        <v>3</v>
      </c>
    </row>
    <row r="4" spans="1:38" x14ac:dyDescent="0.45">
      <c r="A4" s="2" t="s">
        <v>1</v>
      </c>
      <c r="B4" s="11"/>
      <c r="C4" s="1">
        <v>1</v>
      </c>
      <c r="E4" s="1">
        <v>1</v>
      </c>
      <c r="G4" s="1">
        <v>1</v>
      </c>
      <c r="O4" s="12"/>
      <c r="Q4" s="32">
        <f>MAX(L22,P22,T22)</f>
        <v>222.9497320145615</v>
      </c>
      <c r="R4" s="32">
        <f>LARGE((L22,P22,T22), 2)</f>
        <v>212.11986123415568</v>
      </c>
      <c r="S4">
        <f>IF(Q4=$L$22,$C$1,IF(Q4=$P$22,$E$1,IF(Q4=$T$22,$G$1,0)))</f>
        <v>2</v>
      </c>
      <c r="T4">
        <f>IF(R4=$L$22,$C$1,IF(R4=$P$22,$E$1,IF(R4=$T$22,$G$1,0)))</f>
        <v>4</v>
      </c>
    </row>
    <row r="5" spans="1:38" x14ac:dyDescent="0.45">
      <c r="A5" s="2" t="s">
        <v>2</v>
      </c>
      <c r="B5" s="11"/>
      <c r="H5">
        <v>1</v>
      </c>
      <c r="J5">
        <v>1</v>
      </c>
      <c r="L5">
        <v>1</v>
      </c>
      <c r="O5" s="12"/>
      <c r="Q5" s="32">
        <f>MAX(V22,AB22,AF22)</f>
        <v>217.29820810747293</v>
      </c>
      <c r="R5" s="32">
        <f>LARGE((V22,AB22,AF22), 2)</f>
        <v>200.71187230465992</v>
      </c>
      <c r="S5">
        <f>IF(Q5=$V$22,$H$1,IF(Q5=$AB$22,$J$1,IF(Q5=$AF$22,$L$1,0)))</f>
        <v>7</v>
      </c>
      <c r="T5">
        <f>IF(R5=$V$22,$H$1,IF(R5=$AB$22,$J$1,IF(R5=$AF$22,$L$1,0)))</f>
        <v>11</v>
      </c>
    </row>
    <row r="6" spans="1:38" x14ac:dyDescent="0.45">
      <c r="A6" s="2" t="s">
        <v>3</v>
      </c>
      <c r="B6" s="11"/>
      <c r="I6">
        <v>1</v>
      </c>
      <c r="K6">
        <v>1</v>
      </c>
      <c r="M6">
        <v>1</v>
      </c>
      <c r="O6" s="12"/>
      <c r="Q6" s="32">
        <f>MAX(Z22,AD22,AH22)</f>
        <v>220.68612426741174</v>
      </c>
      <c r="R6" s="32">
        <f>LARGE((Z22,AD22,AH22), 2)</f>
        <v>196.57791416791605</v>
      </c>
      <c r="S6">
        <f>IF(Q6=$Z$22,$I$1,IF(Q6=$AD$22,$K$1,IF(Q6=$AH$22,$M$1,0)))</f>
        <v>12</v>
      </c>
      <c r="T6">
        <f>IF(R6=$Z$22,$I$1,IF(R6=$AD$22,$K$1,IF(R6=$AH$22,$M$1,0)))</f>
        <v>8</v>
      </c>
    </row>
    <row r="7" spans="1:38" x14ac:dyDescent="0.45">
      <c r="A7" s="3" t="s">
        <v>4</v>
      </c>
      <c r="B7" s="13">
        <v>1</v>
      </c>
      <c r="C7" s="14"/>
      <c r="D7" s="14"/>
      <c r="E7" s="14"/>
      <c r="F7" s="14"/>
      <c r="G7" s="14"/>
      <c r="H7" s="15">
        <v>1</v>
      </c>
      <c r="I7" s="15"/>
      <c r="J7" s="15"/>
      <c r="K7" s="15"/>
      <c r="L7" s="15"/>
      <c r="M7" s="15"/>
      <c r="N7" s="15">
        <v>1</v>
      </c>
      <c r="O7" s="16">
        <v>1</v>
      </c>
      <c r="Q7" s="32">
        <f>MAX(J22,X22,AJ22,AL22)</f>
        <v>233</v>
      </c>
      <c r="R7" s="32">
        <f>LARGE((J22,X22,AJ22,AL22), 2)</f>
        <v>208.40613980591215</v>
      </c>
      <c r="S7">
        <f>IF(Q7=$J$22,$B$1,IF(Q7=$X$22,$H$1,IF(Q7=$AJ$22,$N$1,IF(Q7=$AL$22,$O$1, 0))))</f>
        <v>1</v>
      </c>
      <c r="T7">
        <f>IF(R7=$J$22,$B$1,IF(R7=$X$22,$H$1,IF(R7=$AJ$22,$N$1,IF(R7=$AL$22,$O$1, 0))))</f>
        <v>14</v>
      </c>
    </row>
    <row r="9" spans="1:38" ht="14.25" customHeight="1" x14ac:dyDescent="0.45">
      <c r="G9" s="34" t="s">
        <v>36</v>
      </c>
      <c r="H9" s="35"/>
      <c r="I9" s="34" t="s">
        <v>37</v>
      </c>
      <c r="J9" s="35"/>
      <c r="K9" s="34" t="s">
        <v>38</v>
      </c>
      <c r="L9" s="35"/>
      <c r="M9" s="34" t="s">
        <v>39</v>
      </c>
      <c r="N9" s="35"/>
      <c r="O9" s="34" t="s">
        <v>40</v>
      </c>
      <c r="P9" s="35"/>
      <c r="Q9" s="34" t="s">
        <v>41</v>
      </c>
      <c r="R9" s="35"/>
      <c r="S9" s="34" t="s">
        <v>42</v>
      </c>
      <c r="T9" s="35"/>
      <c r="U9" s="34" t="s">
        <v>43</v>
      </c>
      <c r="V9" s="35"/>
      <c r="W9" s="34" t="s">
        <v>44</v>
      </c>
      <c r="X9" s="35"/>
      <c r="Y9" s="34" t="s">
        <v>45</v>
      </c>
      <c r="Z9" s="35"/>
      <c r="AA9" s="34" t="s">
        <v>46</v>
      </c>
      <c r="AB9" s="35"/>
      <c r="AC9" s="34" t="s">
        <v>47</v>
      </c>
      <c r="AD9" s="35"/>
      <c r="AE9" s="34" t="s">
        <v>48</v>
      </c>
      <c r="AF9" s="35"/>
      <c r="AG9" s="34" t="s">
        <v>52</v>
      </c>
      <c r="AH9" s="35"/>
      <c r="AI9" s="34" t="s">
        <v>49</v>
      </c>
      <c r="AJ9" s="35"/>
      <c r="AK9" s="34" t="s">
        <v>50</v>
      </c>
      <c r="AL9" s="35"/>
    </row>
    <row r="10" spans="1:38" x14ac:dyDescent="0.45">
      <c r="A10" s="17" t="s">
        <v>21</v>
      </c>
      <c r="B10" s="23" t="s">
        <v>22</v>
      </c>
      <c r="C10" s="23" t="s">
        <v>32</v>
      </c>
      <c r="D10" s="18" t="s">
        <v>33</v>
      </c>
      <c r="E10" s="17" t="s">
        <v>31</v>
      </c>
      <c r="G10" s="11" t="s">
        <v>34</v>
      </c>
      <c r="H10" s="19" t="s">
        <v>35</v>
      </c>
      <c r="I10" s="11" t="s">
        <v>34</v>
      </c>
      <c r="J10" s="19" t="s">
        <v>35</v>
      </c>
      <c r="K10" s="11" t="s">
        <v>34</v>
      </c>
      <c r="L10" s="19" t="s">
        <v>35</v>
      </c>
      <c r="M10" s="11" t="s">
        <v>34</v>
      </c>
      <c r="N10" s="19" t="s">
        <v>35</v>
      </c>
      <c r="O10" s="11" t="s">
        <v>34</v>
      </c>
      <c r="P10" s="19" t="s">
        <v>35</v>
      </c>
      <c r="Q10" s="11" t="s">
        <v>34</v>
      </c>
      <c r="R10" s="19" t="s">
        <v>35</v>
      </c>
      <c r="S10" s="11" t="s">
        <v>34</v>
      </c>
      <c r="T10" s="19" t="s">
        <v>35</v>
      </c>
      <c r="U10" s="11" t="s">
        <v>34</v>
      </c>
      <c r="V10" s="19" t="s">
        <v>35</v>
      </c>
      <c r="W10" s="11" t="s">
        <v>34</v>
      </c>
      <c r="X10" s="19" t="s">
        <v>35</v>
      </c>
      <c r="Y10" s="11" t="s">
        <v>34</v>
      </c>
      <c r="Z10" s="19" t="s">
        <v>35</v>
      </c>
      <c r="AA10" s="11" t="s">
        <v>34</v>
      </c>
      <c r="AB10" s="19" t="s">
        <v>35</v>
      </c>
      <c r="AC10" s="11" t="s">
        <v>34</v>
      </c>
      <c r="AD10" s="19" t="s">
        <v>35</v>
      </c>
      <c r="AE10" s="11" t="s">
        <v>34</v>
      </c>
      <c r="AF10" s="19" t="s">
        <v>35</v>
      </c>
      <c r="AG10" s="11" t="s">
        <v>34</v>
      </c>
      <c r="AH10" s="19" t="s">
        <v>35</v>
      </c>
      <c r="AI10" s="11" t="s">
        <v>34</v>
      </c>
      <c r="AJ10" s="19" t="s">
        <v>35</v>
      </c>
      <c r="AK10" s="11" t="s">
        <v>34</v>
      </c>
      <c r="AL10" s="19" t="s">
        <v>35</v>
      </c>
    </row>
    <row r="11" spans="1:38" ht="42.75" x14ac:dyDescent="0.45">
      <c r="A11" s="21" t="s">
        <v>24</v>
      </c>
      <c r="B11" s="1">
        <v>2</v>
      </c>
      <c r="C11" s="1">
        <v>0</v>
      </c>
      <c r="D11" s="19">
        <v>5</v>
      </c>
      <c r="E11" s="21">
        <f t="shared" ref="E11:E21" si="0">D11*B11</f>
        <v>10</v>
      </c>
      <c r="G11" s="24">
        <f>19/6</f>
        <v>3.1666666666666665</v>
      </c>
      <c r="H11" s="25">
        <f>G11*$B11</f>
        <v>6.333333333333333</v>
      </c>
      <c r="I11" s="30">
        <f>13/4</f>
        <v>3.25</v>
      </c>
      <c r="J11" s="25">
        <f>I11*$B11</f>
        <v>6.5</v>
      </c>
      <c r="K11" s="24">
        <f>20/5</f>
        <v>4</v>
      </c>
      <c r="L11" s="25">
        <f>K11*$B11</f>
        <v>8</v>
      </c>
      <c r="M11" s="24">
        <f>12/3</f>
        <v>4</v>
      </c>
      <c r="N11" s="25">
        <f>M11*$B11</f>
        <v>8</v>
      </c>
      <c r="O11" s="24">
        <f>16/4</f>
        <v>4</v>
      </c>
      <c r="P11" s="25">
        <f>O11*$B11</f>
        <v>8</v>
      </c>
      <c r="Q11" s="24">
        <v>2</v>
      </c>
      <c r="R11" s="25">
        <f>Q11*$B11</f>
        <v>4</v>
      </c>
      <c r="S11" s="24">
        <f>8/3</f>
        <v>2.6666666666666665</v>
      </c>
      <c r="T11" s="25">
        <f>S11*$B11</f>
        <v>5.333333333333333</v>
      </c>
      <c r="U11" s="24">
        <f>32/12</f>
        <v>2.6666666666666665</v>
      </c>
      <c r="V11" s="25">
        <f>U11*$B11</f>
        <v>5.333333333333333</v>
      </c>
      <c r="W11" s="24">
        <f>7.5/3</f>
        <v>2.5</v>
      </c>
      <c r="X11" s="25">
        <f>W11*$B11</f>
        <v>5</v>
      </c>
      <c r="Y11" s="24">
        <f>47.5/11</f>
        <v>4.3181818181818183</v>
      </c>
      <c r="Z11" s="25">
        <f>Y11*$B11</f>
        <v>8.6363636363636367</v>
      </c>
      <c r="AA11" s="24">
        <v>2</v>
      </c>
      <c r="AB11" s="25">
        <f>AA11*$B11</f>
        <v>4</v>
      </c>
      <c r="AC11" s="24">
        <v>2</v>
      </c>
      <c r="AD11" s="25">
        <f>AC11*$B11</f>
        <v>4</v>
      </c>
      <c r="AE11" s="24">
        <f>7/3</f>
        <v>2.3333333333333335</v>
      </c>
      <c r="AF11" s="25">
        <f>AE11*$B11</f>
        <v>4.666666666666667</v>
      </c>
      <c r="AG11" s="24">
        <v>5</v>
      </c>
      <c r="AH11" s="25">
        <f>AG11*$B11</f>
        <v>10</v>
      </c>
      <c r="AI11" s="24">
        <f>9/3</f>
        <v>3</v>
      </c>
      <c r="AJ11" s="25">
        <f>AI11*$B11</f>
        <v>6</v>
      </c>
      <c r="AK11" s="24">
        <f>10/3</f>
        <v>3.3333333333333335</v>
      </c>
      <c r="AL11" s="25">
        <f>AK11*$B11</f>
        <v>6.666666666666667</v>
      </c>
    </row>
    <row r="12" spans="1:38" ht="28.5" x14ac:dyDescent="0.45">
      <c r="A12" s="19" t="s">
        <v>25</v>
      </c>
      <c r="B12" s="1">
        <v>3</v>
      </c>
      <c r="C12" s="1">
        <v>0</v>
      </c>
      <c r="D12" s="19">
        <v>5</v>
      </c>
      <c r="E12" s="21">
        <f t="shared" si="0"/>
        <v>15</v>
      </c>
      <c r="G12" s="26">
        <f>28/6</f>
        <v>4.666666666666667</v>
      </c>
      <c r="H12" s="27">
        <f t="shared" ref="H12:H18" si="1">G12*$B12</f>
        <v>14</v>
      </c>
      <c r="I12" s="31">
        <f>17.5/4</f>
        <v>4.375</v>
      </c>
      <c r="J12" s="27">
        <f t="shared" ref="J12" si="2">I12*$B12</f>
        <v>13.125</v>
      </c>
      <c r="K12" s="26">
        <f>24/5</f>
        <v>4.8</v>
      </c>
      <c r="L12" s="27">
        <f t="shared" ref="L12" si="3">K12*$B12</f>
        <v>14.399999999999999</v>
      </c>
      <c r="M12" s="26">
        <f>15/3</f>
        <v>5</v>
      </c>
      <c r="N12" s="27">
        <f t="shared" ref="N12" si="4">M12*$B12</f>
        <v>15</v>
      </c>
      <c r="O12" s="26">
        <f>19/4</f>
        <v>4.75</v>
      </c>
      <c r="P12" s="27">
        <f t="shared" ref="P12" si="5">O12*$B12</f>
        <v>14.25</v>
      </c>
      <c r="Q12" s="26">
        <v>5</v>
      </c>
      <c r="R12" s="27">
        <f t="shared" ref="R12" si="6">Q12*$B12</f>
        <v>15</v>
      </c>
      <c r="S12" s="26">
        <f>15/3</f>
        <v>5</v>
      </c>
      <c r="T12" s="27">
        <f t="shared" ref="T12" si="7">S12*$B12</f>
        <v>15</v>
      </c>
      <c r="U12" s="26">
        <f>50/12</f>
        <v>4.166666666666667</v>
      </c>
      <c r="V12" s="27">
        <f t="shared" ref="V12" si="8">U12*$B12</f>
        <v>12.5</v>
      </c>
      <c r="W12" s="26">
        <f>13.5/3</f>
        <v>4.5</v>
      </c>
      <c r="X12" s="27">
        <f t="shared" ref="X12" si="9">W12*$B12</f>
        <v>13.5</v>
      </c>
      <c r="Y12" s="26">
        <f>48/11</f>
        <v>4.3636363636363633</v>
      </c>
      <c r="Z12" s="27">
        <f t="shared" ref="Z12" si="10">Y12*$B12</f>
        <v>13.09090909090909</v>
      </c>
      <c r="AA12" s="26">
        <v>3</v>
      </c>
      <c r="AB12" s="27">
        <f t="shared" ref="AB12" si="11">AA12*$B12</f>
        <v>9</v>
      </c>
      <c r="AC12" s="26">
        <v>3</v>
      </c>
      <c r="AD12" s="27">
        <f t="shared" ref="AD12" si="12">AC12*$B12</f>
        <v>9</v>
      </c>
      <c r="AE12" s="26">
        <f>15/3</f>
        <v>5</v>
      </c>
      <c r="AF12" s="27">
        <f t="shared" ref="AF12" si="13">AE12*$B12</f>
        <v>15</v>
      </c>
      <c r="AG12" s="26">
        <v>5</v>
      </c>
      <c r="AH12" s="27">
        <f t="shared" ref="AH12" si="14">AG12*$B12</f>
        <v>15</v>
      </c>
      <c r="AI12" s="26">
        <f>11/3</f>
        <v>3.6666666666666665</v>
      </c>
      <c r="AJ12" s="27">
        <f t="shared" ref="AJ12" si="15">AI12*$B12</f>
        <v>11</v>
      </c>
      <c r="AK12" s="26">
        <f>13/3</f>
        <v>4.333333333333333</v>
      </c>
      <c r="AL12" s="27">
        <f t="shared" ref="AL12" si="16">AK12*$B12</f>
        <v>13</v>
      </c>
    </row>
    <row r="13" spans="1:38" ht="42.75" x14ac:dyDescent="0.45">
      <c r="A13" s="21" t="s">
        <v>26</v>
      </c>
      <c r="B13" s="1">
        <v>3</v>
      </c>
      <c r="C13" s="1">
        <v>0</v>
      </c>
      <c r="D13" s="19">
        <v>5</v>
      </c>
      <c r="E13" s="21">
        <f t="shared" si="0"/>
        <v>15</v>
      </c>
      <c r="G13" s="26">
        <v>4.5</v>
      </c>
      <c r="H13" s="27">
        <f t="shared" si="1"/>
        <v>13.5</v>
      </c>
      <c r="I13" s="31">
        <v>3.5</v>
      </c>
      <c r="J13" s="27">
        <f t="shared" ref="J13" si="17">I13*$B13</f>
        <v>10.5</v>
      </c>
      <c r="K13" s="26">
        <f>24/5</f>
        <v>4.8</v>
      </c>
      <c r="L13" s="27">
        <f t="shared" ref="L13" si="18">K13*$B13</f>
        <v>14.399999999999999</v>
      </c>
      <c r="M13" s="26">
        <f>14/3</f>
        <v>4.666666666666667</v>
      </c>
      <c r="N13" s="27">
        <f t="shared" ref="N13" si="19">M13*$B13</f>
        <v>14</v>
      </c>
      <c r="O13" s="26">
        <f>18/4</f>
        <v>4.5</v>
      </c>
      <c r="P13" s="27">
        <f t="shared" ref="P13" si="20">O13*$B13</f>
        <v>13.5</v>
      </c>
      <c r="Q13" s="26">
        <v>5</v>
      </c>
      <c r="R13" s="27">
        <f t="shared" ref="R13" si="21">Q13*$B13</f>
        <v>15</v>
      </c>
      <c r="S13" s="26">
        <f>15/3</f>
        <v>5</v>
      </c>
      <c r="T13" s="27">
        <f t="shared" ref="T13" si="22">S13*$B13</f>
        <v>15</v>
      </c>
      <c r="U13" s="26">
        <f>49.5/12</f>
        <v>4.125</v>
      </c>
      <c r="V13" s="27">
        <f t="shared" ref="V13" si="23">U13*$B13</f>
        <v>12.375</v>
      </c>
      <c r="W13" s="26">
        <f>13/3</f>
        <v>4.333333333333333</v>
      </c>
      <c r="X13" s="27">
        <f t="shared" ref="X13" si="24">W13*$B13</f>
        <v>13</v>
      </c>
      <c r="Y13" s="26">
        <f>46/11</f>
        <v>4.1818181818181817</v>
      </c>
      <c r="Z13" s="27">
        <f t="shared" ref="Z13" si="25">Y13*$B13</f>
        <v>12.545454545454545</v>
      </c>
      <c r="AA13" s="26">
        <v>3</v>
      </c>
      <c r="AB13" s="27">
        <f t="shared" ref="AB13" si="26">AA13*$B13</f>
        <v>9</v>
      </c>
      <c r="AC13" s="26">
        <v>3</v>
      </c>
      <c r="AD13" s="27">
        <f t="shared" ref="AD13" si="27">AC13*$B13</f>
        <v>9</v>
      </c>
      <c r="AE13" s="26">
        <f>14/3</f>
        <v>4.666666666666667</v>
      </c>
      <c r="AF13" s="27">
        <f t="shared" ref="AF13" si="28">AE13*$B13</f>
        <v>14</v>
      </c>
      <c r="AG13" s="26">
        <v>5</v>
      </c>
      <c r="AH13" s="27">
        <f t="shared" ref="AH13" si="29">AG13*$B13</f>
        <v>15</v>
      </c>
      <c r="AI13" s="26">
        <f>11/3</f>
        <v>3.6666666666666665</v>
      </c>
      <c r="AJ13" s="27">
        <f t="shared" ref="AJ13" si="30">AI13*$B13</f>
        <v>11</v>
      </c>
      <c r="AK13" s="26">
        <f>12/3</f>
        <v>4</v>
      </c>
      <c r="AL13" s="27">
        <f t="shared" ref="AL13" si="31">AK13*$B13</f>
        <v>12</v>
      </c>
    </row>
    <row r="14" spans="1:38" ht="28.5" x14ac:dyDescent="0.45">
      <c r="A14" s="11" t="s">
        <v>23</v>
      </c>
      <c r="B14" s="11">
        <v>5</v>
      </c>
      <c r="C14" s="1">
        <v>0</v>
      </c>
      <c r="D14" s="19">
        <v>5</v>
      </c>
      <c r="E14" s="21">
        <f t="shared" si="0"/>
        <v>25</v>
      </c>
      <c r="G14" s="26">
        <f>18.5/6</f>
        <v>3.0833333333333335</v>
      </c>
      <c r="H14" s="27">
        <f t="shared" si="1"/>
        <v>15.416666666666668</v>
      </c>
      <c r="I14" s="31">
        <f>14.5/4</f>
        <v>3.625</v>
      </c>
      <c r="J14" s="27">
        <f t="shared" ref="J14" si="32">I14*$B14</f>
        <v>18.125</v>
      </c>
      <c r="K14" s="26">
        <f>17/5</f>
        <v>3.4</v>
      </c>
      <c r="L14" s="27">
        <f t="shared" ref="L14" si="33">K14*$B14</f>
        <v>17</v>
      </c>
      <c r="M14" s="26">
        <f>11/3</f>
        <v>3.6666666666666665</v>
      </c>
      <c r="N14" s="27">
        <f t="shared" ref="N14" si="34">M14*$B14</f>
        <v>18.333333333333332</v>
      </c>
      <c r="O14" s="26">
        <f>13/4</f>
        <v>3.25</v>
      </c>
      <c r="P14" s="27">
        <f t="shared" ref="P14" si="35">O14*$B14</f>
        <v>16.25</v>
      </c>
      <c r="Q14" s="26">
        <v>2</v>
      </c>
      <c r="R14" s="27">
        <f t="shared" ref="R14" si="36">Q14*$B14</f>
        <v>10</v>
      </c>
      <c r="S14" s="26">
        <f>11/3</f>
        <v>3.6666666666666665</v>
      </c>
      <c r="T14" s="27">
        <f t="shared" ref="T14" si="37">S14*$B14</f>
        <v>18.333333333333332</v>
      </c>
      <c r="U14" s="26">
        <f>40.5/12</f>
        <v>3.375</v>
      </c>
      <c r="V14" s="27">
        <f t="shared" ref="V14" si="38">U14*$B14</f>
        <v>16.875</v>
      </c>
      <c r="W14" s="26">
        <f>7.5/3</f>
        <v>2.5</v>
      </c>
      <c r="X14" s="27">
        <f t="shared" ref="X14" si="39">W14*$B14</f>
        <v>12.5</v>
      </c>
      <c r="Y14" s="26">
        <f>43/11</f>
        <v>3.9090909090909092</v>
      </c>
      <c r="Z14" s="27">
        <f t="shared" ref="Z14" si="40">Y14*$B14</f>
        <v>19.545454545454547</v>
      </c>
      <c r="AA14" s="26">
        <v>1</v>
      </c>
      <c r="AB14" s="27">
        <f t="shared" ref="AB14" si="41">AA14*$B14</f>
        <v>5</v>
      </c>
      <c r="AC14" s="26">
        <v>1</v>
      </c>
      <c r="AD14" s="27">
        <f t="shared" ref="AD14" si="42">AC14*$B14</f>
        <v>5</v>
      </c>
      <c r="AE14" s="26">
        <f>9/3</f>
        <v>3</v>
      </c>
      <c r="AF14" s="27">
        <f t="shared" ref="AF14" si="43">AE14*$B14</f>
        <v>15</v>
      </c>
      <c r="AG14" s="26">
        <v>4</v>
      </c>
      <c r="AH14" s="27">
        <f t="shared" ref="AH14" si="44">AG14*$B14</f>
        <v>20</v>
      </c>
      <c r="AI14" s="26">
        <f>8/3</f>
        <v>2.6666666666666665</v>
      </c>
      <c r="AJ14" s="27">
        <f t="shared" ref="AJ14" si="45">AI14*$B14</f>
        <v>13.333333333333332</v>
      </c>
      <c r="AK14" s="26">
        <f>9/3</f>
        <v>3</v>
      </c>
      <c r="AL14" s="27">
        <f t="shared" ref="AL14" si="46">AK14*$B14</f>
        <v>15</v>
      </c>
    </row>
    <row r="15" spans="1:38" ht="57" x14ac:dyDescent="0.45">
      <c r="A15" s="11" t="s">
        <v>51</v>
      </c>
      <c r="B15" s="11">
        <v>1</v>
      </c>
      <c r="C15" s="1">
        <v>0</v>
      </c>
      <c r="D15" s="19">
        <v>5</v>
      </c>
      <c r="E15" s="21">
        <f t="shared" si="0"/>
        <v>5</v>
      </c>
      <c r="G15" s="26">
        <f>6/6*5</f>
        <v>5</v>
      </c>
      <c r="H15" s="27">
        <f t="shared" si="1"/>
        <v>5</v>
      </c>
      <c r="I15" s="31">
        <f>4/4*5</f>
        <v>5</v>
      </c>
      <c r="J15" s="27">
        <f t="shared" ref="J15" si="47">I15*$B15</f>
        <v>5</v>
      </c>
      <c r="K15" s="26">
        <f>5/5*5</f>
        <v>5</v>
      </c>
      <c r="L15" s="27">
        <f t="shared" ref="L15" si="48">K15*$B15</f>
        <v>5</v>
      </c>
      <c r="M15" s="26">
        <f>3/3*5</f>
        <v>5</v>
      </c>
      <c r="N15" s="27">
        <f t="shared" ref="N15" si="49">M15*$B15</f>
        <v>5</v>
      </c>
      <c r="O15" s="26">
        <f>3/4*5</f>
        <v>3.75</v>
      </c>
      <c r="P15" s="27">
        <f t="shared" ref="P15" si="50">O15*$B15</f>
        <v>3.75</v>
      </c>
      <c r="Q15" s="26">
        <f>1/1*5</f>
        <v>5</v>
      </c>
      <c r="R15" s="27">
        <f t="shared" ref="R15" si="51">Q15*$B15</f>
        <v>5</v>
      </c>
      <c r="S15" s="26">
        <f>3/3*5</f>
        <v>5</v>
      </c>
      <c r="T15" s="27">
        <f t="shared" ref="T15" si="52">S15*$B15</f>
        <v>5</v>
      </c>
      <c r="U15" s="26">
        <f>11/12*5</f>
        <v>4.583333333333333</v>
      </c>
      <c r="V15" s="27">
        <f t="shared" ref="V15" si="53">U15*$B15</f>
        <v>4.583333333333333</v>
      </c>
      <c r="W15" s="26">
        <f>3/3*5</f>
        <v>5</v>
      </c>
      <c r="X15" s="27">
        <f t="shared" ref="X15" si="54">W15*$B15</f>
        <v>5</v>
      </c>
      <c r="Y15" s="26">
        <f>11/11*5</f>
        <v>5</v>
      </c>
      <c r="Z15" s="27">
        <f t="shared" ref="Z15" si="55">Y15*$B15</f>
        <v>5</v>
      </c>
      <c r="AA15" s="26">
        <f>1/1*5</f>
        <v>5</v>
      </c>
      <c r="AB15" s="27">
        <f t="shared" ref="AB15" si="56">AA15*$B15</f>
        <v>5</v>
      </c>
      <c r="AC15" s="26">
        <f>1/1*5</f>
        <v>5</v>
      </c>
      <c r="AD15" s="27">
        <f t="shared" ref="AD15" si="57">AC15*$B15</f>
        <v>5</v>
      </c>
      <c r="AE15" s="26">
        <f>3/3*5</f>
        <v>5</v>
      </c>
      <c r="AF15" s="27">
        <f t="shared" ref="AF15" si="58">AE15*$B15</f>
        <v>5</v>
      </c>
      <c r="AG15" s="26">
        <f>1/1*5</f>
        <v>5</v>
      </c>
      <c r="AH15" s="27">
        <f t="shared" ref="AH15" si="59">AG15*$B15</f>
        <v>5</v>
      </c>
      <c r="AI15" s="26">
        <f>3/3*5</f>
        <v>5</v>
      </c>
      <c r="AJ15" s="27">
        <f t="shared" ref="AJ15" si="60">AI15*$B15</f>
        <v>5</v>
      </c>
      <c r="AK15" s="26">
        <f>3/3*5</f>
        <v>5</v>
      </c>
      <c r="AL15" s="27">
        <f t="shared" ref="AL15" si="61">AK15*$B15</f>
        <v>5</v>
      </c>
    </row>
    <row r="16" spans="1:38" ht="42.75" x14ac:dyDescent="0.45">
      <c r="A16" s="11" t="s">
        <v>27</v>
      </c>
      <c r="B16" s="11">
        <v>5</v>
      </c>
      <c r="C16" s="1">
        <v>0</v>
      </c>
      <c r="D16" s="19">
        <v>5</v>
      </c>
      <c r="E16" s="21">
        <f t="shared" si="0"/>
        <v>25</v>
      </c>
      <c r="G16" s="26">
        <v>5</v>
      </c>
      <c r="H16" s="27">
        <f t="shared" si="1"/>
        <v>25</v>
      </c>
      <c r="I16" s="31">
        <v>5</v>
      </c>
      <c r="J16" s="27">
        <f t="shared" ref="J16" si="62">I16*$B16</f>
        <v>25</v>
      </c>
      <c r="K16" s="26">
        <v>5</v>
      </c>
      <c r="L16" s="27">
        <f t="shared" ref="L16" si="63">K16*$B16</f>
        <v>25</v>
      </c>
      <c r="M16" s="26">
        <v>4.5</v>
      </c>
      <c r="N16" s="27">
        <f t="shared" ref="N16" si="64">M16*$B16</f>
        <v>22.5</v>
      </c>
      <c r="O16" s="26">
        <v>4.5</v>
      </c>
      <c r="P16" s="27">
        <f t="shared" ref="P16" si="65">O16*$B16</f>
        <v>22.5</v>
      </c>
      <c r="Q16" s="26">
        <v>4</v>
      </c>
      <c r="R16" s="27">
        <f t="shared" ref="R16" si="66">Q16*$B16</f>
        <v>20</v>
      </c>
      <c r="S16" s="26">
        <v>4</v>
      </c>
      <c r="T16" s="27">
        <f t="shared" ref="T16" si="67">S16*$B16</f>
        <v>20</v>
      </c>
      <c r="U16" s="26">
        <v>4.5</v>
      </c>
      <c r="V16" s="27">
        <f t="shared" ref="V16" si="68">U16*$B16</f>
        <v>22.5</v>
      </c>
      <c r="W16" s="26">
        <v>4.5</v>
      </c>
      <c r="X16" s="27">
        <f t="shared" ref="X16" si="69">W16*$B16</f>
        <v>22.5</v>
      </c>
      <c r="Y16" s="26">
        <v>4.5</v>
      </c>
      <c r="Z16" s="27">
        <f t="shared" ref="Z16" si="70">Y16*$B16</f>
        <v>22.5</v>
      </c>
      <c r="AA16" s="26">
        <v>3</v>
      </c>
      <c r="AB16" s="27">
        <f t="shared" ref="AB16" si="71">AA16*$B16</f>
        <v>15</v>
      </c>
      <c r="AC16" s="26">
        <v>3</v>
      </c>
      <c r="AD16" s="27">
        <f t="shared" ref="AD16" si="72">AC16*$B16</f>
        <v>15</v>
      </c>
      <c r="AE16" s="26">
        <v>5</v>
      </c>
      <c r="AF16" s="27">
        <f t="shared" ref="AF16" si="73">AE16*$B16</f>
        <v>25</v>
      </c>
      <c r="AG16" s="26">
        <v>5</v>
      </c>
      <c r="AH16" s="27">
        <f t="shared" ref="AH16" si="74">AG16*$B16</f>
        <v>25</v>
      </c>
      <c r="AI16" s="26">
        <v>2</v>
      </c>
      <c r="AJ16" s="27">
        <f t="shared" ref="AJ16" si="75">AI16*$B16</f>
        <v>10</v>
      </c>
      <c r="AK16" s="26">
        <v>4.5</v>
      </c>
      <c r="AL16" s="27">
        <f t="shared" ref="AL16" si="76">AK16*$B16</f>
        <v>22.5</v>
      </c>
    </row>
    <row r="17" spans="1:43" ht="28.5" x14ac:dyDescent="0.45">
      <c r="A17" s="1" t="s">
        <v>57</v>
      </c>
      <c r="B17" s="11">
        <v>5</v>
      </c>
      <c r="C17" s="1">
        <v>0</v>
      </c>
      <c r="D17" s="19">
        <v>5</v>
      </c>
      <c r="E17" s="21">
        <f t="shared" si="0"/>
        <v>25</v>
      </c>
      <c r="G17" s="26">
        <f>-(G$26-$C$28)/($C$28-$B$28)*5</f>
        <v>4.75</v>
      </c>
      <c r="H17" s="27">
        <f t="shared" si="1"/>
        <v>23.75</v>
      </c>
      <c r="I17" s="26">
        <f>-(I$26-$C$28)/($C$28-$B$28)*5</f>
        <v>4.75</v>
      </c>
      <c r="J17" s="27">
        <f>I17*$B17</f>
        <v>23.75</v>
      </c>
      <c r="K17" s="26">
        <f>-(K$26-$C$28)/($C$28-$B$28)*5</f>
        <v>5</v>
      </c>
      <c r="L17" s="27">
        <f>K17*$B17</f>
        <v>25</v>
      </c>
      <c r="M17" s="26">
        <f>-(M$26-$C$28)/($C$28-$B$28)*5</f>
        <v>2.7727272727272729</v>
      </c>
      <c r="N17" s="27">
        <f>M17*$B17</f>
        <v>13.863636363636365</v>
      </c>
      <c r="O17" s="26">
        <f>-(O$26-$C$28)/($C$28-$B$28)*5</f>
        <v>2.3409090909090908</v>
      </c>
      <c r="P17" s="27">
        <f>O17*$B17</f>
        <v>11.704545454545453</v>
      </c>
      <c r="Q17" s="26">
        <f>-(Q$26-$C$28)/($C$28-$B$28)*5</f>
        <v>3.6590909090909096</v>
      </c>
      <c r="R17" s="27">
        <f>Q17*$B17</f>
        <v>18.295454545454547</v>
      </c>
      <c r="S17" s="26">
        <f>-(S$26-$C$28)/($C$28-$B$28)*5</f>
        <v>2.4090909090909083</v>
      </c>
      <c r="T17" s="27">
        <f>S17*$B17</f>
        <v>12.045454545454541</v>
      </c>
      <c r="U17" s="26">
        <f>-(U$26-$C$28)/($C$28-$B$28)*5</f>
        <v>2.9090909090909092</v>
      </c>
      <c r="V17" s="27">
        <f>U17*$B17</f>
        <v>14.545454545454547</v>
      </c>
      <c r="W17" s="26">
        <f>-(W$26-$C$28)/($C$28-$B$28)*5</f>
        <v>2.9090909090909092</v>
      </c>
      <c r="X17" s="27">
        <f>W17*$B17</f>
        <v>14.545454545454547</v>
      </c>
      <c r="Y17" s="26">
        <f>-(Y$26-$C$28)/($C$28-$B$28)*5</f>
        <v>4.8863636363636367</v>
      </c>
      <c r="Z17" s="27">
        <f>Y17*$B17</f>
        <v>24.431818181818183</v>
      </c>
      <c r="AA17" s="26">
        <f>-(AA$26-$C$28)/($C$28-$B$28)*5</f>
        <v>0.43181818181818149</v>
      </c>
      <c r="AB17" s="27">
        <f>AA17*$B17</f>
        <v>2.1590909090909074</v>
      </c>
      <c r="AC17" s="26">
        <f>-(AC$26-$C$28)/($C$28-$B$28)*5</f>
        <v>0</v>
      </c>
      <c r="AD17" s="27">
        <f>AC17*$B17</f>
        <v>0</v>
      </c>
      <c r="AE17" s="26">
        <f>-(AE$26-$C$28)/($C$28-$B$28)*5</f>
        <v>2.0909090909090908</v>
      </c>
      <c r="AF17" s="27">
        <f>AE17*$B17</f>
        <v>10.454545454545453</v>
      </c>
      <c r="AG17" s="26">
        <f>-(AG$26-$C$28)/($C$28-$B$28)*5</f>
        <v>3.1818181818181817</v>
      </c>
      <c r="AH17" s="27">
        <f>AG17*$B17</f>
        <v>15.909090909090908</v>
      </c>
      <c r="AI17" s="26">
        <f>-(AI$26-$C$28)/($C$28-$B$28)*5</f>
        <v>1.8863636363636367</v>
      </c>
      <c r="AJ17" s="27">
        <f>AI17*$B17</f>
        <v>9.4318181818181834</v>
      </c>
      <c r="AK17" s="26">
        <f>-(AK$26-$C$28)/($C$28-$B$28)*5</f>
        <v>2.5227272727272725</v>
      </c>
      <c r="AL17" s="27">
        <f>AK17*$B17</f>
        <v>12.613636363636363</v>
      </c>
    </row>
    <row r="18" spans="1:43" ht="28.5" x14ac:dyDescent="0.45">
      <c r="A18" s="11" t="s">
        <v>28</v>
      </c>
      <c r="B18" s="11">
        <v>6</v>
      </c>
      <c r="C18" s="1">
        <v>0</v>
      </c>
      <c r="D18" s="19">
        <v>5</v>
      </c>
      <c r="E18" s="21">
        <f t="shared" si="0"/>
        <v>30</v>
      </c>
      <c r="G18" s="26">
        <f>6/20*5</f>
        <v>1.5</v>
      </c>
      <c r="H18" s="27">
        <f t="shared" si="1"/>
        <v>9</v>
      </c>
      <c r="I18" s="31">
        <f>4/20*5</f>
        <v>1</v>
      </c>
      <c r="J18" s="27">
        <f t="shared" ref="J18" si="77">I18*$B18</f>
        <v>6</v>
      </c>
      <c r="K18" s="26">
        <f>5/20*5</f>
        <v>1.25</v>
      </c>
      <c r="L18" s="27">
        <f t="shared" ref="L18" si="78">K18*$B18</f>
        <v>7.5</v>
      </c>
      <c r="M18" s="26">
        <f>3/20*5</f>
        <v>0.75</v>
      </c>
      <c r="N18" s="27">
        <f t="shared" ref="N18" si="79">M18*$B18</f>
        <v>4.5</v>
      </c>
      <c r="O18" s="26">
        <f>4/20*5</f>
        <v>1</v>
      </c>
      <c r="P18" s="27">
        <f t="shared" ref="P18:P19" si="80">O18*$B18</f>
        <v>6</v>
      </c>
      <c r="Q18" s="26">
        <f>1/20*5</f>
        <v>0.25</v>
      </c>
      <c r="R18" s="27">
        <f t="shared" ref="R18" si="81">Q18*$B18</f>
        <v>1.5</v>
      </c>
      <c r="S18" s="26">
        <f>3/20*5</f>
        <v>0.75</v>
      </c>
      <c r="T18" s="27">
        <f t="shared" ref="T18" si="82">S18*$B18</f>
        <v>4.5</v>
      </c>
      <c r="U18" s="26">
        <f>12/20*5</f>
        <v>3</v>
      </c>
      <c r="V18" s="27">
        <f t="shared" ref="V18" si="83">U18*$B18</f>
        <v>18</v>
      </c>
      <c r="W18" s="26">
        <f>3/20*5</f>
        <v>0.75</v>
      </c>
      <c r="X18" s="27">
        <f t="shared" ref="X18" si="84">W18*$B18</f>
        <v>4.5</v>
      </c>
      <c r="Y18" s="26">
        <f>11/20*5</f>
        <v>2.75</v>
      </c>
      <c r="Z18" s="27">
        <f t="shared" ref="Z18" si="85">Y18*$B18</f>
        <v>16.5</v>
      </c>
      <c r="AA18" s="26">
        <f>1/20*5</f>
        <v>0.25</v>
      </c>
      <c r="AB18" s="27">
        <f t="shared" ref="AB18" si="86">AA18*$B18</f>
        <v>1.5</v>
      </c>
      <c r="AC18" s="26">
        <f>1/20*5</f>
        <v>0.25</v>
      </c>
      <c r="AD18" s="27">
        <f t="shared" ref="AD18" si="87">AC18*$B18</f>
        <v>1.5</v>
      </c>
      <c r="AE18" s="26">
        <f>3/20*5</f>
        <v>0.75</v>
      </c>
      <c r="AF18" s="27">
        <f t="shared" ref="AF18" si="88">AE18*$B18</f>
        <v>4.5</v>
      </c>
      <c r="AG18" s="26">
        <f>1/20*5</f>
        <v>0.25</v>
      </c>
      <c r="AH18" s="27">
        <f t="shared" ref="AH18" si="89">AG18*$B18</f>
        <v>1.5</v>
      </c>
      <c r="AI18" s="26">
        <f>3/20*5</f>
        <v>0.75</v>
      </c>
      <c r="AJ18" s="27">
        <f t="shared" ref="AJ18" si="90">AI18*$B18</f>
        <v>4.5</v>
      </c>
      <c r="AK18" s="26">
        <f>3/20*5</f>
        <v>0.75</v>
      </c>
      <c r="AL18" s="27">
        <f t="shared" ref="AL18" si="91">AK18*$B18</f>
        <v>4.5</v>
      </c>
    </row>
    <row r="19" spans="1:43" x14ac:dyDescent="0.45">
      <c r="A19" s="11" t="s">
        <v>29</v>
      </c>
      <c r="B19" s="11">
        <v>7</v>
      </c>
      <c r="C19" s="1">
        <v>0</v>
      </c>
      <c r="D19" s="19">
        <v>5</v>
      </c>
      <c r="E19" s="21">
        <f t="shared" si="0"/>
        <v>35</v>
      </c>
      <c r="G19" s="26">
        <f>(G31-$E$31)/($D$31-$E$31)*5</f>
        <v>5</v>
      </c>
      <c r="H19" s="27">
        <f t="shared" ref="H19:J19" si="92">G19*$B19</f>
        <v>35</v>
      </c>
      <c r="I19" s="26">
        <f>(I31-$E$31)/($D$31-$E$31)*5</f>
        <v>5</v>
      </c>
      <c r="J19" s="27">
        <f t="shared" si="92"/>
        <v>35</v>
      </c>
      <c r="K19" s="26">
        <f>(K31-$E$31)/($D$31-$E$31)*5</f>
        <v>4.8275862068965516</v>
      </c>
      <c r="L19" s="27">
        <f t="shared" ref="L19" si="93">K19*$B19</f>
        <v>33.793103448275858</v>
      </c>
      <c r="M19" s="26">
        <f>(M31-$E$31)/($D$31-$E$31)*5</f>
        <v>5</v>
      </c>
      <c r="N19" s="27">
        <f t="shared" ref="N19" si="94">M19*$B19</f>
        <v>35</v>
      </c>
      <c r="O19" s="26">
        <f>(O31-$E$31)/($D$31-$E$31)*5</f>
        <v>4.4827586206896548</v>
      </c>
      <c r="P19" s="27">
        <f t="shared" si="80"/>
        <v>31.379310344827584</v>
      </c>
      <c r="Q19" s="26">
        <f>(Q31-$E$31)/($D$31-$E$31)*5</f>
        <v>3.9655172413793105</v>
      </c>
      <c r="R19" s="27">
        <f t="shared" ref="R19" si="95">Q19*$B19</f>
        <v>27.758620689655174</v>
      </c>
      <c r="S19" s="26">
        <f>(S31-$E$31)/($D$31-$E$31)*5</f>
        <v>0</v>
      </c>
      <c r="T19" s="27">
        <f t="shared" ref="T19" si="96">S19*$B19</f>
        <v>0</v>
      </c>
      <c r="U19" s="26">
        <f>(U31-$E$31)/($D$31-$E$31)*5</f>
        <v>4.6551724137931032</v>
      </c>
      <c r="V19" s="27">
        <f t="shared" ref="V19" si="97">U19*$B19</f>
        <v>32.586206896551722</v>
      </c>
      <c r="W19" s="26">
        <f>(W31-$E$31)/($D$31-$E$31)*5</f>
        <v>4.6551724137931032</v>
      </c>
      <c r="X19" s="27">
        <f t="shared" ref="X19" si="98">W19*$B19</f>
        <v>32.586206896551722</v>
      </c>
      <c r="Y19" s="26">
        <f>(Y31-$E$31)/($D$31-$E$31)*5</f>
        <v>3.9655172413793105</v>
      </c>
      <c r="Z19" s="27">
        <f t="shared" ref="Z19" si="99">Y19*$B19</f>
        <v>27.758620689655174</v>
      </c>
      <c r="AA19" s="26">
        <f>(AA31-$E$31)/($D$31-$E$31)*5</f>
        <v>3.103448275862069</v>
      </c>
      <c r="AB19" s="27">
        <f t="shared" ref="AB19" si="100">AA19*$B19</f>
        <v>21.724137931034484</v>
      </c>
      <c r="AC19" s="26">
        <f>(AC31-$E$31)/($D$31-$E$31)*5</f>
        <v>2.0689655172413794</v>
      </c>
      <c r="AD19" s="27">
        <f t="shared" ref="AD19" si="101">AC19*$B19</f>
        <v>14.482758620689657</v>
      </c>
      <c r="AE19" s="26">
        <f>(AE31-$E$31)/($D$31-$E$31)*5</f>
        <v>4.3103448275862064</v>
      </c>
      <c r="AF19" s="27">
        <f t="shared" ref="AF19" si="102">AE19*$B19</f>
        <v>30.172413793103445</v>
      </c>
      <c r="AG19" s="26">
        <f>(AG31-$E$31)/($D$31-$E$31)*5</f>
        <v>4.3103448275862064</v>
      </c>
      <c r="AH19" s="27">
        <f t="shared" ref="AH19" si="103">AG19*$B19</f>
        <v>30.172413793103445</v>
      </c>
      <c r="AI19" s="26">
        <f>(AI31-$E$31)/($D$31-$E$31)*5</f>
        <v>3.7931034482758621</v>
      </c>
      <c r="AJ19" s="27">
        <f t="shared" ref="AJ19" si="104">AI19*$B19</f>
        <v>26.551724137931036</v>
      </c>
      <c r="AK19" s="26">
        <f>(AK31-$E$31)/($D$31-$E$31)*5</f>
        <v>4.8275862068965516</v>
      </c>
      <c r="AL19" s="27">
        <f t="shared" ref="AL19" si="105">AK19*$B19</f>
        <v>33.793103448275858</v>
      </c>
    </row>
    <row r="20" spans="1:43" x14ac:dyDescent="0.45">
      <c r="A20" s="11" t="s">
        <v>30</v>
      </c>
      <c r="B20" s="11">
        <v>8</v>
      </c>
      <c r="C20" s="1">
        <v>0</v>
      </c>
      <c r="D20" s="19">
        <v>5</v>
      </c>
      <c r="E20" s="21">
        <f t="shared" si="0"/>
        <v>40</v>
      </c>
      <c r="G20" s="26">
        <f>(G32-$E$32)/($D$32-$E$32)*5</f>
        <v>5</v>
      </c>
      <c r="H20" s="27">
        <f t="shared" ref="H20:J20" si="106">G20*$B20</f>
        <v>40</v>
      </c>
      <c r="I20" s="26">
        <f>(I32-$E$32)/($D$32-$E$32)*5</f>
        <v>5</v>
      </c>
      <c r="J20" s="27">
        <f t="shared" si="106"/>
        <v>40</v>
      </c>
      <c r="K20" s="26">
        <f>(K32-$E$32)/($D$32-$E$32)*5</f>
        <v>2.857078570785708</v>
      </c>
      <c r="L20" s="27">
        <f t="shared" ref="L20" si="107">K20*$B20</f>
        <v>22.856628566285664</v>
      </c>
      <c r="M20" s="26">
        <f>(M32-$E$32)/($D$32-$E$32)*5</f>
        <v>5</v>
      </c>
      <c r="N20" s="27">
        <f t="shared" ref="N20" si="108">M20*$B20</f>
        <v>40</v>
      </c>
      <c r="O20" s="26">
        <f>(O32-$E$32)/($D$32-$E$32)*5</f>
        <v>5</v>
      </c>
      <c r="P20" s="27">
        <f t="shared" ref="P20" si="109">O20*$B20</f>
        <v>40</v>
      </c>
      <c r="Q20" s="26">
        <f>(Q32-$E$32)/($D$32-$E$32)*5</f>
        <v>5</v>
      </c>
      <c r="R20" s="27">
        <f t="shared" ref="R20" si="110">Q20*$B20</f>
        <v>40</v>
      </c>
      <c r="S20" s="26">
        <f>(S32-$E$32)/($D$32-$E$32)*5</f>
        <v>5</v>
      </c>
      <c r="T20" s="27">
        <f t="shared" ref="T20" si="111">S20*$B20</f>
        <v>40</v>
      </c>
      <c r="U20" s="26">
        <f>(U32-$E$32)/($D$32-$E$32)*5</f>
        <v>3.4999849998499988</v>
      </c>
      <c r="V20" s="27">
        <f t="shared" ref="V20" si="112">U20*$B20</f>
        <v>27.99987999879999</v>
      </c>
      <c r="W20" s="26">
        <f>(W32-$E$32)/($D$32-$E$32)*5</f>
        <v>3.4999849998499988</v>
      </c>
      <c r="X20" s="27">
        <f t="shared" ref="X20" si="113">W20*$B20</f>
        <v>27.99987999879999</v>
      </c>
      <c r="Y20" s="26">
        <f>(Y32-$E$32)/($D$32-$E$32)*5</f>
        <v>0</v>
      </c>
      <c r="Z20" s="27">
        <f t="shared" ref="Z20" si="114">Y20*$B20</f>
        <v>0</v>
      </c>
      <c r="AA20" s="26">
        <f>(AA32-$E$32)/($D$32-$E$32)*5</f>
        <v>5</v>
      </c>
      <c r="AB20" s="27">
        <f t="shared" ref="AB20" si="115">AA20*$B20</f>
        <v>40</v>
      </c>
      <c r="AC20" s="26">
        <f>(AC32-$E$32)/($D$32-$E$32)*5</f>
        <v>0.24390243902439102</v>
      </c>
      <c r="AD20" s="27">
        <f t="shared" ref="AD20" si="116">AC20*$B20</f>
        <v>1.9512195121951281</v>
      </c>
      <c r="AE20" s="26">
        <f>(AE32-$E$32)/($D$32-$E$32)*5</f>
        <v>3.7999879998799995</v>
      </c>
      <c r="AF20" s="27">
        <f t="shared" ref="AF20" si="117">AE20*$B20</f>
        <v>30.399903999039996</v>
      </c>
      <c r="AG20" s="26">
        <f>(AG32-$E$32)/($D$32-$E$32)*5</f>
        <v>5</v>
      </c>
      <c r="AH20" s="27">
        <f t="shared" ref="AH20" si="118">AG20*$B20</f>
        <v>40</v>
      </c>
      <c r="AI20" s="26">
        <f>(AI32-$E$32)/($D$32-$E$32)*5</f>
        <v>0.62490624906249104</v>
      </c>
      <c r="AJ20" s="27">
        <f t="shared" ref="AJ20" si="119">AI20*$B20</f>
        <v>4.9992499924999283</v>
      </c>
      <c r="AK20" s="26">
        <f>(AK32-$E$32)/($D$32-$E$32)*5</f>
        <v>4.1665916659166582</v>
      </c>
      <c r="AL20" s="27">
        <f t="shared" ref="AL20" si="120">AK20*$B20</f>
        <v>33.332733327333266</v>
      </c>
    </row>
    <row r="21" spans="1:43" x14ac:dyDescent="0.45">
      <c r="A21" s="13" t="s">
        <v>69</v>
      </c>
      <c r="B21" s="13">
        <v>10</v>
      </c>
      <c r="C21" s="14">
        <v>0</v>
      </c>
      <c r="D21" s="20">
        <v>5</v>
      </c>
      <c r="E21" s="22">
        <f t="shared" si="0"/>
        <v>50</v>
      </c>
      <c r="G21" s="28">
        <f>-(G$33-$C$33)/($C$33-$B$33)*5</f>
        <v>5</v>
      </c>
      <c r="H21" s="29">
        <f t="shared" ref="H21:J21" si="121">G21*$B21</f>
        <v>50</v>
      </c>
      <c r="I21" s="28">
        <f>-(I$33-$C$33)/($C$33-$B$33)*5</f>
        <v>5</v>
      </c>
      <c r="J21" s="29">
        <f t="shared" si="121"/>
        <v>50</v>
      </c>
      <c r="K21" s="28">
        <f>-(K$33-$C$33)/($C$33-$B$33)*5</f>
        <v>5</v>
      </c>
      <c r="L21" s="29">
        <f t="shared" ref="L21" si="122">K21*$B21</f>
        <v>50</v>
      </c>
      <c r="M21" s="28">
        <f>-(M$33-$C$33)/($C$33-$B$33)*5</f>
        <v>5</v>
      </c>
      <c r="N21" s="29">
        <f t="shared" ref="N21" si="123">M21*$B21</f>
        <v>50</v>
      </c>
      <c r="O21" s="28">
        <f>-(O$33-$C$33)/($C$33-$B$33)*5</f>
        <v>4.4786005434782608</v>
      </c>
      <c r="P21" s="29">
        <f t="shared" ref="P21" si="124">O21*$B21</f>
        <v>44.786005434782609</v>
      </c>
      <c r="Q21" s="28">
        <f>-(Q$33-$C$33)/($C$33-$B$33)*5</f>
        <v>3.9656929347826093</v>
      </c>
      <c r="R21" s="29">
        <f t="shared" ref="R21" si="125">Q21*$B21</f>
        <v>39.656929347826093</v>
      </c>
      <c r="S21" s="28">
        <f>-(S$33-$C$33)/($C$33-$B$33)*5</f>
        <v>0</v>
      </c>
      <c r="T21" s="29">
        <f t="shared" ref="T21" si="126">S21*$B21</f>
        <v>0</v>
      </c>
      <c r="U21" s="28">
        <f>-(U$33-$C$33)/($C$33-$B$33)*5</f>
        <v>5</v>
      </c>
      <c r="V21" s="29">
        <f t="shared" ref="V21" si="127">U21*$B21</f>
        <v>50</v>
      </c>
      <c r="W21" s="28">
        <f>-(W$33-$C$33)/($C$33-$B$33)*5</f>
        <v>5</v>
      </c>
      <c r="X21" s="29">
        <f t="shared" ref="X21" si="128">W21*$B21</f>
        <v>50</v>
      </c>
      <c r="Y21" s="28">
        <f>-(Y$33-$C$33)/($C$33-$B$33)*5</f>
        <v>4.6569293478260869</v>
      </c>
      <c r="Z21" s="29">
        <f t="shared" ref="Z21" si="129">Y21*$B21</f>
        <v>46.569293478260867</v>
      </c>
      <c r="AA21" s="28">
        <f>-(AA$33-$C$33)/($C$33-$B$33)*5</f>
        <v>3.0859374999999996</v>
      </c>
      <c r="AB21" s="29">
        <f t="shared" ref="AB21" si="130">AA21*$B21</f>
        <v>30.859374999999996</v>
      </c>
      <c r="AC21" s="28">
        <f>-(AC$33-$C$33)/($C$33-$B$33)*5</f>
        <v>4.2917798913043477</v>
      </c>
      <c r="AD21" s="29">
        <f t="shared" ref="AD21" si="131">AC21*$B21</f>
        <v>42.917798913043477</v>
      </c>
      <c r="AE21" s="28">
        <f>-(AE$33-$C$33)/($C$33-$B$33)*5</f>
        <v>4.6518342391304346</v>
      </c>
      <c r="AF21" s="29">
        <f t="shared" ref="AF21" si="132">AE21*$B21</f>
        <v>46.518342391304344</v>
      </c>
      <c r="AG21" s="28">
        <f>-(AG$33-$C$33)/($C$33-$B$33)*5</f>
        <v>4.3104619565217392</v>
      </c>
      <c r="AH21" s="29">
        <f t="shared" ref="AH21" si="133">AG21*$B21</f>
        <v>43.104619565217391</v>
      </c>
      <c r="AI21" s="28">
        <f>-(AI$33-$C$33)/($C$33-$B$33)*5</f>
        <v>5</v>
      </c>
      <c r="AJ21" s="29">
        <f t="shared" ref="AJ21" si="134">AI21*$B21</f>
        <v>50</v>
      </c>
      <c r="AK21" s="28">
        <f>-(AK$33-$C$33)/($C$33-$B$33)*5</f>
        <v>5</v>
      </c>
      <c r="AL21" s="29">
        <f t="shared" ref="AL21" si="135">AK21*$B21</f>
        <v>50</v>
      </c>
    </row>
    <row r="22" spans="1:43" x14ac:dyDescent="0.45">
      <c r="E22" s="1">
        <f>SUM(E11:E21)</f>
        <v>275</v>
      </c>
      <c r="H22" s="32">
        <f>SUM(H11:H21)</f>
        <v>237</v>
      </c>
      <c r="J22" s="32">
        <f>SUM(J11:J21)</f>
        <v>233</v>
      </c>
      <c r="L22" s="32">
        <f>SUM(L11:L21)</f>
        <v>222.9497320145615</v>
      </c>
      <c r="N22" s="32">
        <f>SUM(N11:N21)</f>
        <v>226.19696969696969</v>
      </c>
      <c r="P22" s="32">
        <f>SUM(P11:P21)</f>
        <v>212.11986123415568</v>
      </c>
      <c r="R22" s="32">
        <f>SUM(R11:R21)</f>
        <v>196.21100458293583</v>
      </c>
      <c r="T22" s="32">
        <f>SUM(T11:T21)</f>
        <v>135.21212121212119</v>
      </c>
      <c r="V22" s="32">
        <f>SUM(V11:V21)</f>
        <v>217.29820810747293</v>
      </c>
      <c r="X22" s="32">
        <f>SUM(X11:X21)</f>
        <v>201.13154144080627</v>
      </c>
      <c r="Z22" s="32">
        <f>SUM(Z11:Z21)</f>
        <v>196.57791416791605</v>
      </c>
      <c r="AB22" s="32">
        <f>SUM(AB11:AB21)</f>
        <v>143.24260384012538</v>
      </c>
      <c r="AD22" s="32">
        <f>SUM(AD11:AD21)</f>
        <v>107.85177704592826</v>
      </c>
      <c r="AF22" s="32">
        <f>SUM(AF11:AF21)</f>
        <v>200.71187230465992</v>
      </c>
      <c r="AH22" s="32">
        <f>SUM(AH11:AH21)</f>
        <v>220.68612426741174</v>
      </c>
      <c r="AJ22" s="32">
        <f>SUM(AJ11:AJ21)</f>
        <v>151.81612564558247</v>
      </c>
      <c r="AL22" s="32">
        <f>SUM(AL11:AL21)</f>
        <v>208.40613980591215</v>
      </c>
      <c r="AN22" t="s">
        <v>63</v>
      </c>
      <c r="AO22" s="32">
        <f>MAX(G22:AL22)</f>
        <v>237</v>
      </c>
      <c r="AP22" t="s">
        <v>64</v>
      </c>
      <c r="AQ22">
        <f>MATCH(AO22,G22:AL22,0)</f>
        <v>2</v>
      </c>
    </row>
    <row r="26" spans="1:43" ht="28.5" x14ac:dyDescent="0.45">
      <c r="A26" s="33" t="s">
        <v>56</v>
      </c>
      <c r="B26" s="11">
        <v>-0.1</v>
      </c>
      <c r="C26" s="1">
        <v>0</v>
      </c>
      <c r="D26" s="19">
        <v>5</v>
      </c>
      <c r="E26" s="21">
        <f>D26*B26</f>
        <v>-0.5</v>
      </c>
      <c r="G26" s="27">
        <v>11.6</v>
      </c>
      <c r="H26" s="27">
        <f>G26*$B26</f>
        <v>-1.1599999999999999</v>
      </c>
      <c r="I26" s="27">
        <v>11.6</v>
      </c>
      <c r="J26" s="27">
        <f>I26*$B26</f>
        <v>-1.1599999999999999</v>
      </c>
      <c r="K26" s="26">
        <v>9.4</v>
      </c>
      <c r="L26" s="27">
        <f>K26*$B26</f>
        <v>-0.94000000000000006</v>
      </c>
      <c r="M26" s="26">
        <v>29</v>
      </c>
      <c r="N26" s="27">
        <f>M26*$B26</f>
        <v>-2.9000000000000004</v>
      </c>
      <c r="O26" s="26">
        <v>32.799999999999997</v>
      </c>
      <c r="P26" s="27">
        <f>O26*$B26</f>
        <v>-3.28</v>
      </c>
      <c r="Q26" s="26">
        <v>21.2</v>
      </c>
      <c r="R26" s="27">
        <f>Q26*$B26</f>
        <v>-2.12</v>
      </c>
      <c r="S26" s="26">
        <v>32.200000000000003</v>
      </c>
      <c r="T26" s="27">
        <f>S26*$B26</f>
        <v>-3.2200000000000006</v>
      </c>
      <c r="U26" s="26">
        <v>27.8</v>
      </c>
      <c r="V26" s="27">
        <f>U26*$B26</f>
        <v>-2.7800000000000002</v>
      </c>
      <c r="W26" s="26">
        <v>27.8</v>
      </c>
      <c r="X26" s="27">
        <f>W26*$B26</f>
        <v>-2.7800000000000002</v>
      </c>
      <c r="Y26" s="26">
        <v>10.4</v>
      </c>
      <c r="Z26" s="27">
        <f>Y26*$B26</f>
        <v>-1.04</v>
      </c>
      <c r="AA26" s="26">
        <v>49.6</v>
      </c>
      <c r="AB26" s="27">
        <f>AA26*$B26</f>
        <v>-4.9600000000000009</v>
      </c>
      <c r="AC26" s="26">
        <v>53.4</v>
      </c>
      <c r="AD26" s="27">
        <f>AC26*$B26</f>
        <v>-5.34</v>
      </c>
      <c r="AE26" s="26">
        <v>35</v>
      </c>
      <c r="AF26" s="27">
        <f>AE26*$B26</f>
        <v>-3.5</v>
      </c>
      <c r="AG26" s="26">
        <v>25.4</v>
      </c>
      <c r="AH26" s="27">
        <f>AG26*$B26</f>
        <v>-2.54</v>
      </c>
      <c r="AI26" s="26">
        <v>36.799999999999997</v>
      </c>
      <c r="AJ26" s="27">
        <f>AI26*$B26</f>
        <v>-3.6799999999999997</v>
      </c>
      <c r="AK26" s="26">
        <v>31.2</v>
      </c>
      <c r="AL26" s="27">
        <f>AK26*$B26</f>
        <v>-3.12</v>
      </c>
    </row>
    <row r="27" spans="1:43" ht="28.5" x14ac:dyDescent="0.45">
      <c r="A27" s="1" t="s">
        <v>53</v>
      </c>
      <c r="B27" s="1" t="s">
        <v>54</v>
      </c>
      <c r="C27" s="1" t="s">
        <v>55</v>
      </c>
      <c r="D27" s="1" t="s">
        <v>61</v>
      </c>
      <c r="E27" s="1" t="s">
        <v>62</v>
      </c>
    </row>
    <row r="28" spans="1:43" x14ac:dyDescent="0.45">
      <c r="B28" s="31">
        <f>MIN(G26,I26,K26,M26,O26,Q26,S26,U26,W26,Y26,AA26,AC26,AE26,AG26,AI26,AK26)</f>
        <v>9.4</v>
      </c>
      <c r="C28" s="31">
        <f>MAX(G26,I26,K26,M26,O26,Q26,S26,U26,W26,Y26,AA26,AC26,AE26,AG26,AI26,AK26)</f>
        <v>53.4</v>
      </c>
      <c r="D28" s="31"/>
      <c r="E28" s="31"/>
    </row>
    <row r="29" spans="1:43" x14ac:dyDescent="0.45">
      <c r="B29" s="31"/>
      <c r="C29" s="31"/>
      <c r="D29" s="31"/>
      <c r="E29" s="31"/>
    </row>
    <row r="30" spans="1:43" x14ac:dyDescent="0.45">
      <c r="B30" s="31"/>
      <c r="C30" s="31"/>
      <c r="D30" s="31"/>
      <c r="E30" s="31"/>
    </row>
    <row r="31" spans="1:43" x14ac:dyDescent="0.45">
      <c r="A31" s="1" t="s">
        <v>58</v>
      </c>
      <c r="B31" s="37"/>
      <c r="C31" s="37"/>
      <c r="D31" s="37">
        <f>MAX(G31,I31,K31,M31,O31,Q31,S31,U31,W31,Y31,AA31,AC31,AE31,AG31,AI31,AK31)</f>
        <v>1</v>
      </c>
      <c r="E31" s="37">
        <f>MIN(G31,I31,K31,M31,O31,Q31,S31,U31,W31,Y31,AA31,AC31,AE31,AG31,AI31,AK31)</f>
        <v>0.97099999999999997</v>
      </c>
      <c r="F31" s="37"/>
      <c r="G31" s="36">
        <v>1</v>
      </c>
      <c r="H31" s="38">
        <f>G31*$B19</f>
        <v>7</v>
      </c>
      <c r="I31" s="36">
        <v>1</v>
      </c>
      <c r="J31" s="38">
        <f>I31*$B19</f>
        <v>7</v>
      </c>
      <c r="K31" s="36">
        <v>0.999</v>
      </c>
      <c r="L31" s="38">
        <f>K31*$B19</f>
        <v>6.9930000000000003</v>
      </c>
      <c r="M31" s="36">
        <v>1</v>
      </c>
      <c r="N31" s="38">
        <f>M31*$B19</f>
        <v>7</v>
      </c>
      <c r="O31" s="36">
        <v>0.997</v>
      </c>
      <c r="P31" s="38">
        <f>O31*$B19</f>
        <v>6.9790000000000001</v>
      </c>
      <c r="Q31" s="36">
        <v>0.99399999999999999</v>
      </c>
      <c r="R31" s="38">
        <f>Q31*$B19</f>
        <v>6.9580000000000002</v>
      </c>
      <c r="S31" s="36">
        <v>0.97099999999999997</v>
      </c>
      <c r="T31" s="38">
        <f>S31*$B19</f>
        <v>6.7969999999999997</v>
      </c>
      <c r="U31" s="36">
        <v>0.998</v>
      </c>
      <c r="V31" s="38">
        <f>U31*$B19</f>
        <v>6.9859999999999998</v>
      </c>
      <c r="W31" s="36">
        <v>0.998</v>
      </c>
      <c r="X31" s="38">
        <f>W31*$B19</f>
        <v>6.9859999999999998</v>
      </c>
      <c r="Y31" s="36">
        <v>0.99399999999999999</v>
      </c>
      <c r="Z31" s="38">
        <f>Y31*$B19</f>
        <v>6.9580000000000002</v>
      </c>
      <c r="AA31" s="36">
        <v>0.98899999999999999</v>
      </c>
      <c r="AB31" s="38">
        <f>AA31*$B19</f>
        <v>6.923</v>
      </c>
      <c r="AC31" s="36">
        <v>0.98299999999999998</v>
      </c>
      <c r="AD31" s="38">
        <f>AC31*$B19</f>
        <v>6.8810000000000002</v>
      </c>
      <c r="AE31" s="36">
        <v>0.996</v>
      </c>
      <c r="AF31" s="38">
        <f>AE31*$B19</f>
        <v>6.9719999999999995</v>
      </c>
      <c r="AG31" s="36">
        <v>0.996</v>
      </c>
      <c r="AH31" s="38">
        <f>AG31*$B19</f>
        <v>6.9719999999999995</v>
      </c>
      <c r="AI31" s="36">
        <v>0.99299999999999999</v>
      </c>
      <c r="AJ31" s="38">
        <f>AI31*$B19</f>
        <v>6.9509999999999996</v>
      </c>
      <c r="AK31" s="36">
        <v>0.999</v>
      </c>
      <c r="AL31" s="38">
        <f>AK31*$B19</f>
        <v>6.9930000000000003</v>
      </c>
    </row>
    <row r="32" spans="1:43" x14ac:dyDescent="0.45">
      <c r="A32" s="1" t="s">
        <v>59</v>
      </c>
      <c r="B32" s="37"/>
      <c r="C32" s="37"/>
      <c r="D32" s="37">
        <f>MAX(G32,I32,K32,M32,O32,Q32,S32,U32,W32,Y32,AA32,AC32,AE32,AG32,AI32,AK32)</f>
        <v>1</v>
      </c>
      <c r="E32" s="37">
        <f>MIN(G32,I32,K32,M32,O32,Q32,S32,U32,W32,Y32,AA32,AC32,AE32,AG32,AI32,AK32)</f>
        <v>0.66666999999999998</v>
      </c>
      <c r="F32" s="37"/>
      <c r="G32" s="37">
        <v>1</v>
      </c>
      <c r="H32" s="38">
        <f t="shared" ref="H32:J33" si="136">G32*$B20</f>
        <v>8</v>
      </c>
      <c r="I32" s="37">
        <v>1</v>
      </c>
      <c r="J32" s="38">
        <f t="shared" si="136"/>
        <v>8</v>
      </c>
      <c r="K32" s="36">
        <v>0.85714000000000001</v>
      </c>
      <c r="L32" s="38">
        <f t="shared" ref="L32" si="137">K32*$B20</f>
        <v>6.8571200000000001</v>
      </c>
      <c r="M32" s="36">
        <v>1</v>
      </c>
      <c r="N32" s="38">
        <f t="shared" ref="N32" si="138">M32*$B20</f>
        <v>8</v>
      </c>
      <c r="O32" s="36">
        <v>1</v>
      </c>
      <c r="P32" s="38">
        <f t="shared" ref="P32" si="139">O32*$B20</f>
        <v>8</v>
      </c>
      <c r="Q32" s="36">
        <v>1</v>
      </c>
      <c r="R32" s="38">
        <f t="shared" ref="R32" si="140">Q32*$B20</f>
        <v>8</v>
      </c>
      <c r="S32" s="36">
        <v>1</v>
      </c>
      <c r="T32" s="38">
        <f t="shared" ref="T32" si="141">S32*$B20</f>
        <v>8</v>
      </c>
      <c r="U32" s="36">
        <v>0.9</v>
      </c>
      <c r="V32" s="38">
        <f t="shared" ref="V32" si="142">U32*$B20</f>
        <v>7.2</v>
      </c>
      <c r="W32" s="36">
        <v>0.9</v>
      </c>
      <c r="X32" s="38">
        <f t="shared" ref="X32" si="143">W32*$B20</f>
        <v>7.2</v>
      </c>
      <c r="Y32" s="36">
        <v>0.66666999999999998</v>
      </c>
      <c r="Z32" s="38">
        <f t="shared" ref="Z32" si="144">Y32*$B20</f>
        <v>5.3333599999999999</v>
      </c>
      <c r="AA32" s="36">
        <v>1</v>
      </c>
      <c r="AB32" s="38">
        <f t="shared" ref="AB32" si="145">AA32*$B20</f>
        <v>8</v>
      </c>
      <c r="AC32" s="36">
        <v>0.68293000000000004</v>
      </c>
      <c r="AD32" s="38">
        <f t="shared" ref="AD32" si="146">AC32*$B20</f>
        <v>5.4634400000000003</v>
      </c>
      <c r="AE32" s="36">
        <v>0.92</v>
      </c>
      <c r="AF32" s="38">
        <f t="shared" ref="AF32" si="147">AE32*$B20</f>
        <v>7.36</v>
      </c>
      <c r="AG32" s="36">
        <v>1</v>
      </c>
      <c r="AH32" s="38">
        <f t="shared" ref="AH32" si="148">AG32*$B20</f>
        <v>8</v>
      </c>
      <c r="AI32" s="36">
        <v>0.70833000000000002</v>
      </c>
      <c r="AJ32" s="38">
        <f t="shared" ref="AJ32" si="149">AI32*$B20</f>
        <v>5.6666400000000001</v>
      </c>
      <c r="AK32" s="36">
        <v>0.94443999999999995</v>
      </c>
      <c r="AL32" s="38">
        <f t="shared" ref="AL32" si="150">AK32*$B20</f>
        <v>7.5555199999999996</v>
      </c>
    </row>
    <row r="33" spans="1:38" x14ac:dyDescent="0.45">
      <c r="A33" s="1" t="s">
        <v>60</v>
      </c>
      <c r="B33" s="37">
        <f>MIN(G33,I33,K33,M33,O33,Q33,S33,U33,W33,Y33,AA33,AC33,AE33,AG33,AI33,AK33)</f>
        <v>0</v>
      </c>
      <c r="C33" s="37">
        <f>MAX(G33,I33,K33,M33,O33,Q33,S33,U33,W33,Y33,AA33,AC33,AE33,AG33,AI33,AK33)</f>
        <v>2.9440000000000001E-2</v>
      </c>
      <c r="D33" s="37"/>
      <c r="E33" s="37"/>
      <c r="F33" s="37"/>
      <c r="G33" s="37">
        <v>0</v>
      </c>
      <c r="H33" s="38">
        <f t="shared" si="136"/>
        <v>0</v>
      </c>
      <c r="I33" s="37">
        <v>0</v>
      </c>
      <c r="J33" s="38">
        <f t="shared" si="136"/>
        <v>0</v>
      </c>
      <c r="K33" s="36">
        <v>0</v>
      </c>
      <c r="L33" s="38">
        <f t="shared" ref="L33" si="151">K33*$B21</f>
        <v>0</v>
      </c>
      <c r="M33" s="36">
        <v>0</v>
      </c>
      <c r="N33" s="38">
        <f t="shared" ref="N33" si="152">M33*$B21</f>
        <v>0</v>
      </c>
      <c r="O33" s="36">
        <v>3.0699999999999998E-3</v>
      </c>
      <c r="P33" s="38">
        <f t="shared" ref="P33" si="153">O33*$B21</f>
        <v>3.0699999999999998E-2</v>
      </c>
      <c r="Q33" s="36">
        <v>6.0899999999999999E-3</v>
      </c>
      <c r="R33" s="38">
        <f t="shared" ref="R33" si="154">Q33*$B21</f>
        <v>6.0899999999999996E-2</v>
      </c>
      <c r="S33" s="36">
        <v>2.9440000000000001E-2</v>
      </c>
      <c r="T33" s="38">
        <f t="shared" ref="T33" si="155">S33*$B21</f>
        <v>0.2944</v>
      </c>
      <c r="U33" s="36">
        <v>0</v>
      </c>
      <c r="V33" s="38">
        <f t="shared" ref="V33" si="156">U33*$B21</f>
        <v>0</v>
      </c>
      <c r="W33" s="36">
        <v>0</v>
      </c>
      <c r="X33" s="38">
        <f t="shared" ref="X33" si="157">W33*$B21</f>
        <v>0</v>
      </c>
      <c r="Y33" s="36">
        <v>2.0200000000000001E-3</v>
      </c>
      <c r="Z33" s="38">
        <f t="shared" ref="Z33" si="158">Y33*$B21</f>
        <v>2.0200000000000003E-2</v>
      </c>
      <c r="AA33" s="36">
        <v>1.1270000000000001E-2</v>
      </c>
      <c r="AB33" s="38">
        <f t="shared" ref="AB33" si="159">AA33*$B21</f>
        <v>0.11270000000000001</v>
      </c>
      <c r="AC33" s="36">
        <v>4.1700000000000001E-3</v>
      </c>
      <c r="AD33" s="38">
        <f t="shared" ref="AD33" si="160">AC33*$B21</f>
        <v>4.1700000000000001E-2</v>
      </c>
      <c r="AE33" s="36">
        <v>2.0500000000000002E-3</v>
      </c>
      <c r="AF33" s="38">
        <f t="shared" ref="AF33" si="161">AE33*$B21</f>
        <v>2.0500000000000001E-2</v>
      </c>
      <c r="AG33" s="36">
        <v>4.0600000000000002E-3</v>
      </c>
      <c r="AH33" s="38">
        <f t="shared" ref="AH33" si="162">AG33*$B21</f>
        <v>4.0600000000000004E-2</v>
      </c>
      <c r="AI33" s="36">
        <v>0</v>
      </c>
      <c r="AJ33" s="38">
        <f t="shared" ref="AJ33" si="163">AI33*$B21</f>
        <v>0</v>
      </c>
      <c r="AK33" s="36">
        <v>0</v>
      </c>
      <c r="AL33" s="38">
        <f t="shared" ref="AL33" si="164">AK33*$B21</f>
        <v>0</v>
      </c>
    </row>
    <row r="34" spans="1:38" x14ac:dyDescent="0.45">
      <c r="B34" s="31"/>
      <c r="C34" s="31"/>
      <c r="D34" s="31"/>
      <c r="E34" s="31"/>
    </row>
    <row r="35" spans="1:38" x14ac:dyDescent="0.45">
      <c r="B35" s="31"/>
      <c r="C35" s="31"/>
      <c r="D35" s="31"/>
      <c r="E35" s="31"/>
    </row>
  </sheetData>
  <mergeCells count="16">
    <mergeCell ref="Q9:R9"/>
    <mergeCell ref="G9:H9"/>
    <mergeCell ref="I9:J9"/>
    <mergeCell ref="K9:L9"/>
    <mergeCell ref="M9:N9"/>
    <mergeCell ref="O9:P9"/>
    <mergeCell ref="AE9:AF9"/>
    <mergeCell ref="AG9:AH9"/>
    <mergeCell ref="AI9:AJ9"/>
    <mergeCell ref="AK9:AL9"/>
    <mergeCell ref="S9:T9"/>
    <mergeCell ref="U9:V9"/>
    <mergeCell ref="W9:X9"/>
    <mergeCell ref="Y9:Z9"/>
    <mergeCell ref="AA9:AB9"/>
    <mergeCell ref="AC9:A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Ieva Černytė</dc:creator>
  <cp:lastModifiedBy>Ieva Černytė</cp:lastModifiedBy>
  <dcterms:created xsi:type="dcterms:W3CDTF">2019-02-12T13:46:32Z</dcterms:created>
  <dcterms:modified xsi:type="dcterms:W3CDTF">2019-02-20T19:19:33Z</dcterms:modified>
</cp:coreProperties>
</file>