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OBI assays" sheetId="1" r:id="rId3"/>
    <sheet state="visible" name="IEDB assays" sheetId="2" r:id="rId4"/>
  </sheets>
  <definedNames/>
  <calcPr/>
</workbook>
</file>

<file path=xl/comments1.xml><?xml version="1.0" encoding="utf-8"?>
<comments xmlns="http://schemas.openxmlformats.org/spreadsheetml/2006/main">
  <authors>
    <author/>
  </authors>
  <commentList>
    <comment authorId="0" ref="C8">
      <text>
        <t xml:space="preserve">Is the 'definition source: OBI' necessary?
	-Irene Feng</t>
      </text>
    </comment>
    <comment authorId="0" ref="H11">
      <text>
        <t xml:space="preserve">achieves_planned_objective some 'biological feature identification objective'?
	-Irene Feng</t>
      </text>
    </comment>
    <comment authorId="0" ref="I11">
      <text>
        <t xml:space="preserve">has_specified_input some 'protein specimen'?
	-Irene Feng</t>
      </text>
    </comment>
    <comment authorId="0" ref="C23">
      <text>
        <t xml:space="preserve">Corrected grammer
	-Irene Feng</t>
      </text>
    </comment>
    <comment authorId="0" ref="M23">
      <text>
        <t xml:space="preserve">Code probably thinks any 'has part' means that it's a process.
	-Irene Feng</t>
      </text>
    </comment>
    <comment authorId="0" ref="I38">
      <text>
        <t xml:space="preserve">Is and ('has role' some 'evaluant role') supposed to be included?
	-Irene Feng</t>
      </text>
    </comment>
    <comment authorId="0" ref="B41">
      <text>
        <t xml:space="preserve">Is the space between intra and cellular supposed to be there?
	-Irene Feng</t>
      </text>
    </comment>
    <comment authorId="0" ref="I41">
      <text>
        <t xml:space="preserve">has_specified_input some 'cell' and ('has part' some 'cell membrane')?
	-Irene Feng</t>
      </text>
    </comment>
    <comment authorId="0" ref="L41">
      <text>
        <t xml:space="preserve">has_participant some 'microelectrode'?
	-Irene Feng</t>
      </text>
    </comment>
    <comment authorId="0" ref="J47">
      <text>
        <t xml:space="preserve">has_specified_output some 'measurement data item'?
	-Irene Feng</t>
      </text>
    </comment>
    <comment authorId="0" ref="I56">
      <text>
        <t xml:space="preserve">has_specified_input some 'protein extract'?
	-Irene Feng</t>
      </text>
    </comment>
    <comment authorId="0" ref="J56">
      <text>
        <t xml:space="preserve">has_specified_output some 'informational content entity' and ('is about' some 'protein expression and translation')?
	-Irene Feng</t>
      </text>
    </comment>
    <comment authorId="0" ref="L56">
      <text>
        <t xml:space="preserve">has_participant some 'mass spectrometer, gel electrophoresis, western blot, or protein microarray'?
	-Irene Feng</t>
      </text>
    </comment>
    <comment authorId="0" ref="I59">
      <text>
        <t xml:space="preserve">has_specified_input some 'chemical sample'?
	-Irene Feng</t>
      </text>
    </comment>
    <comment authorId="0" ref="J59">
      <text>
        <t xml:space="preserve">has_specified_output some ' measurement data item'?
	-Irene Feng</t>
      </text>
    </comment>
    <comment authorId="0" ref="I65">
      <text>
        <t xml:space="preserve">has_specified_input some 'blood specimen'?
	-Irene Feng</t>
      </text>
    </comment>
    <comment authorId="0" ref="C89">
      <text>
        <t xml:space="preserve">Corrected grammar
	-Irene Feng</t>
      </text>
    </comment>
    <comment authorId="0" ref="I104">
      <text>
        <t xml:space="preserve">has_specified_input some 'immune system'?
	-Irene Feng</t>
      </text>
    </comment>
    <comment authorId="0" ref="H119">
      <text>
        <t xml:space="preserve">achieves_planned_objective some 'analyte measurement objective'?
	-Irene Feng</t>
      </text>
    </comment>
    <comment authorId="0" ref="B131">
      <text>
        <t xml:space="preserve">Seems weird that 'Southern' in Southern blot analysis is capitalized but northern blot analysis isn't.
	-Irene Feng</t>
      </text>
    </comment>
    <comment authorId="0" ref="C131">
      <text>
        <t xml:space="preserve">Either add an 'and' before 'transferred' or a comma before immobilized
	-Irene Feng</t>
      </text>
    </comment>
    <comment authorId="0" ref="I137">
      <text>
        <t xml:space="preserve">has_specified_input some 'deoxyribonucleic acid' or 'ribonucleic acid'?
	-Irene Feng</t>
      </text>
    </comment>
    <comment authorId="0" ref="B140">
      <text>
        <t xml:space="preserve">Could use an input
	-Irene Feng</t>
      </text>
    </comment>
    <comment authorId="0" ref="B146">
      <text>
        <t xml:space="preserve">Could use an input and an output. Input is probably 'material entity' or 'specimen' that 'has part' something that blocks hemagglutination. Antibody maybe?
	-Irene Feng</t>
      </text>
    </comment>
    <comment authorId="0" ref="I152">
      <text>
        <t xml:space="preserve">has_specified_input some 'DNA molecule'?
	-Irene Feng</t>
      </text>
    </comment>
    <comment authorId="0" ref="C158">
      <text>
        <t xml:space="preserve">Fixed grammar
	-Irene Feng</t>
      </text>
    </comment>
    <comment authorId="0" ref="I158">
      <text>
        <t xml:space="preserve">has_specified_input some 'RNA extract'?
	-Irene Feng</t>
      </text>
    </comment>
    <comment authorId="0" ref="H161">
      <text>
        <t xml:space="preserve">achieves_planned_objective some 'biological feature identification objective'?
	-Irene Feng</t>
      </text>
    </comment>
    <comment authorId="0" ref="I161">
      <text>
        <t xml:space="preserve">has_specified_input some 'human subject'?
	-Irene Feng</t>
      </text>
    </comment>
    <comment authorId="0" ref="I167">
      <text>
        <t xml:space="preserve">has_specified_input some 'live cell' and ('has part' some 'material entity')
	-Irene Feng</t>
      </text>
    </comment>
    <comment authorId="0" ref="J167">
      <text>
        <t xml:space="preserve">has_specified_output some 'measurement data item' ?
	-Irene Feng</t>
      </text>
    </comment>
    <comment authorId="0" ref="I170">
      <text>
        <t xml:space="preserve">has_specified_input some 'organism' and ('has part' some 'material entity')?
	-Irene Feng</t>
      </text>
    </comment>
    <comment authorId="0" ref="J170">
      <text>
        <t xml:space="preserve">has_specified_output some 'measurement data item' ?
	-Irene Feng</t>
      </text>
    </comment>
    <comment authorId="0" ref="L170">
      <text>
        <t xml:space="preserve">there's no 'is located in'?
	-Irene Feng</t>
      </text>
    </comment>
    <comment authorId="0" ref="I173">
      <text>
        <t xml:space="preserve">has_specified_input some 'container' and ('has part' some 'material entity')?
	-Irene Feng</t>
      </text>
    </comment>
    <comment authorId="0" ref="J173">
      <text>
        <t xml:space="preserve">has_specified_output some 'measurement data item'?
	-Irene Feng</t>
      </text>
    </comment>
    <comment authorId="0" ref="H221">
      <text>
        <t xml:space="preserve">achieves_planned_objective some 'biological feature identification objective'?
	-Irene Feng</t>
      </text>
    </comment>
    <comment authorId="0" ref="I221">
      <text>
        <t xml:space="preserve">has_specified_input some 'specimen' ('has part' some DNA)?
	-Irene Feng</t>
      </text>
    </comment>
    <comment authorId="0" ref="J221">
      <text>
        <t xml:space="preserve">has_specified_output some 'data item' and ('is about' some 'phenotype' or 'gene expression')?
	-Irene Feng</t>
      </text>
    </comment>
    <comment authorId="0" ref="J254">
      <text>
        <t xml:space="preserve">new one:  and (has_specified_output some ('is about' some binding))
A noun after some needs to be defined. Perhaps has_specified_output some 'datum'( 'is about' some binding)?
	-Irene Feng</t>
      </text>
    </comment>
    <comment authorId="0" ref="J257">
      <text>
        <t xml:space="preserve">'measurement datum' and ('is about' age)?
	-Irene Feng</t>
      </text>
    </comment>
    <comment authorId="0" ref="H260">
      <text>
        <t xml:space="preserve">achieves_planned_objective some 'analyte measurement objective'?
	-Irene Feng</t>
      </text>
    </comment>
    <comment authorId="0" ref="H266">
      <text>
        <t xml:space="preserve">achieves_planned_objective some 'analyte measurement objective'?
	-Irene Feng</t>
      </text>
    </comment>
    <comment authorId="0" ref="J266">
      <text>
        <t xml:space="preserve">has_specified_output some 'measurement data item'?
	-Irene Feng</t>
      </text>
    </comment>
    <comment authorId="0" ref="C296">
      <text>
        <t xml:space="preserve">An assay where proteins in a sample are detected, quantified, or otherwise analyzed. E.g. antibody profiling using an array based technology.
	-Irene Feng</t>
      </text>
    </comment>
    <comment authorId="0" ref="C353">
      <text>
        <t xml:space="preserve">Maybe make this more friendly for those that don't know this stuff as well.
	-Irene Feng</t>
      </text>
    </comment>
    <comment authorId="0" ref="B362">
      <text>
        <t xml:space="preserve">Updated name
	-Irene Feng</t>
      </text>
    </comment>
    <comment authorId="0" ref="F362">
      <text>
        <t xml:space="preserve">under in-situ hybridization
	-Irene Feng</t>
      </text>
    </comment>
    <comment authorId="0" ref="B365">
      <text>
        <t xml:space="preserve">Dev call last year decided to remove all axioms from this label.
	-Irene Feng</t>
      </text>
    </comment>
    <comment authorId="0" ref="A440">
      <text>
        <t xml:space="preserve">Added number
	-Irene Feng</t>
      </text>
    </comment>
    <comment authorId="0" ref="A443">
      <text>
        <t xml:space="preserve">Added number
	-Irene Feng</t>
      </text>
    </comment>
    <comment authorId="0" ref="C443">
      <text>
        <t xml:space="preserve">Corrected grammar
	-Irene Feng</t>
      </text>
    </comment>
    <comment authorId="0" ref="I504">
      <text>
        <t xml:space="preserve">Instead of creating a has_specified_ input for each input, maybe use 'has_specified_input cell and agarose cell' or 'has_specified_input cell, agarose cell'?
	-Irene Feng</t>
      </text>
    </comment>
    <comment authorId="0" ref="C516">
      <text>
        <t xml:space="preserve">Maybe:
an assay that detects the presence or a quality of a molecular label attached to the molecular target, acting as a proxy for the detection of the target.
	-Irene Feng</t>
      </text>
    </comment>
    <comment authorId="0" ref="C519">
      <text>
        <t xml:space="preserve">Corrected grammar
	-Irene Feng</t>
      </text>
    </comment>
    <comment authorId="0" ref="I519">
      <text>
        <t xml:space="preserve">has_specified_input some 'cell or tissue specimen' 
has_specified_input some 'cell or tissue image'?
	-Irene Feng</t>
      </text>
    </comment>
    <comment authorId="0" ref="J145">
      <text>
        <t xml:space="preserve">doesn't have a noun after 'some'
	-Irene Feng</t>
      </text>
    </comment>
    <comment authorId="0" ref="C503">
      <text>
        <t xml:space="preserve">Wasn't sure if 'cell' was supposed to be 'cells'. Gel electrophoresis implies an electric field so repeating it is redundant.
	-Irene Feng</t>
      </text>
    </comment>
    <comment authorId="0" ref="B348">
      <text>
        <t xml:space="preserve">if there is yeast one-hybrid, this should be yeast two-hybrid.
	-Irene Feng</t>
      </text>
    </comment>
    <comment authorId="0" ref="C354">
      <text>
        <t xml:space="preserve">For people only looking at this entry would be confused by 'this technique' and what 'AD' is an acronym for.
	-Irene Feng</t>
      </text>
    </comment>
  </commentList>
</comments>
</file>

<file path=xl/sharedStrings.xml><?xml version="1.0" encoding="utf-8"?>
<sst xmlns="http://schemas.openxmlformats.org/spreadsheetml/2006/main" count="7093" uniqueCount="2891">
  <si>
    <t>IRI</t>
  </si>
  <si>
    <t>Label</t>
  </si>
  <si>
    <t>Definition</t>
  </si>
  <si>
    <t>Editor</t>
  </si>
  <si>
    <t>IEDB</t>
  </si>
  <si>
    <t>Parent Classes</t>
  </si>
  <si>
    <t>Equivalent Classes</t>
  </si>
  <si>
    <t>Objective (achieves_planned_objective)</t>
  </si>
  <si>
    <t>Inputs (has_specified_input)</t>
  </si>
  <si>
    <t>Outputs (has_specified_output)</t>
  </si>
  <si>
    <t>Outputs (some X and (is_about)</t>
  </si>
  <si>
    <t>Devices (has_participant)</t>
  </si>
  <si>
    <t>Main Processes (has_part)</t>
  </si>
  <si>
    <t>Main Processes (is_preceded_by)</t>
  </si>
  <si>
    <t>Evaluant (realizes some ('evaluant role' and ('is role of' some X)))</t>
  </si>
  <si>
    <t>Evaluant (realizes some ('evaluant role' and ('inheres in' some X)))</t>
  </si>
  <si>
    <t>Analyte (realizes some ('analyte role' and ('inheres in')</t>
  </si>
  <si>
    <t>Analyte (realizes some ('analyte role' and ('is role of' some X)</t>
  </si>
  <si>
    <t>http://purl.obolibrary.org/obo/OBI_0000070</t>
  </si>
  <si>
    <t>assay</t>
  </si>
  <si>
    <t>A planned process with the objective to produce information about the material entity that is the evaluant, by physically examining it or its proxies., A planned process with the objective to produce information about the material entity that is the evalu</t>
  </si>
  <si>
    <t>PlanAndPlannedProcess Branch</t>
  </si>
  <si>
    <t>Yes</t>
  </si>
  <si>
    <t>planned process</t>
  </si>
  <si>
    <t>achieves_planned_objective some 'assay objective'</t>
  </si>
  <si>
    <t>has_specified_input some ('material entity' and ('has role' some 'evaluant role'))</t>
  </si>
  <si>
    <t>has_specified_output some ('information content entity' and ('is about' some ('material entity' and ('has role' some 'evaluant role'))))</t>
  </si>
  <si>
    <t>realizes some 'evaluant role', has_specified_input some ('material entity' and ('has role' some 'evaluant role')), has_specified_output some ('information content entity' and ('is about' some ('material entity' and ('has role' some 'evaluant role'))))</t>
  </si>
  <si>
    <t>Bernoulli trial</t>
  </si>
  <si>
    <t>An assay where the output data is a datum with one of two values denoted success and failure.</t>
  </si>
  <si>
    <t>No</t>
  </si>
  <si>
    <t>assay objective</t>
  </si>
  <si>
    <t>http://purl.obolibrary.org/obo/OBI_0000117</t>
  </si>
  <si>
    <t>is an assay where the output data is a datum with one of two values denoted success and failure.</t>
  </si>
  <si>
    <t>imaging assay</t>
  </si>
  <si>
    <t>An imaging assay is an assay to produce a picture of an entity. definition_source: OBI.</t>
  </si>
  <si>
    <t>has_specified_output some image</t>
  </si>
  <si>
    <t>An assay that produces a picture of an entity.</t>
  </si>
  <si>
    <t>image</t>
  </si>
  <si>
    <t>http://purl.obolibrary.org/obo/OBI_0000185</t>
  </si>
  <si>
    <t>protein-protein interaction detection</t>
  </si>
  <si>
    <t>An assay with the objective to determine interactions between proteins, such as protein-protein binding.</t>
  </si>
  <si>
    <t>http://purl.obolibrary.org/obo/OBI_0000288</t>
  </si>
  <si>
    <t>transcription factor binding site assay</t>
  </si>
  <si>
    <t>An assay with objective to find DNA region specifically recognized by proteins that function as transcription factors</t>
  </si>
  <si>
    <t>Philippe Rocca-Serra</t>
  </si>
  <si>
    <t>binding assay</t>
  </si>
  <si>
    <t>assay and (has_specified_output some ('information content entity' and ('is about' some 'transcription factor binding site')))</t>
  </si>
  <si>
    <t>assay and (has_specified_output some ('information content entity' and ('is about' some 'transcription factor binding site'))), has_specified_output some ('measurement datum' and ('is about' some 'sequence-specific DNA binding'))</t>
  </si>
  <si>
    <t>A binding assay with the objective to find DNA regions specificially recognized by proteins that fuction as transcription factors.</t>
  </si>
  <si>
    <t>measurement data item' and ('is about' some sequence-specific DNA binding), information content entity and ('is about' some transcription factor binding site)</t>
  </si>
  <si>
    <t>transcription factor binding site, sequence specific DNA binding</t>
  </si>
  <si>
    <t>http://purl.obolibrary.org/obo/OBI_0000291</t>
  </si>
  <si>
    <t>An assay with objective to find DNA region specifically recognized by proteins that function as transcription factors.</t>
  </si>
  <si>
    <t>has_specified_output some ('measurement data item' and ('is about' some ('gene expression' and 'sequence-specific DNA binding')))</t>
  </si>
  <si>
    <t>metabolite profiling</t>
  </si>
  <si>
    <t>metabolite profiling is a process which aims at detecting and identifying chemical entities resulting from biochemical and cellular metabolism</t>
  </si>
  <si>
    <t>has_specified_input some specimen</t>
  </si>
  <si>
    <t>has_specified_output some 'measurement datum'</t>
  </si>
  <si>
    <t>An assay that aims to detect and identify chemcial entities resulting from biochemical and cellular metabolism.</t>
  </si>
  <si>
    <t>specimen</t>
  </si>
  <si>
    <t>measurement data item</t>
  </si>
  <si>
    <t>http://purl.obolibrary.org/obo/OBI_0000366</t>
  </si>
  <si>
    <t>has_specified_output some 'measurement data item'</t>
  </si>
  <si>
    <t>measuring glucose concentration in blood serum</t>
  </si>
  <si>
    <t>An assay that determines the concentration of glucose molecules in a blood serum sample</t>
  </si>
  <si>
    <t>Person:Bjoern Peters</t>
  </si>
  <si>
    <t>analyte assay</t>
  </si>
  <si>
    <t>realizes some ('evaluant role' and ('role of' some 'blood serum specimen'))</t>
  </si>
  <si>
    <t>realizes some ('analyte role' and ('role of' some glucose))</t>
  </si>
  <si>
    <t>An analyte assay that determines the concentration of glucose molecules in a blood serum sample.</t>
  </si>
  <si>
    <t>blood serum specimen</t>
  </si>
  <si>
    <t>glucose</t>
  </si>
  <si>
    <t>http://purl.obolibrary.org/obo/OBI_0000418</t>
  </si>
  <si>
    <t>realizes some ('evaluant role' and ('is role of' some 'blood serum specimen'))</t>
  </si>
  <si>
    <t>realizes some ('analyte role' and ('is role of' some glucose))</t>
  </si>
  <si>
    <t>transcription profiling assay</t>
  </si>
  <si>
    <t>An assay which aims to provide information about gene expression and transcription activity using ribonucleic acids collected from a material entity using a range of techniques and instrument such as DNA sequencers, DNA microarrays, Northern Blot</t>
  </si>
  <si>
    <t>assay and (achieves_planned_objective some 'transcription profiling identification objective')</t>
  </si>
  <si>
    <t>has_specified_input some (specimen and ('has part' some 'ribonucleic acid'))</t>
  </si>
  <si>
    <t>has_specified_output some ('measurement datum' and ('is about' some 'gene expression'))</t>
  </si>
  <si>
    <t>realizes some ('analyte role' and ('role of' some 'ribonucleic acid'))</t>
  </si>
  <si>
    <t>An analyte assay which aims to provide information about gene expression and transcription activity using ribonucleic acids collected from a material entity through a range of techniques and instruments such as DNA sequencers, DNA microarrays, and Northern Blot.</t>
  </si>
  <si>
    <t>transcription profiling identification objective</t>
  </si>
  <si>
    <t>specimen and ('has part' some 'ribonucleic acid')</t>
  </si>
  <si>
    <t>measurement data item' and ('is about' some 'gene expression')</t>
  </si>
  <si>
    <t>gene expression</t>
  </si>
  <si>
    <t>ribonucleic acid</t>
  </si>
  <si>
    <t>http://purl.obolibrary.org/obo/OBI_0000424</t>
  </si>
  <si>
    <t>An assay which aims to provide information about gene expression and transcription activity using ribonucleic acids collected from a material entity using a range of techniques and instrument such as DNA sequencers, DNA microarrays, and Northern Blot.</t>
  </si>
  <si>
    <t>has_specified_output some ('measurement data item' and ('is about' some 'gene expression'))</t>
  </si>
  <si>
    <t>realizes some ('analyte role' and ('is role of' some 'ribonucleic acid'))</t>
  </si>
  <si>
    <t>DNA sequence feature detection</t>
  </si>
  <si>
    <t>An assay with the objective to determine a sequence feature of DNA</t>
  </si>
  <si>
    <t>Philippe Rocca-Serra, Person:Bjoern Peters</t>
  </si>
  <si>
    <t>achieves_planned_objective some 'sequence feature identification objective', achieves_planned_objective some 'assay objective'</t>
  </si>
  <si>
    <t>has_specified_input some 'deoxyribonucleic acid'</t>
  </si>
  <si>
    <t>sequence feature identification objective, assay objective</t>
  </si>
  <si>
    <t>deoxyribonucleic acid</t>
  </si>
  <si>
    <t>http://purl.obolibrary.org/obo/OBI_0000433</t>
  </si>
  <si>
    <t>genotyping assay</t>
  </si>
  <si>
    <t>An analyte assay which generates data about a genotype from a specimen of genomic DNA. A variety of techniques and instruments can be used to produce information about sequence variation at particular genomic positions.</t>
  </si>
  <si>
    <t>has_specified_output some 'genotype information'</t>
  </si>
  <si>
    <t>achieves_planned_objective some 'sequence feature identification objective'</t>
  </si>
  <si>
    <t>has_specified_input some (specimen and ('has part' some 'deoxyribonucleic acid'))</t>
  </si>
  <si>
    <t>has_specified_output some 'genotype information', has_specified_output some 'genotype information'</t>
  </si>
  <si>
    <t>realizes some ('analyte role' and ('role of' some 'deoxyribonucleic acid'))</t>
  </si>
  <si>
    <t>sequence feature identification objective</t>
  </si>
  <si>
    <t>specimen and ('has part' some deoxyribonucleic acid)</t>
  </si>
  <si>
    <t>genotype information</t>
  </si>
  <si>
    <t>http://purl.obolibrary.org/obo/OBI_0000435</t>
  </si>
  <si>
    <t>an assay which generates data about a genotype from a specimen of genomic DNA. A variety of techniques and instruments can be used to produce information about sequence variation at particular genomic positions.</t>
  </si>
  <si>
    <t>realizes some ('analyte role' and ('is role of' some 'deoxyribonucleic acid'))</t>
  </si>
  <si>
    <t>DNA sequence variation detection</t>
  </si>
  <si>
    <t>An assay which aims to find changes (expansion, amplification, deletion, mutation) in a sequence of DNA molecule.</t>
  </si>
  <si>
    <t>http://purl.obolibrary.org/obo/OBI_0000438</t>
  </si>
  <si>
    <t>DNA sequence variation detection is a process which aims at finding changes (expansion, amplification, deletion, mutation) in sequence of DNA molecule.</t>
  </si>
  <si>
    <t>An assay with the objective to capture information about the presence, concentration, or amount of an analyte in an evaluant.</t>
  </si>
  <si>
    <t>PERSON:Bjoern Peters, Helen Parkinson, Philippe Rocca-Serra, Alan Ruttenberg</t>
  </si>
  <si>
    <t>achieves_planned_objective some 'analyte measurement objective'</t>
  </si>
  <si>
    <t>realizes some 'analyte role'</t>
  </si>
  <si>
    <t>analyte measurement objective</t>
  </si>
  <si>
    <t>http://purl.obolibrary.org/obo/OBI_0000443</t>
  </si>
  <si>
    <t>mass measurement assay</t>
  </si>
  <si>
    <t>An assay that determines the mass of an evaluant.</t>
  </si>
  <si>
    <t>Helen Parkinson</t>
  </si>
  <si>
    <t>has_specified_output some 'mass measurement datum'</t>
  </si>
  <si>
    <t>realizes some ('evaluant role' and ('role of' some 'material entity')), has_specified_input some ('material entity' and ('has role' some 'evaluant role'))</t>
  </si>
  <si>
    <t>material entity and (('has role' some 'evaluant role')</t>
  </si>
  <si>
    <t>mass measurement datum</t>
  </si>
  <si>
    <t>material entity</t>
  </si>
  <si>
    <t>http://purl.obolibrary.org/obo/OBI_0000445</t>
  </si>
  <si>
    <t>a process to determine the mass of an evaluant</t>
  </si>
  <si>
    <t>realizes some ('evaluant role' and ('is role of' some 'material entity')), has_specified_input some ('material entity' and ('has role' some 'evaluant role'))</t>
  </si>
  <si>
    <t>intra cellular electrophysiology recording</t>
  </si>
  <si>
    <t>An assay where the recording location of the electrode is intracellular.</t>
  </si>
  <si>
    <t>PERSON: Frank Gibson</t>
  </si>
  <si>
    <t>has_specified_output some ('measurement datum' and ('is about' some 'ion channel activity'))</t>
  </si>
  <si>
    <t>measurement data item' and ('is about' some 'ion channel activity')</t>
  </si>
  <si>
    <t>ion channel activity</t>
  </si>
  <si>
    <t>http://purl.obolibrary.org/obo/OBI_0000447</t>
  </si>
  <si>
    <t>An intracellular electrophysiology recording is a process where the recording location of the electrode is intracellular</t>
  </si>
  <si>
    <t>has_specified_output some ('measurement data item' and ('is about' some 'ion channel activity'))</t>
  </si>
  <si>
    <t>extracellular electrophysiology recording</t>
  </si>
  <si>
    <t>An assay where the recording location of the electrode is extracellular and data.</t>
  </si>
  <si>
    <t>PERSON: Frank Gibson, Helen Parkinson</t>
  </si>
  <si>
    <t>Definition feels incomplete with the 'and data'.</t>
  </si>
  <si>
    <t>http://purl.obolibrary.org/obo/OBI_0000454</t>
  </si>
  <si>
    <t>An extracellular electrophysiology recording is process where the recording location of the electrode is extracellular and data</t>
  </si>
  <si>
    <t>mass spectrometry assay</t>
  </si>
  <si>
    <t>An assay that identifies the amount and type of material entities present in a sample by fragmenting it and measuring the mass-to-charge ratio of the resulting particles.</t>
  </si>
  <si>
    <t>assay and ((realizes some (function and ('inheres in' some 'mass spectrometer'))) and (has_specified_input some 'mass spectrometer'))</t>
  </si>
  <si>
    <t>mass spectrometer</t>
  </si>
  <si>
    <t>http://purl.obolibrary.org/obo/OBI_0000470</t>
  </si>
  <si>
    <t>assay and (has_specified_input some 'mass spectrometer')</t>
  </si>
  <si>
    <t>clinical chemistry assay</t>
  </si>
  <si>
    <t>An analyte assay which uses analytical methods to produce measurements and data on the concentration of chemical parameters (analytes) present in a bodily fluid collected from an organism.</t>
  </si>
  <si>
    <t>Person: Philippe Rocca-Serra</t>
  </si>
  <si>
    <t>realizes some ('evaluant role' and ('role of' some 'material entity'))</t>
  </si>
  <si>
    <t>realizes some ('analyte role' and ('role of' some 'scattered molecular aggregate'))</t>
  </si>
  <si>
    <t>Replaced 'a process' with 'An analyte assay'</t>
  </si>
  <si>
    <t>scattered molecular aggregate</t>
  </si>
  <si>
    <t>http://purl.obolibrary.org/obo/OBI_0000520</t>
  </si>
  <si>
    <t>a process which uses analytical methods to produce measurements and data on the concentration of a chemical parameters (analytes) present in a bodily fluid collected from an organism.</t>
  </si>
  <si>
    <t>realizes some ('evaluant role' and ('is role of' some 'material entity'))</t>
  </si>
  <si>
    <t>realizes some ('analyte role' and ('is role of' some 'scattered molecular aggregate'))</t>
  </si>
  <si>
    <t>copy number variation profiling</t>
  </si>
  <si>
    <t>copy number variation profiling is a process which aims to provide information about lost or amplified genomic regions of DNA by comparing genomic DNA originated from tissues from same or different individuals using specific techniques such as CGH, array CGH, SNP genotyping.</t>
  </si>
  <si>
    <t>has_specified_output some ('measurement datum' and ('is about' some 'genetic characteristics information'))</t>
  </si>
  <si>
    <t>An assay which aims to provide information about lost or amplified genomic regions of DNA by comparing genomic DNA originating from same or different individuals' tissues using specific techniques such as CGH, array CGH, SNP genotyping.</t>
  </si>
  <si>
    <t>measurement data item' and ('is about' some 'genetic characteristics information')</t>
  </si>
  <si>
    <t>genetic characteristics information</t>
  </si>
  <si>
    <t>http://purl.obolibrary.org/obo/OBI_0000537</t>
  </si>
  <si>
    <t>has_specified_output some ('measurement data item' and ('is about' some 'genetic characteristics information'))</t>
  </si>
  <si>
    <t>protein expression profiling</t>
  </si>
  <si>
    <t>a planned process which aims to provide information about protein expression and translation activity using protein extracts collected from a material entity using a range of techniques and instrument such as Mass spectrometers, Gel electrophoresis, Western Blots, Protein microarrays</t>
  </si>
  <si>
    <t>Phlippe Rocca-Serra</t>
  </si>
  <si>
    <t>An assay which aims to provide information about protein expression and translation activity using protein extracts collected from a material entity through a range of techniques and instruments such as mass spectrometers, gel electrophoresis, western blots, and protein microarrays.</t>
  </si>
  <si>
    <t>http://purl.obolibrary.org/obo/OBI_0000615</t>
  </si>
  <si>
    <t>a planned process which aims to provide information about protein expression and translation activity using protein extracts collected from a material entity through a range of techniques and instruments such as mass spectrometers, gel electrophoresis, western blots, and protein microarrays.</t>
  </si>
  <si>
    <t>NMR spectroscopy</t>
  </si>
  <si>
    <t>NMR spectroscopy is a process which exploits the magnetic properties of certain nuclei (those with a spin) to resonate when placed in particular magnetic field conditions. Instruments recording NMR spectrum and sets of analysis can be used to deduce  identity of chemical as well as composition of complex chemical mixtures.</t>
  </si>
  <si>
    <t>An assay which exploits the magnetic properties of certain nuclei possessing a spin to resonate when placed in particular magnetic field conditions. Instruments recoding NMR spectrum and sets of analysis can be used to deduce the identities of chemicals as well as compositions of complex chemical mixtures.</t>
  </si>
  <si>
    <t>http://purl.obolibrary.org/obo/OBI_0000623</t>
  </si>
  <si>
    <t>DNA sequencing</t>
  </si>
  <si>
    <t>DNA sequencing is a sequencing process which uses deoxyribonucleic acid as input and results in a the creation of DNA sequence information artifact using a DNA sequencer instrument.</t>
  </si>
  <si>
    <t>sequencing assay</t>
  </si>
  <si>
    <t>(has_specified_input some ('deoxyribonucleic acid' and ('has role' some 'evaluant role'))) and (has_specified_output some 'DNA sequence data')</t>
  </si>
  <si>
    <t>A sequencing assay which uses deoxyribonucleic acid as the input and results in the creation of a DNA sequence information artifact with the use of a DNA sequencer instrument.</t>
  </si>
  <si>
    <t>deoxyribonucleic acid and ('has role' some 'evaluant role')</t>
  </si>
  <si>
    <t>DNA sequence data</t>
  </si>
  <si>
    <t>DNA sequencer</t>
  </si>
  <si>
    <t>http://purl.obolibrary.org/obo/OBI_0000626</t>
  </si>
  <si>
    <t>'has participant' some 'DNA sequencer'</t>
  </si>
  <si>
    <t>hematology</t>
  </si>
  <si>
    <t>An assay studying blood and blood producing organs, relying on a variety of techniques and instruments.</t>
  </si>
  <si>
    <t>has_specified_output some ('information content entity' and ('is about' some hemopoiesis))</t>
  </si>
  <si>
    <t>information content entity' and ('is about' some hemopoiesis)</t>
  </si>
  <si>
    <t>hemopoiesis</t>
  </si>
  <si>
    <t>http://purl.obolibrary.org/obo/OBI_0000630</t>
  </si>
  <si>
    <t>hematology is a process studying blood and blood producing organs relying on a variety of techniques and instruments</t>
  </si>
  <si>
    <t>DNA methylation profiling assay</t>
  </si>
  <si>
    <t>an assay which aims to provide information about state of methylation of DNA molecules using genomic DNA collected from a material entity using a range of techniques and instrument such as DNA sequencers and often relying on treatment with bisulfites to ensure cytosine conversion.</t>
  </si>
  <si>
    <t>analyte assay, epigenetic modification assay</t>
  </si>
  <si>
    <t>has_specified_output some ('information content entity' and ('is about' some 'regulation of DNA methylation'))</t>
  </si>
  <si>
    <t>achieves_planned_objective some 'epigenetic modification identification objective'</t>
  </si>
  <si>
    <t>An analyte or epigenetic modification assay which aims to provide information about the methylation state of DNA molecules using genomic DNA collected from a material entity, using a range of techniques and instruments such as DNA sequencers, and often relying on a treatment with bisulfites to ensure cytosine conversion.</t>
  </si>
  <si>
    <t>epigenentic modification identification objective</t>
  </si>
  <si>
    <t>'information content entity' and ('is about' some 'regulation of DNA methylation')</t>
  </si>
  <si>
    <t>regulation of DNA methylation</t>
  </si>
  <si>
    <t>http://purl.obolibrary.org/obo/OBI_0000634</t>
  </si>
  <si>
    <t>MeDIP-seq assay</t>
  </si>
  <si>
    <t>is an assay which aims at identifying methylated sites in genomic DNA and determining methylation pattern that affect  gene transcription by relying on immunoprecipitation of methylated genomic DNA, creation of a library of corresponding DNA fragments (either single or paired-end fragments) and subsequent sequencing using parallelized sequencing methods.</t>
  </si>
  <si>
    <t>DNA methylation profiling assay, assay using chromatin immunoprecipitation, sequencing assay</t>
  </si>
  <si>
    <t>has_specified_input some ('deoxyribonucleic acid' and ('has role' some 'evaluant role'))</t>
  </si>
  <si>
    <t>has_specified_output some ('sequence data' and ('is about' some 'regulation of DNA methylation')), has_specified_output some ('sequence data' and ('is about' some ('primary structure of DNA macromolecule' and ('is about' some 'regulation of DNA methylation') and ('is about' some ('deoxyribonucleic acid' and ('has quality' some 'DNA residue methylation'))))))</t>
  </si>
  <si>
    <t>has part' some immunoprecipitation, 'has part' some 'library preparation', 'has part' some ('Helicos sequencing' or 'SOLiD sequencing' or 'Solexa sequencing' or pyrosequencing)</t>
  </si>
  <si>
    <t>A DNA methylation profiling  or sequencing assay which aims at identifying methylated sites in genomic DNA and determining methylation patterns that affect gene transcription by relying on immunoprecipitation of methylated genomic DNA, the creation of a library of corresponding DNA fragments (either single or paired-end), and subsequent sequencing using parallelized sequencing methods.  Left out 'assay using chromatin immunoprecipitation' parent class.</t>
  </si>
  <si>
    <t>sequence data' and ('is about' some 'regulation of DNA methylation', 'primary structure of DNA macromolecule', 'regulation of DNA methylation)</t>
  </si>
  <si>
    <t>regulation of DNA methylation, primary structure of DNA macromolecule, regulation of DNA methylation</t>
  </si>
  <si>
    <t>immunoprecipitation, library preparation, Helicos sequencing or SOLiD sequencing or Solexa sequencing or pyrosequencing</t>
  </si>
  <si>
    <t>http://purl.obolibrary.org/obo/OBI_0000693</t>
  </si>
  <si>
    <t>DNA methylation profiling sequencing assay using chromatin immunoprecipitation</t>
  </si>
  <si>
    <t>has_specified_output some ('sequence data' and ('is about' some 'regulation of DNA methylation')), has_specified_output some ('sequence data' and ('is about' some ('primary structure of DNA macromolecule' and ('is about' some 'regulation of DNA methylatio</t>
  </si>
  <si>
    <t>'has part' some immunoprecipitation, 'has part' some 'library preparation', 'has part' some ('Helicos sequencing' or 'SOLiD sequencing' or 'Solexa sequencing' or pyrosequencing)</t>
  </si>
  <si>
    <t>chain termination sequencing</t>
  </si>
  <si>
    <t>is a DNA sequencing which rely on the use of dideoxynucleotides used in 4 distinct sequencing reaction on the same DNA sample. The dideoxynucleotides, once incorporated in the complementary DNA strand being synthesized by the DNA polymerase prevent any further chain elongation. The newly generated sequences are resolved on a polyacrylamide gel using electrophoresis and labels (either fluorochrome or radioactivity) are used to determine the nucleotide present at a given position</t>
  </si>
  <si>
    <t>DNA sequencing by synthesis</t>
  </si>
  <si>
    <t>has_specified_input some 'PCR product'</t>
  </si>
  <si>
    <t>A DNA sequencing by synthesis which relies on the use of dideoxynucleotides used in four distinct sequecing reactions on the same DNA sample. The dideoxynucleotides, once incorporated in the complementary DNA strand being synthesized by the DNA polymerase, prevent any further chain elongation. The newly generated sequences are resolved on a polyacrylamide gel using electrophoresis, and labels (either fluorochrome or radioactivity) are used to determine the nucleotide present at a given position.</t>
  </si>
  <si>
    <t>PCR product</t>
  </si>
  <si>
    <t>ABI 377 automated sequencer or Li-Cor 4300 DNA Analysis System</t>
  </si>
  <si>
    <t>http://purl.obolibrary.org/obo/OBI_0000695</t>
  </si>
  <si>
    <t>'has participant' some ('ABI 377 automated sequencer' or 'Li-Cor 4300 DNA Analysis System')</t>
  </si>
  <si>
    <t>Helicos sequencing</t>
  </si>
  <si>
    <t>A DNA sequencing by synthesis which allows sequence identification of billions of DNA molecules immobilized to a surface by using DNA polymerase and fluorescently labeled nucleotides added one at a time. The sequencing process does not requires amplification step and is typically able to produce reads of 25 base pair length.</t>
  </si>
  <si>
    <t>Replaced 'is a DNA sequencing' with A DNA sequencing by synthesis'. And is it supposed to be '25 base pair length' or '25 base pairs' or 'a 25 base pair length'?</t>
  </si>
  <si>
    <t>HeliScope SIngle Molecule Sequencer</t>
  </si>
  <si>
    <t>http://purl.obolibrary.org/obo/OBI_0000697</t>
  </si>
  <si>
    <t>is a DNA sequencing which allows sequence identification of billions of DNA molecules immobilized to a surface by using DNA polymerase and fluorescently labeled nucleotides added one at a time. The sequencing process does not requires amplification step and is typically able to produce reads of 25 base pair length.</t>
  </si>
  <si>
    <t>'has participant' some 'HeliScope Single Molecule Sequencer'</t>
  </si>
  <si>
    <t>survival assessment</t>
  </si>
  <si>
    <t>An assay that measures the occurrence of death events in one or more organisms that are monitored over time</t>
  </si>
  <si>
    <t>has_specified_input some organism</t>
  </si>
  <si>
    <t>has_specified_output some ('survival rate' and ('is about' some organism))</t>
  </si>
  <si>
    <t>organism</t>
  </si>
  <si>
    <t>survival rate' and ('is about' some organism)</t>
  </si>
  <si>
    <t>http://purl.obolibrary.org/obo/OBI_0000699</t>
  </si>
  <si>
    <t>Survival assessment is an assay that measures the occurrence of death events in one or more organisms that are monitored over time</t>
  </si>
  <si>
    <t>SOLiD sequencing</t>
  </si>
  <si>
    <t>A DNA sequencing by ligation which allows sequence identification by relying on the following steps: 1. Primers hybridize to the P1 adapter sequence within the library template. 2. A set of four fluorescently labeled di-base probes compete for ligation to the sequencing primer. Specificity of the di-base probe is achieved by interrogating every 1st and 2nd base in each ligation reaction. 3. Multiple cycles of ligation, detection, and cleavage are performed with the number of cycles determining the eventual read length. 4. Following a series of ligation cycles, the extension product is removed and the template is reset with a primer complementary to the n-1 position for a second round of ligation cycles.</t>
  </si>
  <si>
    <t>DNA sequencing by ligation</t>
  </si>
  <si>
    <t>has_specified_input some 'DNA ligase', has_specified_input some ('paired-end library' or 'single fragment library')</t>
  </si>
  <si>
    <t>DNA ligase, paired-end library or single fragment library</t>
  </si>
  <si>
    <t>AB SOLiD System</t>
  </si>
  <si>
    <t>http://purl.obolibrary.org/obo/OBI_0000706</t>
  </si>
  <si>
    <t>is a DNA sequencing which allows sequence identification by relying on the following steps: 1. Primers hybridize to the P1 adapter sequence within the library template. 2. A set of four fluorescently labeled di-base probes compete for ligation to the sequencing primer. Specificity of the di-base probe is achieved by interrogating every 1st and 2nd base in each ligation reaction.
3. Multiple cycles of ligation, detection and cleavage are performed with the number of cycles determining the eventual read length.
4. Following a series of ligation cycles, the extension product is removed and the template is reset with a primer complementary to the n-1 position for a second round of ligation cycles</t>
  </si>
  <si>
    <t>'has participant' some 'AB SOLiD System'</t>
  </si>
  <si>
    <t>ChIP-seq assay</t>
  </si>
  <si>
    <t>an assay which aims at identifying protein binding sites in genomic DNA and determining how protein may regulate gene transcription by relying on immunoprecipitation of DNA bound protein, creation of a library of corresponding DNA fragments  (either single or paired-end fragments) and subsequent sequencing using parallelized sequencing methods.</t>
  </si>
  <si>
    <t>assay using chromatin immunoprecipitation, epigenetic modification assay, sequencing assay</t>
  </si>
  <si>
    <t>achieves_planned_objective some 'epigenetic modification identification objective', achieves_planned_objective some 'protein and DNA interaction identification objective'</t>
  </si>
  <si>
    <t>has_specified_input some (specimen and (('has part' some 'deoxyribonucleic acid') and ('has part' some 'protein complex')))</t>
  </si>
  <si>
    <t>has_specified_output some 'DNA sequence data', has_specified_output some ('information content entity' and ('is about' some ('chromatin remodeling' or 'regulation of molecular function, epigenetic' or 'sequence-specific DNA binding' or 'transcription factor binding site')))</t>
  </si>
  <si>
    <t>has part' some 'DNA sequencing', 'has part' some immunoprecipitation, 'has part' some 'library preparation', has_specified_input some (specimen and (('has part' some 'deoxyribonucleic acid') and ('has part' some 'protein complex')))</t>
  </si>
  <si>
    <t>An epigenetic modification or sequencing assay which aims at identifying protein binding sites in genomic DNA and determining how protein may regulate gene transcription by using immunoprecipitation of DNA bound protein, the creation of a library of corresponding DNA fragments (single or paired-end), and subsequent sequencing utilizing parallelized sequencing methods.   Left out 'assay using chromatin immunoprecipitation' parent class.</t>
  </si>
  <si>
    <t>epigenetic modification identification objective, protein and DNA interaction identification objective</t>
  </si>
  <si>
    <t>specimen and ('has part' deoxy ribonecleic acid and protein complex)</t>
  </si>
  <si>
    <t>information content entity and ('is about' some chromatin remodeling or regulation of molecular function, epigenetic or sequence-specific DNA binding or transcription factors</t>
  </si>
  <si>
    <t>chromatin remodeling or regulation of molecular function, epigenetic or sequence-specific DNA binding or transcription factors</t>
  </si>
  <si>
    <t>DNA sequencing, immunoprecipitation, library preparation</t>
  </si>
  <si>
    <t>http://purl.obolibrary.org/obo/OBI_0000716</t>
  </si>
  <si>
    <t>an assay which aims at identifying protein binding sites in genomic DNA and determining how protein may regulate gene transcription by relying on immunoprecipitation of DNA bound protein, creation of a library of corresponding DNA fragments  (either single or paired-end fragments) and subsequent sequencing using parallelized sequencing methods</t>
  </si>
  <si>
    <t>sequencing assay using chromatin immunoprecipitation</t>
  </si>
  <si>
    <t>has_specified_output some 'DNA sequence data', has_specified_output some ('information content entity' and ('is about' some ('chromatin remodeling' or 'regulation of molecular function, epigenetic' or 'sequence-specific DNA binding' or 'transcription fact</t>
  </si>
  <si>
    <t>'has part' some 'DNA sequencing', 'has part' some immunoprecipitation, 'has part' some 'library preparation', has_specified_input some (specimen and (('has part' some 'deoxyribonucleic acid') and ('has part' some 'protein complex')))</t>
  </si>
  <si>
    <t>glucose tolerance test</t>
  </si>
  <si>
    <t>An assay in which following administration of a bolus a glucose in-vivo, glucose clearance from blood plasma is monitored over time by repeated glucose measurement in blood serum. The output is a measure which can be used to evaluate the severity of insulin resistance or the efficiency of glucose clearance.</t>
  </si>
  <si>
    <t>achieves_planned_objective some 'biological feature identification objective', achieves_planned_objective some 'assay objective'</t>
  </si>
  <si>
    <t>has part' some ('data transformation' and (has_specified_input some 'measurement datum') and (has_specified_output some graph)), 'has part' some ('administering substance in vivo' and (has_specified_input some glucose))</t>
  </si>
  <si>
    <t>has part' some ('data transformation' and (has_specified_input some 'measurement datum') and (has_specified_output some graph)), has_specified_output some ('information content entity' and (is_proxy_for some 'Insulin resistance'))</t>
  </si>
  <si>
    <t>has part' some ('measuring glucose concentration in blood serum' and (realizes some (concretizes some 'study design dependent variable'))), 'has part' some ('data transformation' and (has_specified_input some 'measurement datum') and (has_specified_output some graph)), 'has part' some ('administering substance in vivo' and (has_specified_input some glucose))</t>
  </si>
  <si>
    <t>biological feature identification objective, assay objective</t>
  </si>
  <si>
    <t>measurement datum</t>
  </si>
  <si>
    <t>information content entity' and (is_proxy_for some 'Insulin resistance')</t>
  </si>
  <si>
    <t>measuring glucose concentration in blood serum, data transformation</t>
  </si>
  <si>
    <t>http://purl.obolibrary.org/obo/OBI_0000721</t>
  </si>
  <si>
    <t>is a process in which, following administration of a bolus a glucose in-vivo, glucose clearance from blood plasma is monitored over time by repeated glucose measurement in blood serum. The output of a process is a measure which can be used to evaluate the severity of insulin resistance or the efficiency of glucose clearance.</t>
  </si>
  <si>
    <t>'has part' some ('data transformation' and (has_specified_input some 'measurement data item') and (has_specified_output some graph)), 'has part' some ('administering substance in vivo' and (has_specified_input some glucose))</t>
  </si>
  <si>
    <t>'has part' some ('data transformation' and (has_specified_input some 'measurement data item') and (has_specified_output some graph)), has_specified_output some ('information content entity' and (is_proxy_for some 'Insulin resistance'))</t>
  </si>
  <si>
    <t>'has part' some ('measuring glucose concentration in blood serum' and (realizes some (concretizes some 'study design dependent variable'))), 'has part' some ('data transformation' and (has_specified_input some 'measurement data item') and (has_specified_o</t>
  </si>
  <si>
    <t>A DNA sequencing which relies on DNA ligase activity to perform chain extension during the sequencing reaction step.</t>
  </si>
  <si>
    <t>has_specified_input some 'DNA ligase'</t>
  </si>
  <si>
    <t>DNA ligase</t>
  </si>
  <si>
    <t>http://purl.obolibrary.org/obo/OBI_0000723</t>
  </si>
  <si>
    <t>is a DNA sequencing which relies on DNA ligase activity to perform chain extension during the sequencing reaction step.</t>
  </si>
  <si>
    <t>Solexa sequencing</t>
  </si>
  <si>
    <t>is a DNA sequencing which allows sequence identification by relying on use of DNA polymerase and reversible terminator. The methods requires immobilization of genomic DNA fragment onto a surface and a specific clonal amplification step known as bridge PCR. Reliance on reversible terminator allow cycles of DNA chain extension by DNA polymerase and imaging without the need of electrophoretic separation of newly synthesized DNA fragment as with Sanger sequencing.</t>
  </si>
  <si>
    <t>has_specified_input some ('paired-end library' or 'single fragment library')</t>
  </si>
  <si>
    <t>A DNA sequencing by synthesis which allows sequence identification by using DNA polymerase and reversible terminators. The methods require immobilization of genomic DNA fragments onto a surface and a specific clonal amplication step known as bridge PCR. Reliance on reversible terminators allow cycles of DNA chain extension by DNA polymerase and imaging without the need of electrophoretic separation of newly synthesized DNA fragments as with Sanger sequencing.</t>
  </si>
  <si>
    <t>paired-end library or single fragment library</t>
  </si>
  <si>
    <t>Illumina Genome Analyzer II</t>
  </si>
  <si>
    <t>http://purl.obolibrary.org/obo/OBI_0000724</t>
  </si>
  <si>
    <t>'has participant' some 'Illumina Genome Analyzer II'</t>
  </si>
  <si>
    <t>pyrosequencing</t>
  </si>
  <si>
    <t>A DNA sequencing by synthesis which allows sequencing of a single strand of DNA by synthesizing the complementary strand one base pair at a time along it and detecting which base was actually added at each step. The template DNA is immobilized and solutions of A, C, G, and T nucleotides are added and removed after the reaction sequentially. Light is produced only when the nucleotide solution complements the first unpaired base of the template. The sequence of solutions which produce chemiluminescent signals allows the determination of the sequence of the template. The ssDNA template is hybridized to a sequencing primer and incubated with the enzymes DNA polymerase, ATP sulfurylase, luciferase and apyrase, and with the substrates adenosine 5-prime phosphosulfate (APS) and luciferin.</t>
  </si>
  <si>
    <t>454 Genome Sequence 20 or 454 Genome Sequencer FLX</t>
  </si>
  <si>
    <t>http://purl.obolibrary.org/obo/OBI_0000730</t>
  </si>
  <si>
    <t>is a DNA sequencing which allows sequencing of a single strand of DNA by synthesizing the complementary strand along it, one base pair at a time, and detecting which base was actually added at each step. The template DNA is immobilized, and solutions of A, C, G, and T nucleotides are added and removed after the reaction, sequentially. Light is produced only when the nucleotide solution complements the first unpaired base of the template. The sequence of solutions which produce chemiluminescent signals allows the determination of the sequence of the template.
ssDNA template is hybridized to a sequencing primer and incubated with the enzymes DNA polymerase, ATP sulfurylase, luciferase and apyrase, and with the substrates adenosine 5-prime phosphosulfate (APS) and luciferin.</t>
  </si>
  <si>
    <t>'has participant' some ('454 Genome Sequence 20' or '454 Genome Sequencer FLX')</t>
  </si>
  <si>
    <t>A DNA sequencing which relies on DNA polymerase activity to perform chain extension during the sequencing reaction step.</t>
  </si>
  <si>
    <t>PERSON: Philippe Rocca-Serra</t>
  </si>
  <si>
    <t>has_specified_input some 'DNA polymerase complex'</t>
  </si>
  <si>
    <t>DNA polymerase complex</t>
  </si>
  <si>
    <t>http://purl.obolibrary.org/obo/OBI_0000734</t>
  </si>
  <si>
    <t>is a DNA sequencing which relies on DNA polymerase activity to perform chain extension during the sequencing reaction step.</t>
  </si>
  <si>
    <t>immune response assay</t>
  </si>
  <si>
    <t>An assay with the objective to determine information about an immune response.</t>
  </si>
  <si>
    <t>(has_specified_output some ('measurement datum' and ('is about' some 'immune response'))) and (achieves_planned_objective some 'assay objective')</t>
  </si>
  <si>
    <t>measurement data item' and ('is about' some 'immune response')</t>
  </si>
  <si>
    <t>immune response</t>
  </si>
  <si>
    <t>http://purl.obolibrary.org/obo/OBI_0000743</t>
  </si>
  <si>
    <t>an assay with the objective to determine information about an immune response</t>
  </si>
  <si>
    <t>(has_specified_output some ('measurement data item' and ('is about' some 'immune response'))) and (achieves_planned_objective some 'assay objective')</t>
  </si>
  <si>
    <t>bisulfite sequencing</t>
  </si>
  <si>
    <t>A DNA sequencing or a DNA methylation profiling by high throughput assay which allows to determine the methylation status of genomic DNA using DNA sequencing techniques preceded by a bisulfite based chemical modification of genomic DNA at CpG island location.</t>
  </si>
  <si>
    <t>DNA sequencing, DNA methylation profiling by high throughput sequencing assay</t>
  </si>
  <si>
    <t>has_specified_output some ('measurement datum' and ('is about' some 'DNA residue methylation')), has_specified_output some ('DNA sequence data' and ('is about' some 'regulation of DNA methylation'))</t>
  </si>
  <si>
    <t>has part' some 'DNA sequencing'</t>
  </si>
  <si>
    <t>epigenetic modification identification objective</t>
  </si>
  <si>
    <t>measurement data item and ('is about' some DNA residue methylation), DNA sequence data and ('is about' some regulation of DNA methylation)</t>
  </si>
  <si>
    <t>DNA residue methylation, regulation of DNA methylation</t>
  </si>
  <si>
    <t>http://purl.obolibrary.org/obo/OBI_0000748</t>
  </si>
  <si>
    <t>An assay which allows to determine the methylation status of genomic DNA using DNA sequencing techniques preceded by a bisulfite based chemical modification of genomic DNA at CpG island location.</t>
  </si>
  <si>
    <t>has_specified_output some ('measurement data item' and ('is about' some 'DNA residue methylation')), has_specified_output some ('DNA sequence data' and ('is about' some 'regulation of DNA methylation'))</t>
  </si>
  <si>
    <t>'has part' some 'DNA sequencing'</t>
  </si>
  <si>
    <t>human antithrombin-III (AT-III) in blood assay</t>
  </si>
  <si>
    <t>An analyte assay that measures the amount of antithrombin III in blood.</t>
  </si>
  <si>
    <t>Person:Alan Ruttenberg</t>
  </si>
  <si>
    <t>(has_specified_input some 'blood serum specimen') and (has_specified_output some ('scalar measurement datum' and ('is about' some 'blood coagulation'))) and (achieves_planned_objective some 'analyte measurement objective')</t>
  </si>
  <si>
    <t>realizes some ('analyte role' and ('role of' some ('scattered molecular aggregate' and ('has grain' some antithrombin-III))))</t>
  </si>
  <si>
    <t>'scalar measurement datum' and ('is about' some 'blood coagulation')</t>
  </si>
  <si>
    <t>blood coagulation</t>
  </si>
  <si>
    <t>'scattered molecular aggregate' and ('has grain' some antithrombin-III)</t>
  </si>
  <si>
    <t>http://purl.obolibrary.org/obo/OBI_0000787</t>
  </si>
  <si>
    <t>An assay to measure the amount of antithrombin III in blood.</t>
  </si>
  <si>
    <t>realizes some ('analyte role' and ('is role of' some ('scattered molecular aggregate' and ('has grain' some antithrombin-III))))</t>
  </si>
  <si>
    <t>prothrombin time assay</t>
  </si>
  <si>
    <t>An assay most commonly measured using blood plasma. Blood is drawn into a test tube containing liquid citrate, which acts as an anticoagulant by binding the calcium in a sample. The blood is mixed, then centrifuged to separate blood cells from plasma. In newborns, whole blood is used. The plasma is analyzed by a biomedical scientist on an automated instrument at 37 degrees C, which takes a sample of the plasma. An excess of calcium is added (thereby reversing the effects of citrate), which enables the blood to clot again. For an accurate measurement the proportion of blood to citrate needs to be fixed; many laboratories will not perform the assay if the tube is underfilled and contains a relatively high concentration of citrate. If the tube is underfilled or overfilled with blood, the standardized dilution of 1 part anticoagulant to 9 parts whole blood is no longer valid. For the prothrombin time test the appropriate sample is the blue top tube, or sodium citrate tube, which is a liquid anticoagulant. Tissue factor (also known as factor III or thromboplastin) is added, and the time the sample takes to clot is measured optically. Some laboratories use a mechanical measurement, which eliminates interferences from lipemic and icteric samples. The prothrombin ratio is the prothrombin time for a patient, divided by the result for control plasma.</t>
  </si>
  <si>
    <t>(has_specified_input some 'blood serum specimen') and (has_specified_output some ('scalar measurement datum' and ('is about' some 'blood coagulation')))</t>
  </si>
  <si>
    <t>scalar measurement datum and ('is about' some 'blood coagulation')</t>
  </si>
  <si>
    <t>http://purl.obolibrary.org/obo/OBI_0000802</t>
  </si>
  <si>
    <t>The prothrombin time is an assay most commonly measured using blood plasma. Blood is drawn into a test tube containing liquid citrate, which acts as an anticoagulant by binding the calcium in a sample. The blood is mixed, then centrifuged to separate blood cells from plasma. In newborns, whole blood is used. The plasma is analyzed by a biomedical scientist on an automated instrument at 37 degrees C, which takes a sample of the plasma. An excess of calcium is added (thereby reversing the effects of citrate), which enables the blood to clot again. For an accurate measurement the proportion of blood to citrate needs to be fixed; many laboratories will not perform the assay if the tube is underfilled and contains a relatively high concentration of citrate. If the tube is underfilled or overfilled with blood, the standardized dilution of 1 part anticoagulant to 9 parts whole blood is no longer valid. For the prothrombin time test the appropriate sample is the blue top tube, or sodium citrate tube, which is a liquid anticoagulant. Tissue factor (also known as factor III or thromboplastin) is added, and the time the sample takes to clot is measured optically. Some laboratories use a mechanical measurement, which eliminates interferences from lipemic and icteric samples. The prothrombin ratio is the prothrombin time for a patient, divided by the result for control plasma.</t>
  </si>
  <si>
    <t>antithrombin-III (AT-III) berichrome assay</t>
  </si>
  <si>
    <t>A human antithrombin-III (AT-III) in blood assay in which exogenous bovine thrombin and heparin are added to test plasma to form a thrombin-heparin-AT complex. The residual thrombin not bound then hydrolyzes the p-nitroalanine substrate to produce a yellow color, which is read at 405 nm. The intensity of color produced is inversely proportional to the AT present. A calibration is done with standard human plasma reagent and results for a given specimen are reported as a percentage relative to the standard.</t>
  </si>
  <si>
    <t>(has_specified_output some 'scalar measurement datum') and ('has participant' some 'Berichrom(r) Antithrombin III (A) Kit') and (has_specified_output exactly 1 TThing)</t>
  </si>
  <si>
    <t>scalar measurement datum, exactly 1 TThing</t>
  </si>
  <si>
    <t>Berichrom(r) Antithrombin III (A) Kit</t>
  </si>
  <si>
    <t>http://purl.obolibrary.org/obo/OBI_0000805</t>
  </si>
  <si>
    <t>An antithrombin-III (AT-III) assay in which exogenous bovine thrombin and heparin are added to test plasma to form a thrombin-heparin-AT complex. The residual thrombin not bound then hydrolyzes the p-nitroalanine substrate to produce a yellow color, which is read at 405 nm. The intensity of color produced is inversely proportional to the AT present. A calibration is done with standard human plasma reagent and results for a given specimen are reported as a percentage relative to the standard</t>
  </si>
  <si>
    <t>('has participant' some 'Berichrom(r) Antithrombin III (A) Kit') and (has_specified_output some 'scalar measurement datum') and (has_specified_output exactly 1 TThing)</t>
  </si>
  <si>
    <t>spectrolyse heparin antifactor-Xa assay</t>
  </si>
  <si>
    <t>An assay intended for the quantitative determination of therapeutic Heparin in human plasma.  The principle inhibitor of Thrombin, Factor Xa and other coagulation serine proteases in plasma is Antithrombin III. Under normal conditions, the rate of inhibition is slow, but can be increased several thousand-fold by Heparin. This mechanism accounts for the anticoagulant effect of Heparin. Low Molecular Weight Therapeutic Heparin (LMWH) preparations appear to catalyze the reaction between Factor Xa and Antithrombin III more readily than the reaction between Thrombin and Antithrombin III while standard Heparin catalyzes both reactions equally. The Factor Xa inhibition test is the most useful test for assaying the widest variety of therapeutic Heparin preparations. In this method, when both Factor Xa and Antithrombin III are present in excess, the rate of Factor Xa inhibition is directly proportional to the Heparin concentration. The residual Factor Xa activity, measured with a Factor Xa-specific chromogenic substrate, is inversely proportional to the Heparin concentration.</t>
  </si>
  <si>
    <t>http://purl.obolibrary.org/obo/OBI_0000808</t>
  </si>
  <si>
    <t>A Spectrolyse Heparin (Xa) assay is intended for the quantitative determination of therapeutic Heparin in human plasma.  The principle inhibitor of Thrombin, Factor Xa and other coagulation serine proteases in plasma is Antithrombin III. The rate of inhibition, under normal conditions, is slow, but can be increased several thousand-fold by Heparin. This mechanism accounts for the anticoagulant effect of Heparin. Low Molecular Weight Therapeutic Heparin (LMWH) preparations appear to catalyze the reaction between Factor Xa and Antithrombin III more readily than the reaction between Thrombin and Antithrombin III while standard Heparin catalyzes both reactions equally. The Factor Xa inhibition test is the most useful test for assaying the widest variety of therapeutic Heparin preparations. In this method, when both Factor Xa and Antithrombin III are present in excess, the rate of Factor Xa inhibition is directly proportional to the Heparin concentration. The residual Factor Xa activity, measured with a Factor Xa-specific chromogenic substrate, is inversely proportional to the Heparin concentration.</t>
  </si>
  <si>
    <t>measuring neural activity in the caudate nucleus</t>
  </si>
  <si>
    <t>An extracellular electrophysiology recording measuring neural activity in the caudate nucleus.</t>
  </si>
  <si>
    <t>http://purl.obolibrary.org/obo/OBI_0000812</t>
  </si>
  <si>
    <t>The process of measuring neural activity  in the caudate nucleus</t>
  </si>
  <si>
    <t>activated partial thromboplastin time (aPTT) assay</t>
  </si>
  <si>
    <t>An assay measuring the efficacy of both the 'intrinsic' (now referred to as the contact activation pathway) and the common coagulation pathways. In order to activate the intrinsic pathway, phospholipid, an activator (such as silica, celite, kaolin, ellagic acid), and calcium (to reverse the anticoagulant effect of the oxalate) are mixed into the plasma sample. The time is measured until a thrombus (clot) forms.</t>
  </si>
  <si>
    <t>Definition could also be rewritten to be less messy and more clear. Perhaps put the information in the parenthesis afterwards?</t>
  </si>
  <si>
    <t>http://purl.obolibrary.org/obo/OBI_0000820</t>
  </si>
  <si>
    <t>An activated partial thromboplastin time (aPTT) assay is a an assay measuring the efficacy of both the 'intrinsic' (now referred to as the contact activation pathway) and the common coagulation pathways. In order to activate the intrinsic pathway, phospholipid, an activator (such as silica, celite, kaolin, ellagic acid), and calcium (to reverse the anticoagulant effect of the oxalate) are mixed into the plasma sample . The time is measured until a thrombus (clot) forms.</t>
  </si>
  <si>
    <t>thrombin time assay</t>
  </si>
  <si>
    <t>An assay in which after liberating the plasma from whole blood by centrifugation, bovine Thrombin is added to the sample of plasma. The clot is formed and is detected optically or mechanically by a coagulation instrument. The time between the addition of the thrombin and the clot formation is recorded as the thrombin clotting time.</t>
  </si>
  <si>
    <t>http://purl.obolibrary.org/obo/OBI_0000823</t>
  </si>
  <si>
    <t>A  thrombin time assay is on in which after liberating the plasma from whole blood by centrifugation, bovine Thrombin is added to the sample of plasma. The clot is formed and is detected optically or mechanically by a coagulation instrument. The time between the addition of the thrombin and the clot formation is recorded as the thrombin clotting time</t>
  </si>
  <si>
    <t>northern blot analysis</t>
  </si>
  <si>
    <t>An analyte assay allowing monitoring presence of gene transcripts  by hybridizing labeled RNA or DNA probes against messenger RNAs isolated from tissue or cell cultures, resolved on denaturing agarose gel, transfered by blotting procedure to a nitrocellulose or nylon membrane and immobilized by cross linking or baking to the membrane. Detection of  hybridization signals is carried out by immunofluorescence or radioactivity measurements using photographic films or digital imaging devices such as Phosphor Imager.</t>
  </si>
  <si>
    <t>realizes some ('evaluant role' and ('inheres in' some 'polyA RNA extract'))</t>
  </si>
  <si>
    <t>realizes some ('analyte role' and ('inheres in' some ('scattered molecular aggregate' and ('has grain' only 'nucleic acid'))))</t>
  </si>
  <si>
    <t>First sentence seems very convoluted.</t>
  </si>
  <si>
    <t>measurement data item and ('is about' some 'gene expression')</t>
  </si>
  <si>
    <t>polyA RNA extract</t>
  </si>
  <si>
    <t>scattered molecular aggregate and ('has grain' only 'nucleic acid')</t>
  </si>
  <si>
    <t>http://purl.obolibrary.org/obo/OBI_0000860</t>
  </si>
  <si>
    <t>a northern blot analysis is an assay allowing monitoring presence of gene transcripts by hybridizing labeled RNA or DNA probes against messenger RNAs isolated from tissue or cell cultures, resolved on denaturing agarose gel, transfered by blotting procedure to a nitrocellulose or nylon membrane and immobilized by cross linking or baking to the membrane. Detection of  hybridization signals is carried out by immunofluorescence or radioactivity measurements using photographic films or digital imaging devices such as Phosphor Imager</t>
  </si>
  <si>
    <t>detection of specific nucleic acids with complementary probes</t>
  </si>
  <si>
    <t>96-well neutralization assay</t>
  </si>
  <si>
    <t>A serum neutralization of viral infectivity assay which is done in a 96-well plate.</t>
  </si>
  <si>
    <t>person: Melanie Courtot, person: Bjoern Peters</t>
  </si>
  <si>
    <t>serum neutralization of viral infectivity assay</t>
  </si>
  <si>
    <t>http://purl.obolibrary.org/obo/OBI_0000865</t>
  </si>
  <si>
    <t>A serum neutralization of viral infectivity assay which done in a 96-well plate.</t>
  </si>
  <si>
    <t>single-nucleotide-resolution nucleic acid structure mapping assay</t>
  </si>
  <si>
    <t>An assay which aims to provide information about the secondary structure of nucleic acids using chemical or enzymatic probing to establish the extent of base-pairing or solvent accessiblity.</t>
  </si>
  <si>
    <t>(has_specified_output some ('measurement datum' and ('is about' some 'secondary structure of sequence macromolecule'))) and (achieves_planned_objective some 'assay objective')</t>
  </si>
  <si>
    <t>measurement data item' and ('is about' some 'secondary structure of sequence macromolecule')</t>
  </si>
  <si>
    <t>secondary structure of a sequence macromolecule</t>
  </si>
  <si>
    <t>http://purl.obolibrary.org/obo/OBI_0000870</t>
  </si>
  <si>
    <t>is an assay which aims to provide information about the secondary structure of nucleic acids using chemical or enzymatic probing to establish the extent of base-pairing or solvent accessiblity.</t>
  </si>
  <si>
    <t>(has_specified_output some ('measurement data item' and ('is about' some 'secondary structure of sequence macromolecule'))) and (achieves_planned_objective some 'assay objective')</t>
  </si>
  <si>
    <t>viral hemagglutination assay</t>
  </si>
  <si>
    <t>The viral hemagglutination assay (HA) is a quantification of viruses by hemagglutination.</t>
  </si>
  <si>
    <t>has_specified_output some ('measurement datum' and ('is about' some Viruses))</t>
  </si>
  <si>
    <t>has part' some 'induced hemagglutination'</t>
  </si>
  <si>
    <t>An analyte assay that quantifies viruses through hemagglutination.</t>
  </si>
  <si>
    <t>measurement data item' and ('is about' some 'viruses')</t>
  </si>
  <si>
    <t>viruses</t>
  </si>
  <si>
    <t>induced hemagglutination</t>
  </si>
  <si>
    <t>http://purl.obolibrary.org/obo/OBI_0000871</t>
  </si>
  <si>
    <t>has_specified_output some ('measurement data item' and ('is about' some Viruses))</t>
  </si>
  <si>
    <t>'has part' some 'induced hemagglutination'</t>
  </si>
  <si>
    <t>An analyte assay where different dilutions of serum are mixed with virus and used to infect cells. At the lower dilutions, antibodies will block infection; but at higher dilutions, there will be too few antibodies to have an effect. The simple process of dilution provides a way to compare the virus- neutralizing abilities of different sera. The neutralization titer is expressed as the reciprocal of the highest dilution at which virus infection is blocked.</t>
  </si>
  <si>
    <t>http://purl.obolibrary.org/obo/OBI_0000872</t>
  </si>
  <si>
    <t>A quantitative assay where different dilutions of serum are mixed with virus and used to infect cells. At the lower dilutions, antibodies will block infection, but at higher dilutions, there will be too few antibodies to have an effect. The simple process of dilution provides a way to compare the virus-neutralizing abilities of different sera. The neutralization titer is expressed as the reciprocal of the highest dilution at which virus infection is blocked.</t>
  </si>
  <si>
    <t>viral hemagglutination inhibition assay</t>
  </si>
  <si>
    <t>An assay that measures the ability of an evaluant to inhibit hemagglutination by a virus. Hemagglutinin is a viral protein which binds to sialic acid receptors on cells or to erythrocytes, causing the cells to clump. Loss of clumping indicates hemagglutination inhibition by the antibody.</t>
  </si>
  <si>
    <t>Bjoern and Melanie</t>
  </si>
  <si>
    <t>assay and (has_specified_input some Viruses) and (has_specified_output some ('is about' some 'induced hemagglutination'))</t>
  </si>
  <si>
    <t>Viruses</t>
  </si>
  <si>
    <t>http://purl.obolibrary.org/obo/OBI_0000875</t>
  </si>
  <si>
    <t>person: Melanie Courtot, person: BJoern Peters</t>
  </si>
  <si>
    <t>analyte B cell epitope specific neutralization of antigen in vitro assay</t>
  </si>
  <si>
    <t>Southern blot analysis</t>
  </si>
  <si>
    <t>An analyte assay used in molecular biology to assert the presence/absence status of a specific DNA sequence in DNA samples. DNA samples to be assayed are first digested by restriction enzymes, fragments are then resolved by gel electrophoresis, followed by a blotting to ensure transfer to nitrocellulose or nylon membrane. Immobilization of DNA fragments to the membrane is achieved by UV crosslinking and/or baking. Probes raised against the specific sequences are then hybridized to the membrane.  Detection of hybridization signals is carried out by immunofluorescence or radioactivity measurements using photographic films or digital imaging devices such as Phosphor Imager.</t>
  </si>
  <si>
    <t>has_specified_output some ('measurement datum' and ('is about' some site))</t>
  </si>
  <si>
    <t>realizes some ('evaluant role' and ('inheres in' some 'high molecular weight DNA extract'))</t>
  </si>
  <si>
    <t>measurement data item and ('is about' some site)</t>
  </si>
  <si>
    <t>site</t>
  </si>
  <si>
    <t>high molecular weight DNA extract</t>
  </si>
  <si>
    <t>scattered molecular aggregate' and ('has grain' only 'nucleic acid')</t>
  </si>
  <si>
    <t>http://purl.obolibrary.org/obo/OBI_0000892</t>
  </si>
  <si>
    <t>Southern blot analysis is a an assay used in molecular biology to assert the presence/absence status  of a specific DNA sequence in DNA samples. DNA samples to be assayed are first digested by restriction enzymes, fragments are then resolved by gel electrophoresis following by a blotting ensuring transfer to  nitrocellulose or nylon membrane. Immobilization of DNA fragments to the membrane is achieved by UV crosslinking and/or baking. Probes raised against the specific sequences are then hybridized to the membrane.  Detection of  hybridization signals is carried out by immunofluorescence or radioactivity measurements using photographic films or digital imaging devices such as Phosphor Imager.</t>
  </si>
  <si>
    <t>has_specified_output some ('measurement data item' and ('is about' some site))</t>
  </si>
  <si>
    <t>real time polymerase chain reaction assay</t>
  </si>
  <si>
    <t>An assay based on the PCR, which is used to amplify and simultaneously quantify a specific DNA molecule based on the use of complementary probes/primers. It enables both detection and quantification (as absolute number of copies or relative amount when normalized to DNA input or additional normalizing genes) of one or more specific sequences in a DNA sample.</t>
  </si>
  <si>
    <t>has part' some 'polymerase chain reaction'</t>
  </si>
  <si>
    <t>polymerase chain reaction</t>
  </si>
  <si>
    <t>http://purl.obolibrary.org/obo/OBI_0000893</t>
  </si>
  <si>
    <t xml:space="preserve">A laboratory technique based on the PCR, which is used to amplify and simultaneously quantify a specific DNA molecule based on the use of complementary probes/primers. It enables both detection and quantification (as absolute number of copies or relative amount when normalized to DNA input or additional normalizing genes) of one or more specific sequences in a DNA sample. </t>
  </si>
  <si>
    <t>'has part' some 'polymerase chain reaction'</t>
  </si>
  <si>
    <t>DEPC structure mapping assay</t>
  </si>
  <si>
    <t>A single-nucleotide-resolution nucleic acid structure mapping assay which uses DEPC as reagent and chemical probe to generate data and information at nucleotide resolution scale, contributing to the determination of nucleic acid secondary structure.</t>
  </si>
  <si>
    <t>single-nucleotide-resolution nucleic acid structure mapping assay using chemical probing</t>
  </si>
  <si>
    <t>has_specified_input some ('deoxyribonucleic acid' or 'ribonucleic acid')</t>
  </si>
  <si>
    <t>has_specified_output some ('measurement datum' and ('is about' some 'secondary structure of sequence macromolecule'))</t>
  </si>
  <si>
    <t>Left out 'using chemical probing' from the parent class in the beginning.</t>
  </si>
  <si>
    <t>deoxyribonucleic acid or ribonucleic acid</t>
  </si>
  <si>
    <t>measurement datum and ('is about' some secondary structure of sequence macromolecule)</t>
  </si>
  <si>
    <t>secondary structure of sequence macromolecule</t>
  </si>
  <si>
    <t>http://purl.obolibrary.org/obo/OBI_0000897</t>
  </si>
  <si>
    <t>is a single-nucleotide-resolution nucleic acid structure mapping assay which uses DEPC as reagent and chemical probe to generate data and information at nucleotide resolution scale contributing to the determination of nucleic acid secondary structure</t>
  </si>
  <si>
    <t>has_specified_output some ('measurement data item' and ('is about' some 'secondary structure of sequence macromolecule'))</t>
  </si>
  <si>
    <t>real time reverse-transcription polymerase chain reaction  assay</t>
  </si>
  <si>
    <t>An assay preceded by a reverse transcription step where a RNA strand is reverse transcribed into its DNA complement using the enzyme reverse transcriptase.</t>
  </si>
  <si>
    <t>PERSON: Bjoern Peters, PERSON: Melanie Courtot</t>
  </si>
  <si>
    <t>assay and ('has part' some ('real time polymerase chain reaction assay' and ('immediately preceded by' some 'artificially induced reverse transcription'))) and ('immediately preceded by' some 'artificially induced reverse transcription')</t>
  </si>
  <si>
    <t>has_specified_output some ('information content entity' and ('is about' some 'gene expression'))</t>
  </si>
  <si>
    <t>information content entity</t>
  </si>
  <si>
    <t>artificially induced reverse transcription</t>
  </si>
  <si>
    <t>http://purl.obolibrary.org/obo/OBI_0000911</t>
  </si>
  <si>
    <t>real time reverse-transcription polymerase chain reaction assay</t>
  </si>
  <si>
    <t>Is a PCR real time preceded by a reverse transcription step (reverse transcription step = an RNA strand is reverse transcribed into its DNA complement using the enzyme reverse transcriptase)</t>
  </si>
  <si>
    <t>assay and ('has part' some ('real time polymerase chain reaction assay' and ('is immediately preceded by' some 'artificially induced reverse transcription'))) and ('is immediately preceded by' some 'artificially induced reverse transcription')</t>
  </si>
  <si>
    <t>handedness assay</t>
  </si>
  <si>
    <t>An assay that measures the unequal distribution of fine motor skill between the left and right hands typically in human subjects by means of some questionnaire and scoring procedure.</t>
  </si>
  <si>
    <t>assay and (has_specified_output some ('measurement datum' and ('is about' some handedness)))</t>
  </si>
  <si>
    <t>measurement data item' and ('is about' some handedness)</t>
  </si>
  <si>
    <t>handedness</t>
  </si>
  <si>
    <t>http://purl.obolibrary.org/obo/OBI_0000944</t>
  </si>
  <si>
    <t>A handedness assay measures the unequal distribution of fine motor skill between the left and right hands typically in human subjects by means of some questionnaire and scoring procedure.</t>
  </si>
  <si>
    <t>assay and (has_specified_output some ('measurement data item' and ('is about' some handedness)))</t>
  </si>
  <si>
    <t>self reported handedness assessment</t>
  </si>
  <si>
    <t>A handedness assay in which a person makes a statement that indicates what handedness he has from a choice of different categories.</t>
  </si>
  <si>
    <t>has_specified_output some ('categorical measurement datum' and ('is quality measurement of' some handedness))</t>
  </si>
  <si>
    <t>categorical measurement datum and ('is quality measurement of' some handedness)</t>
  </si>
  <si>
    <t>http://purl.obolibrary.org/obo/OBI_0000957</t>
  </si>
  <si>
    <t>An assay in which a person makes a statement that indicates what handedness he has from a choice of different categories.</t>
  </si>
  <si>
    <t>in live cell assay</t>
  </si>
  <si>
    <t>An assay in which a measurement is made by observing entities located in a live cell.</t>
  </si>
  <si>
    <t>http://purl.obolibrary.org/obo/OBI_0000964</t>
  </si>
  <si>
    <t>in live organism assay</t>
  </si>
  <si>
    <t>An assay in which a measurement is made by observing entities located in an organism.</t>
  </si>
  <si>
    <t>PERSON:Bjoern Peters</t>
  </si>
  <si>
    <t>assay and ('has participant' some ('located in' some (organism and ('has quality' some alive))))</t>
  </si>
  <si>
    <t>http://purl.obolibrary.org/obo/OBI_0000966</t>
  </si>
  <si>
    <t>assay and ('has participant' some ('is located in' some (organism and ('has quality' some alive))))</t>
  </si>
  <si>
    <t>in container assay</t>
  </si>
  <si>
    <t>An assay in which a measurement is made by observing entities located in a container.</t>
  </si>
  <si>
    <t>http://purl.obolibrary.org/obo/OBI_0000978</t>
  </si>
  <si>
    <t>an assay in which a measurement is made by observing entities located in a container.</t>
  </si>
  <si>
    <t>Edinburgh handedness assay</t>
  </si>
  <si>
    <t>An assay in which a set of questions, the Edinburgh Handedness inventory, is asked and the answers to these questions are turned into a score used to assess the dominance of a person's right or left hand in everyday activities. The inventory can be used by an observer assessing the person or by a person self-reporting hand use. The latter method tends to be less reliable due to a person over-attributing tasks to the dominant hand.</t>
  </si>
  <si>
    <t>PERSON:Jessica Turner, Person:Alan Ruttenberg</t>
  </si>
  <si>
    <t>has_specified_input value OBI_0001004</t>
  </si>
  <si>
    <t>has_specified_output some 'Edinburgh score'</t>
  </si>
  <si>
    <t>Edinburgh handedness inventory</t>
  </si>
  <si>
    <t>Edinburgh score</t>
  </si>
  <si>
    <t>http://purl.obolibrary.org/obo/OBI_0001001</t>
  </si>
  <si>
    <t>The Edinburgh Handedness assay is an assay in which a set of questions  = the Edinburgh Handedness inventory - is asked and the answers to these questions are turned into a score, used to assess the dominance of a person's right or left hand in everyday activities. The inventory can be used by an observer assessing the person, or by a person self-reporting hand use. The latter method tends to be less reliable due to a person over-attributing tasks to the dominant hand.</t>
  </si>
  <si>
    <t>RNASE CL3 structure mapping assay</t>
  </si>
  <si>
    <t>A single-nucleotide-resolution ribonucleic acid structure mapping assay which uses RNAse CL3 as reagent and enzymatic probe to generate data and information at nucleotide resolution scale contributing to the determination of nucleic acid secondary structure.</t>
  </si>
  <si>
    <t>Person:Philippe Rocca-Serra</t>
  </si>
  <si>
    <t>single-nucleotide-resolution nucleic acid structure mapping assay using enzymatic probing</t>
  </si>
  <si>
    <t>has_specified_input some 'ribonucleic acid'</t>
  </si>
  <si>
    <t>has_specified_output some ('measurement datum' and ('is about' some 'secondary structure of RNA molecule'))</t>
  </si>
  <si>
    <t>Left out 'using enzymatic probing' from the parent class.</t>
  </si>
  <si>
    <t>measurement datum and ('is about' some secondary structure of RNA molecule)</t>
  </si>
  <si>
    <t>secondary structure of RNA molecule</t>
  </si>
  <si>
    <t>http://purl.obolibrary.org/obo/OBI_0001005</t>
  </si>
  <si>
    <t>a single-nucleotide-resolution ribonucleic acid structure mapping assay which uses RNAse CL3 as reagent and enzymatic probe to generate data and information at nucleotide resolution scale contributing to the determination of nucleic acid secondary structu</t>
  </si>
  <si>
    <t>has_specified_output some ('measurement data item' and ('is about' some 'secondary structure of RNA molecule'))</t>
  </si>
  <si>
    <t>CMCT structure mapping assay</t>
  </si>
  <si>
    <t>A single-nucleotide-resolution nucleic acid structure mapping assay which uses CMCT as reagent and chemical probe to generate data and information at nucleotide resolution scale, contributing to the determination of nucleic acid secondary structure.</t>
  </si>
  <si>
    <t>Left out 'using chemical probing' from the parent class.</t>
  </si>
  <si>
    <t>http://purl.obolibrary.org/obo/OBI_0001006</t>
  </si>
  <si>
    <t>a single-nucleotide-resolution nucleic acid structure mapping assay which uses CMCT as reagent and chemical probe to generate data and information at nucleotide resolution scale contributing to the determination of nucleic acid secondary structure</t>
  </si>
  <si>
    <t>MPE-Fe(II) structure mapping assay</t>
  </si>
  <si>
    <t>A single-nucleotide-resolution ribonucleic acid structure mapping assay which uses Fe-MP as reagent and chemical probe to generate data and information at nucleotide resolution scale, contributing to the determination of nucleic acid secondary structure.</t>
  </si>
  <si>
    <t>http://purl.obolibrary.org/obo/OBI_0001008</t>
  </si>
  <si>
    <t>a single-nucleotide-resolution ribonucleic acid structure mapping assay which uses Fe-MP as reagent and chemical probe to generate data and information at nucleotide resolution scale contributing to the determination of nucleic acid secondary structure</t>
  </si>
  <si>
    <t>ENU structure mapping assay</t>
  </si>
  <si>
    <t>A single-nucleotide-resolution nucleic acid structure mapping assay which uses ENU as reagent and chemical probe to generate data and information at nucleotide resolution scale, contributing to the determination of nucleic acid secondary structure.</t>
  </si>
  <si>
    <t>http://purl.obolibrary.org/obo/OBI_0001011</t>
  </si>
  <si>
    <t>a single-nucleotide-resolution nucleic acid structure mapping assay which uses ENU as reagent and chemical probe to generate data and information at nucleotide resolution scale contributing to the determination of nucleic acid secondary structure</t>
  </si>
  <si>
    <t>RNASE V1 structure mapping assay</t>
  </si>
  <si>
    <t>A single-nucleotide-resolution ribonucleic acid structure mapping assay which uses RNAse V1 as reagent and enzymatic probe to generate data and information at nucleotide resolution scale, contributing to the determination of nucleic acid secondary structure.</t>
  </si>
  <si>
    <t>http://purl.obolibrary.org/obo/OBI_0001012</t>
  </si>
  <si>
    <t>a single-nucleotide-resolution ribonucleic acid structure mapping assay which uses RNAse V1 as reagent and enzymatic probe to generate data and information at nucleotide resolution scale contributing to the determination of nucleic acid secondary structur</t>
  </si>
  <si>
    <t>kethoxal structure mapping assay</t>
  </si>
  <si>
    <t>A single-nucleotide-resolution nucleic acid structure mapping assay which uses kethoxal as reagent and chemical probe to generate data and information at nucleotide resolution scale, contributing to the determination of nucleic acid secondary structure</t>
  </si>
  <si>
    <t>http://purl.obolibrary.org/obo/OBI_0001013</t>
  </si>
  <si>
    <t>is a single-nucleotide-resolution nucleic acid structure mapping assay which uses kethoxal as reagent and chemical probe to generate data and information at nucleotide resolution scale contributing to the determination of nucleic acid secondary structure</t>
  </si>
  <si>
    <t>A single-nucleotide-resolution nucleic acid structure mapping assay which relies on proteins acting as enzymatic probes  in order to produce measurement information which, once interpreted, provides structural information about the RNA species under study.</t>
  </si>
  <si>
    <t>realizes some ('catalytic activity' and ('inheres in' some protein))</t>
  </si>
  <si>
    <t>http://purl.obolibrary.org/obo/OBI_0001014</t>
  </si>
  <si>
    <t>a single-nucleotide-resolution nucleic acid structure mapping assay which relies on proteins acting as enzymatic probes  in order to produce measurement information which one interpreted provide structural information about the RNA species under study.</t>
  </si>
  <si>
    <t>DMS structure mapping assay</t>
  </si>
  <si>
    <t>A single-nucleotide-resolution nucleic acid structure mapping assay which uses DMS as reagent and chemical probe to generate data and information at nucleotide resolution scale, contributing to the determination of nucleic acid secondary structure.</t>
  </si>
  <si>
    <t>http://purl.obolibrary.org/obo/OBI_0001015</t>
  </si>
  <si>
    <t>a single-nucleotide-resolution nucleic acid structure mapping assay which uses DMS as reagent and chemical probe to generate data and information at nucleotide resolution scale contributing to the determination of nucleic acid secondary structure</t>
  </si>
  <si>
    <t>DNASE 1 structure mapping assay</t>
  </si>
  <si>
    <t>A single-nucleotide-resolution deoxyribonucleic acid structure mapping assay which uses DNAse 1 as reagent and enzymatic probe to generate data and information at nucleotide resolution scale, contributing to the determination of nucleic acid secondary structure.</t>
  </si>
  <si>
    <t>http://purl.obolibrary.org/obo/OBI_0001016</t>
  </si>
  <si>
    <t>a single-nucleotide-resolution deoxyribonucleic acid structure mapping assay which uses DNAse 1 as reagent and enzymatic probe to generate data and information at nucleotide resolution scale contributing to the determination of nucleic acid secondary stru</t>
  </si>
  <si>
    <t>A single-nucleotide-resolution nucleic acid structure mapping assay which relies on small chemical compounds acting as chemical probes in order to produce measurement information which, once interpreted, provides structural information about the RNA species under study.</t>
  </si>
  <si>
    <t>(realizes some ('reagent role' and ('inheres in' some ('molecular entity' or 'nucleic acid')))) and (has_specified_output some ('measurement datum' and ('is about' some 'secondary structure of sequence macromolecule')))</t>
  </si>
  <si>
    <t>measurement data item and ('is about' some secondary structure of sequence macromolecule)</t>
  </si>
  <si>
    <t>http://purl.obolibrary.org/obo/OBI_0001017</t>
  </si>
  <si>
    <t xml:space="preserve">a single-nucleotide-resolution nucleic acid structure mapping assay which relies on small chemical compounds acting as chemical probes  in order to produce measurement information which one interpreted provide structural information about the RNA species </t>
  </si>
  <si>
    <t>(realizes some ('reagent role' and ('inheres in' some ('molecular entity' or 'nucleic acid')))) and (has_specified_output some ('measurement data item' and ('is about' some 'secondary structure of sequence macromolecule')))</t>
  </si>
  <si>
    <t>Rhodium DNA structure mapping assay</t>
  </si>
  <si>
    <t>A single-nucleotide-resolution nucleic acid structure mapping assay which uses Rhodium as reagent and chemical probe to generate data and information at nucleotide resolution scale, contributing to the determination of nucleic acid secondary structure.</t>
  </si>
  <si>
    <t>Left out 'using chemical probing' from the parent class</t>
  </si>
  <si>
    <t>http://purl.obolibrary.org/obo/OBI_0001018</t>
  </si>
  <si>
    <t>a single-nucleotide-resolution nucleic acid structure mapping assay which uses Rhodium as reagent and chemical probe to generate data and information at nucleotide resolution scale contributing to the determination of nucleic acid secondary structure</t>
  </si>
  <si>
    <t>RNA ADA I RNA structure mapping assay</t>
  </si>
  <si>
    <t>A single-nucleotide-resolution ribonucleic acid structure mapping assay which uses RNA adenosine deaminase I as reagent and enzymatic probe to generate data and information at nucleotide resolution scale, contributing to the determination of nucleic acid secondary structure.</t>
  </si>
  <si>
    <t>http://purl.obolibrary.org/obo/OBI_0001019</t>
  </si>
  <si>
    <t>a single-nucleotide-resolution ribonucleic acid structure mapping assay which uses RNA adenosine deaminase I as reagent and enzymatic probe to generate data and information at nucleotide resolution scale contributing to the determination of nucleic acid s</t>
  </si>
  <si>
    <t>Lead structure mapping assay</t>
  </si>
  <si>
    <t>A single-nucleotide-resolution nucleic acid structure mapping assay which uses lead as reagent and chemical probe to generate data and information at nucleotide resolution scale, contributing to the determination of nucleic acid secondary structure.</t>
  </si>
  <si>
    <t>http://purl.obolibrary.org/obo/OBI_0001020</t>
  </si>
  <si>
    <t>a single-nucleotide-resolution nucleic acid structure mapping assay which uses lead as reagent and chemical probe to generate data and information at nucleotide resolution scale contributing to the determination of nucleic acid secondary structure</t>
  </si>
  <si>
    <t>RNASE T2 structure mapping assay</t>
  </si>
  <si>
    <t>A single-nucleotide-resolution ribonucleic acid structure mapping assay which uses RNAse T2 as reagent and enzymatic probe to generate data and information at nucleotide resolution scale, contributing to the determination of nucleic acid secondary structure.</t>
  </si>
  <si>
    <t>http://purl.obolibrary.org/obo/OBI_0001021</t>
  </si>
  <si>
    <t>a single-nucleotide-resolution ribonucleic acid structure mapping assay which uses RNAse T2 as reagent and enzymatic probe to generate data and information at nucleotide resolution scale contributing to the determination of nucleic acid secondary structur</t>
  </si>
  <si>
    <t>gene dosage assay</t>
  </si>
  <si>
    <t>An assay of changes in phenotype due to increased or decreased dosage of a single allele of a gene.</t>
  </si>
  <si>
    <t>PERSON: Bjoern Peters</t>
  </si>
  <si>
    <t>http://purl.obolibrary.org/obo/OBI_0001022</t>
  </si>
  <si>
    <t>an assay of changes in phenotype due to increased or decreased dosage of a single allele of a gene.</t>
  </si>
  <si>
    <t>Fe-BABE RNA structure mapping assay</t>
  </si>
  <si>
    <t>A single-nucleotide-resolution ribonucleic acid structure mapping assay which uses Fe-BABE as reagent and chemical probe to generate data and information at nucleotide resolution scale, contributing to the determination of nucleic acid secondary structure.</t>
  </si>
  <si>
    <t>http://purl.obolibrary.org/obo/OBI_0001023</t>
  </si>
  <si>
    <t>a single-nucleotide-resolution ribonucleic acid structure mapping assay which uses Fe-BABE as reagent and chemical probe to generate data and information at nucleotide resolution scale contributing to the determination of nucleic acid secondary structure</t>
  </si>
  <si>
    <t>RNASE U2 structure mapping assay</t>
  </si>
  <si>
    <t>A single-nucleotide-resolution ribonucleic acid structure mapping assay which uses RNAase U2 as reagent and enzymatic probe to generate data and information at nucleotide resolution scale, contributing to the determination of nucleic acid secondary structure.</t>
  </si>
  <si>
    <t>http://purl.obolibrary.org/obo/OBI_0001024</t>
  </si>
  <si>
    <t>a single-nucleotide-resolution ribonucleic acid structure mapping assay which uses RNAase U2 as reagent and enzymatic probe to generate data and information at nucleotide resolution scale contributing to the determination of nucleic acid secondary structu</t>
  </si>
  <si>
    <t>binding constant determination assay</t>
  </si>
  <si>
    <t>A binding assay where the specified output is a binding constant.</t>
  </si>
  <si>
    <t>PERSON: Bjoern Peters, Randi Vita, Jason Greenbaum</t>
  </si>
  <si>
    <t>binding assay' and (has_specified_output some 'binding constant')</t>
  </si>
  <si>
    <t>binding constant</t>
  </si>
  <si>
    <t>http://purl.obolibrary.org/obo/OBI_0001025</t>
  </si>
  <si>
    <t>A binding assay where the specified output is a binding constant</t>
  </si>
  <si>
    <t>'binding assay' and (has_specified_output some 'binding constant')</t>
  </si>
  <si>
    <t>NMIA RNA structure mapping assay</t>
  </si>
  <si>
    <t>A single-nucleotide-resolution ribonucleic acid structure mapping assay which uses NMIA as reagent and chemical probe to generate data and information at nucleotide resolution scale, contributing to the determination of nucleic acid secondary structure.</t>
  </si>
  <si>
    <t>http://purl.obolibrary.org/obo/OBI_0001026</t>
  </si>
  <si>
    <t>a single-nucleotide-resolution ribonucleic acid structure mapping assay which uses NMIA as reagent and chemical probe to generate data and information at nucleotide resolution scale contributing to the determination of nucleic acid secondary structure</t>
  </si>
  <si>
    <t>Terbium RNA structure mapping assay</t>
  </si>
  <si>
    <t>A single-nucleotide-resolution nucleic acid structure mapping assay which uses Terbium as reagent and chemical probe to generate data and information at nucleotide resolution scale, contributing to the determination of nucleic acid secondary structure.</t>
  </si>
  <si>
    <t>http://purl.obolibrary.org/obo/OBI_0001027</t>
  </si>
  <si>
    <t>a single-nucleotide-resolution nucleic acid structure mapping assay which uses Terbium as reagent and chemical probe to generate data and information at nucleotide resolution scale contributing to the determination of nucleic acid secondary structure</t>
  </si>
  <si>
    <t>OH-radical structure mapping assay</t>
  </si>
  <si>
    <t>A single-nucleotide-resolution nucleic acid structure mapping assay which uses hydroxyl radical as reagent and chemical probe to generate data and information at nucleotide resolution scale, contributing to the determination of nucleic acid secondary structure.</t>
  </si>
  <si>
    <t>http://purl.obolibrary.org/obo/OBI_0001029</t>
  </si>
  <si>
    <t>a single-nucleotide-resolution nucleic acid structure mapping assay which uses hydroxyl radical as reagent and chemical probe to generate data and information at nucleotide resolution scale contributing to the determination of nucleic acid secondary struc</t>
  </si>
  <si>
    <t>RNASE T1 structure mapping assay</t>
  </si>
  <si>
    <t>A single-nucleotide-resolution ribonucleic acid structure mapping assay which uses RNAse T1 as reagent and enzymatic probe to generate data and information at nucleotide resolution scale, contributing to the determination of nucleic acid secondary structure.</t>
  </si>
  <si>
    <t>http://purl.obolibrary.org/obo/OBI_0001030</t>
  </si>
  <si>
    <t>a single-nucleotide-resolution ribonucleic acid structure mapping assay which uses RNAse T1 as reagent and enzymatic probe to generate data and information at nucleotide resolution scale contributing to the determination of nucleic acid secondary structur</t>
  </si>
  <si>
    <t>Nuclease S1 structure mapping assay</t>
  </si>
  <si>
    <t>http://purl.obolibrary.org/obo/OBI_0001035</t>
  </si>
  <si>
    <t>Ruthenium structure mapping assay</t>
  </si>
  <si>
    <t>A single-nucleotide-resolution nucleic acid structure mapping assay which uses Rhutenium as reagent and chemical probe to generate data and information at nucleotide resolution scale, contributing to the determination of nucleic acid secondary structure.</t>
  </si>
  <si>
    <t>http://purl.obolibrary.org/obo/OBI_0001038</t>
  </si>
  <si>
    <t>is a single-nucleotide-resolution nucleic acid structure mapping assay which uses Rhutenium as reagent and chemical probe to generate data and information at nucleotide resolution scale contributing to the determination of nucleic acid secondary structure</t>
  </si>
  <si>
    <t>inline probing RNA structure mapping</t>
  </si>
  <si>
    <t>A single-nucleotide-resolution ribonucleic acid structure mapping assay which uses intromolecular reactivity to generate data and information at nucleotide resolution scale, contributing to the determination of nucleic acid secondary structure.</t>
  </si>
  <si>
    <t>http://purl.obolibrary.org/obo/OBI_0001039</t>
  </si>
  <si>
    <t>is a single-nucleotide-resolution ribonucleic acid structure mapping assay which uses intromolecular reactivity to generate data and information at nucleotide resolution scale contributing to the determination of nucleic acid secondary structure</t>
  </si>
  <si>
    <t>An assay with the objective to characterize the disposition of two or more material entities to form a complex.</t>
  </si>
  <si>
    <t>PERSON:Bjoern Peters, Randi Vita, Jason Greenbaum</t>
  </si>
  <si>
    <t>assay and (has_specified_output some ('is about' some binding))</t>
  </si>
  <si>
    <t>binding datum</t>
  </si>
  <si>
    <t>http://purl.obolibrary.org/obo/OBI_0001146</t>
  </si>
  <si>
    <t>assay and (has_specified_output some 'binding datum')</t>
  </si>
  <si>
    <t>assay and (has_specified_output some 'binding datum'), has_specified_output some 'binding datum'</t>
  </si>
  <si>
    <t>age measurement assay</t>
  </si>
  <si>
    <t>An assay that measures the duration of temporal interval of a process that is part of the life of the bearer, where the initial time point of the measured process is the beginning of some transitional state of the bearer, such as birth or when planted.</t>
  </si>
  <si>
    <t>PERSON: Alan Ruttenberg</t>
  </si>
  <si>
    <t>has_specified_output some 'age measurement datum'</t>
  </si>
  <si>
    <t>age measurement datum</t>
  </si>
  <si>
    <t>http://purl.obolibrary.org/obo/OBI_0001158</t>
  </si>
  <si>
    <t>An assay that measures the duration of temporal interval of a process that is part of the life of the bearer, where the initial time point of the measured process is the beginning of some transitional state of the bearer such as birth or when planted.</t>
  </si>
  <si>
    <t>reverse transcription polymerase chain reaction assay</t>
  </si>
  <si>
    <t>An assay that evaluates the concentration of RNA in a sample in which an RNA strand is first reverse transcribed into its DNA complement (complementary DNA, or cDNA) using the enzyme reverse transcriptase, and the resulting cDNA is amplified using traditional or real-time PCR.</t>
  </si>
  <si>
    <t>PERSON: Chris Stoeckert, Jie Zheng</t>
  </si>
  <si>
    <t>has_specified_input some ('ribonucleic acid' and ('has role' some 'evaluant role'))</t>
  </si>
  <si>
    <t>has part' some 'reverse transcribed polymerase chain reaction'</t>
  </si>
  <si>
    <t>ribonucleic acid and ('has role' some 'evaluant role')</t>
  </si>
  <si>
    <t>information content entity and ('is about' some gene expression)</t>
  </si>
  <si>
    <t>reverse transcribed polymerase chain reaction</t>
  </si>
  <si>
    <t>http://purl.obolibrary.org/obo/OBI_0001170</t>
  </si>
  <si>
    <t xml:space="preserve">an assay that evaluates the concentration of RNA in a sample in which an RNA strand is first reverse transcribed into its DNA complement (complementary DNA, or cDNA) using the enzyme reverse transcriptase, and the resulting cDNA is amplified using traditional or real-time PCR. </t>
  </si>
  <si>
    <t>'has part' some 'reverse transcribed polymerase chain reaction'</t>
  </si>
  <si>
    <t>RNA sequencing</t>
  </si>
  <si>
    <t>A sequencing assay which uses ribonucleic acid as input and results in a the creation of RNA sequence information artifact.</t>
  </si>
  <si>
    <t>Bjoern Peters</t>
  </si>
  <si>
    <t>(has_specified_input some ('ribonucleic acid' and ('has role' some 'evaluant role'))) and (has_specified_output some ('information content entity' and ('is about' some 'primary structure of RNA molecule')))</t>
  </si>
  <si>
    <t>information content entity and ('is about' some primary structure of RNA molecule)</t>
  </si>
  <si>
    <t>http://purl.obolibrary.org/obo/OBI_0001177</t>
  </si>
  <si>
    <t xml:space="preserve">RNA sequencing is a sequencing process which uses ribonucleic acid as input and results in a the creation of RNA sequence information artifact </t>
  </si>
  <si>
    <t>infectious agent detection assay</t>
  </si>
  <si>
    <t>An assay in which the presence or amount of an infectious agent in an input material is detected in an evaluant.</t>
  </si>
  <si>
    <t>Bjoern Peters, Randi Vita, Jason Greenbaum</t>
  </si>
  <si>
    <t>http://purl.obolibrary.org/obo/OBI_0001187</t>
  </si>
  <si>
    <t xml:space="preserve">An assay in which the presence or amount of an infectious agent in an input material is detected in an evaluant </t>
  </si>
  <si>
    <t>ChIP-chip by SNP array assay</t>
  </si>
  <si>
    <t>A ChIP-chip assay where chromatin immunoprecipitation (ChIP) is used in combination with SNP microarray technology.</t>
  </si>
  <si>
    <t>Group: ArrayExpress production team</t>
  </si>
  <si>
    <t>ChIP-chip assay</t>
  </si>
  <si>
    <t>SNP microarray</t>
  </si>
  <si>
    <t>http://purl.obolibrary.org/obo/OBI_0001221</t>
  </si>
  <si>
    <t>An assay where chromatin immunoprecipitation (ChIP) is used in combination with SNP microarray technology</t>
  </si>
  <si>
    <t>'has participant' some 'SNP microarray'</t>
  </si>
  <si>
    <t>transcription profiling by tiling array assay</t>
  </si>
  <si>
    <t>A transcription profiling assay in which the transcriptome of a biological sample is analysed using a tiling path array.</t>
  </si>
  <si>
    <t>Person: James Malone</t>
  </si>
  <si>
    <t>achieves_planned_objective some 'transcription profiling identification objective'</t>
  </si>
  <si>
    <t>specimen and ('has part' some ribonucleic acid)</t>
  </si>
  <si>
    <t>measurement data item and ('is about' some gene expression</t>
  </si>
  <si>
    <t>tiling microarray</t>
  </si>
  <si>
    <t>http://purl.obolibrary.org/obo/OBI_0001235</t>
  </si>
  <si>
    <t>An assay in which the transcriptome of a biological sample is analysed using a tiling path array.</t>
  </si>
  <si>
    <t>'has participant' some 'tiling microarray'</t>
  </si>
  <si>
    <t>genotyping by high throughput sequencing assay</t>
  </si>
  <si>
    <t>A genotyping assay in which high througput sequencer is used to detect polymorphisms in DNA samples.</t>
  </si>
  <si>
    <t>http://purl.obolibrary.org/obo/OBI_0001247</t>
  </si>
  <si>
    <t>An assay in which high througput sequencer is used to detect polymorphisms in DNA samples</t>
  </si>
  <si>
    <t>An assay that aims to investigate the interactions between protein and DNA relying on chromatin immunoprecipitation ('ChIP') combined with microarray technology ('chip'). Specially, it allows the identification of protein binding sites on a genome-wide basis.</t>
  </si>
  <si>
    <t>assay using chromatin immunoprecipitation</t>
  </si>
  <si>
    <t>achieves_planned_objective some 'protein and DNA interaction identification objective'</t>
  </si>
  <si>
    <t>has_specified_input some (specimen and ('has part' some 'deoxyribonucleic acid') and ('has part' some 'protein complex'))</t>
  </si>
  <si>
    <t>has_specified_output some ('information content entity' and ('is about' some ('chromatin remodeling' or 'regulation of molecular function, epigenetic' or 'sequence-specific DNA binding' or 'transcription factor binding site')))</t>
  </si>
  <si>
    <t>has part' some immunoprecipitation, has_specified_input some (specimen and ('has part' some 'deoxyribonucleic acid') and ('has part' some 'protein complex'))</t>
  </si>
  <si>
    <t>Do you mean 'specifically' instead of 'specially'?</t>
  </si>
  <si>
    <t>protein and DNA interaction identification objective</t>
  </si>
  <si>
    <t>specimen and ('has part' some 'deoxyribonucleic acid') and ('has part' some 'protein complex')</t>
  </si>
  <si>
    <t>information content entity' and ('is about' some ('chromatin remodeling' or 'regulation of molecular function, epigenetic' or 'sequence-specific DNA binding' or 'transcription factor binding site')</t>
  </si>
  <si>
    <t>chromatin remodeling or regulation of molecular function, epigenetic or sequence-specific DNA binding or 'transcription factor binding site</t>
  </si>
  <si>
    <t>DNA microarray</t>
  </si>
  <si>
    <t>immunoprecipitation</t>
  </si>
  <si>
    <t>http://purl.obolibrary.org/obo/OBI_0001248</t>
  </si>
  <si>
    <t>an assay that aims to investigate the interactions between protein and DNA relying on chromatin immunoprecipitation ('ChIP') combined with microarray technology ('chip'). Specially, it allows the identification of protein binding sites on a genome-wide basis.</t>
  </si>
  <si>
    <t>has_specified_input some (specimen and ('has part' some 'deoxyribonucleic acid' and  'protein complex')</t>
  </si>
  <si>
    <t>'has participant' some 'DNA microarray'</t>
  </si>
  <si>
    <t>'has part' some immunoprecipitation, has_specified_input some (specimen and ('has part' some 'deoxyribonucleic acid') and ('has part' some 'protein complex'))</t>
  </si>
  <si>
    <t>DNA methylation profiling by high throughput sequencing assay</t>
  </si>
  <si>
    <t>A DNA methylation profiling assay in which the methylation state of DNA is determined and is compared between samples using sequencing based technology.</t>
  </si>
  <si>
    <t>Group: ArrayExpress production team, James Malone, Helen Parkinson</t>
  </si>
  <si>
    <t>DNA methylation profiling assay' and ('has participant' some 'DNA sequencer')</t>
  </si>
  <si>
    <t>http://purl.obolibrary.org/obo/OBI_0001266</t>
  </si>
  <si>
    <t>An assay in which the methylation state of DNA is determined and is compared between samples using sequencing based technology</t>
  </si>
  <si>
    <t>'DNA methylation profiling assay' and ('has participant' some 'DNA sequencer')</t>
  </si>
  <si>
    <t>RNA-seq assay</t>
  </si>
  <si>
    <t>A transcription profiling or sequencing assay in which sequencing technology (e.g. Solexa/454) is used to generate RNA sequence, analyse the transcibed regions of the genome, and/or to quantitate transcript abundance.</t>
  </si>
  <si>
    <t>PERSON: James Malone</t>
  </si>
  <si>
    <t>transcription profiling assay, sequencing assay</t>
  </si>
  <si>
    <t>has_specified_output some ('sequence data' and ('is about' some 'gene expression'))</t>
  </si>
  <si>
    <t>sequence data and ('is about' some gene expression)</t>
  </si>
  <si>
    <t>http://purl.obolibrary.org/obo/OBI_0001271</t>
  </si>
  <si>
    <t>An assay in which sequencing technology (e.g. Solexa/454) is used to generate RNA sequence, analyse the transcibed regions of the genome, and or to quantitate transcript abundance</t>
  </si>
  <si>
    <t>transcription profiling sequencing assay</t>
  </si>
  <si>
    <t>genotyping by array assay</t>
  </si>
  <si>
    <t>A genotyping assay in which an array is used to detect polymorphisms in DNA samples.</t>
  </si>
  <si>
    <t>http://purl.obolibrary.org/obo/OBI_0001274</t>
  </si>
  <si>
    <t>An assay in which an array is used to detect polymorphisms in DNA samples</t>
  </si>
  <si>
    <t>translation profiling assay</t>
  </si>
  <si>
    <t>An analyte assay in which surface-bound, translationally competent ribosome complexes are used to generate a translation profile for mRNA. mRNA may be a single molecular species or a combination of species, including complex mixtures such as those found in the set of mRNAs isolated from a cell or tissue. One or more components of the surface-bound ribosome complex may be labeled at specific positions to permit analysis of multiple or single molecules for determination of ribosomal conformational changes and translation kinetics. Translation profiles are used as the basis for comparison of an mRNA or set of mRNA species. The translation profile can be used to determine such characteristics as kinetics of initiation, kinetic of elongation, identity of the polypeptide product, and the like. Analysis of translation profiles may be used to determine differential gene expression, optimization of mRNA sequences for expression, and screening drug candidates for an effect on translation.</t>
  </si>
  <si>
    <t>achieves_planned_objective some 'molecular feature identification objective'</t>
  </si>
  <si>
    <t>molecular feature identification objective</t>
  </si>
  <si>
    <t>http://purl.obolibrary.org/obo/OBI_0001282</t>
  </si>
  <si>
    <t>An assay in which surface-bound, translationally competent ribosome complexes are used to generate a translation profile for mRNA, which mRNA may be a single molecular species, or a combination of species, including complex mixtures such as those found in the set of mRNAs isolated from a cell or tissue. One or more components of the surface-bound ribosome complex may be labeled at specific positions to permit analysis of multiple or single molecules for determination of ribosomal conformational changes and translation kinetics. Translation profiles are used as the basis for comparison of an mRNA or set of mRNA species. The translation profile can be used to determine such characteristics as kinetics of initiation, kinetic of elongation, identity of the polypeptide product, and the like. Analysis of translation profiles may be used to determine differential gene expression, optimization of mRNA sequences for expression, screening drug candidates for an effect on translation.</t>
  </si>
  <si>
    <t>RNAi profiling by array assay</t>
  </si>
  <si>
    <t>An analyte assay in which double stranded RNA is synthesized with a sequence complementary to a gene(s) of interest and introduced into a cell or organism. It is then recognized as exogenous genetic material and activates the RNAi pathway, resulting in knockdown of the transcripts and providing a means to study downstream changes in gene expression.</t>
  </si>
  <si>
    <t>http://purl.obolibrary.org/obo/OBI_0001304</t>
  </si>
  <si>
    <t>An assay in which double stranded RNA is synthesized with a sequence complementary to a gene(s) of interest and introduced into a cell or organism, where it is recognized as exogenous genetic material and activates the RNAi pathway resulting in knockdown of the transcripts and providing a means to study downstream changes in gene expression.</t>
  </si>
  <si>
    <t>proteomic profiling by array assay</t>
  </si>
  <si>
    <t>An analyte assay where proteins in a sample are detected, quantified, or otherwise analysed, e.g. antibody profiling using an array based technology.</t>
  </si>
  <si>
    <t>has_specified_input some (specimen and ('has part' some protein))</t>
  </si>
  <si>
    <t>realizes some ('analyte role' and ('role of' some protein))</t>
  </si>
  <si>
    <t>specimen and ('has part' some protein)</t>
  </si>
  <si>
    <t>protein microarray</t>
  </si>
  <si>
    <t>protein</t>
  </si>
  <si>
    <t>http://purl.obolibrary.org/obo/OBI_0001318</t>
  </si>
  <si>
    <t>An assay that proteins in a sample are detected, quantified or otherwise analysed, e.g. antibody profiling using an array based technology</t>
  </si>
  <si>
    <t>'has participant' some 'protein microarray'</t>
  </si>
  <si>
    <t>realizes some ('analyte role' and ('is role of' some protein))</t>
  </si>
  <si>
    <t>DNA methylation profiling by array assay</t>
  </si>
  <si>
    <t>A DNA methylation profiling assay in which the methylation state of DNA is determined and compared between samples using array technology.</t>
  </si>
  <si>
    <t>DNA methylation profiling assay' and ('has participant' some 'DNA microarray')</t>
  </si>
  <si>
    <t>http://purl.obolibrary.org/obo/OBI_0001332</t>
  </si>
  <si>
    <t>An assay in which the methylation state of DNA is determined and is compared between samples using array technology</t>
  </si>
  <si>
    <t>'DNA methylation profiling assay' and ('has participant' some 'DNA microarray')</t>
  </si>
  <si>
    <t>microRNA profiling by array assay</t>
  </si>
  <si>
    <t>A microRNA profiling assay in which a microRNA array is used to analyse the microRNA component of the transcriptome.</t>
  </si>
  <si>
    <t>microRNA profiling assay</t>
  </si>
  <si>
    <t>has_specified_output some ('measured expression level' and ('is about' some miRNA))</t>
  </si>
  <si>
    <t>measured expression level and ('is about' some miRNA)</t>
  </si>
  <si>
    <t>miRNA</t>
  </si>
  <si>
    <t>http://purl.obolibrary.org/obo/OBI_0001335</t>
  </si>
  <si>
    <t>An assay in which a microRNA array is used to analyse the microRNA component of the transcriptome.</t>
  </si>
  <si>
    <t>transcription profiling by RT-PCR assay</t>
  </si>
  <si>
    <t>An transcription profiling assay in which the transcriptome of a biological sample is analysed by reverse transcription PCR (RT-PCR).</t>
  </si>
  <si>
    <t>Person: Anna Farne</t>
  </si>
  <si>
    <t>has part' some 'reverse transcribed polymerase chain reaction', has_specified_input some (specimen and ('has part' some 'ribonucleic acid'))</t>
  </si>
  <si>
    <t>PCR instrument</t>
  </si>
  <si>
    <t>http://purl.obolibrary.org/obo/OBI_0001361</t>
  </si>
  <si>
    <t>An assay in which the transcriptome of a biological sample is analysed by reverse transcription PCR (RT-PCR)</t>
  </si>
  <si>
    <t>'has participant' some 'PCR instrument'</t>
  </si>
  <si>
    <t>'has part' some 'reverse transcribed polymerase chain reaction', has_specified_input some (specimen and ('has part' some 'ribonucleic acid'))</t>
  </si>
  <si>
    <t>comparative genomic hybridization by array assay</t>
  </si>
  <si>
    <t>A genotyping assay in which changes in DNA sequence copy number are analysed using a microarray. For example, the analysis of LOH in tumor cells vs a non diseased sample or the comparison of clinical isolated of disease causing bacteria.</t>
  </si>
  <si>
    <t>http://purl.obolibrary.org/obo/OBI_0001393</t>
  </si>
  <si>
    <t>An assay in which changes in DNA sequence copy number are analysed using a microarray. For example the analysis of LOH in tumor cells vs a non diseased sample or the comparison of clinical isolated of disease causing bacteria.</t>
  </si>
  <si>
    <t>ChIP-chip by tiling array assay</t>
  </si>
  <si>
    <t>A ChIP-chip assay where chromatin immunoprecipitation (ChIP) is used in combination with tiling microarray technology.</t>
  </si>
  <si>
    <t>http://purl.obolibrary.org/obo/OBI_0001419</t>
  </si>
  <si>
    <t>An assay where chromatin immunoprecipitation (ChIP) is used in combination with tiling  microarray technology</t>
  </si>
  <si>
    <t>transcription profiling by array assay</t>
  </si>
  <si>
    <t>A transcription profiling assay in which the transcriptome of a biological sample is analysed using array technology.</t>
  </si>
  <si>
    <t>http://purl.obolibrary.org/obo/OBI_0001463</t>
  </si>
  <si>
    <t>An assay in which  the transcriptome of a biological sample is analysed using array technology.</t>
  </si>
  <si>
    <t>radioactivity detection binding assay</t>
  </si>
  <si>
    <t>A binding assay that uses radioactivity detection as an indicator of binding.</t>
  </si>
  <si>
    <t>PERSON:Bjoern Peters, Randi Vita</t>
  </si>
  <si>
    <t>binding assay' and ('has part' some 'radioactivity detection')</t>
  </si>
  <si>
    <t>Instead of 'indicator', maybe 'indication'?</t>
  </si>
  <si>
    <t>radioactivity detection</t>
  </si>
  <si>
    <t>http://purl.obolibrary.org/obo/OBI_0001491</t>
  </si>
  <si>
    <t>binding assay that uses radioactivity detection as an indicator of binding</t>
  </si>
  <si>
    <t>'binding assay' and ('has part' some 'radioactivity detection')</t>
  </si>
  <si>
    <t>fluorescence detection binding assay</t>
  </si>
  <si>
    <t>A binding assay that uses fluorescence detection as an indicator of binding.</t>
  </si>
  <si>
    <t>binding assay' and ('has part' some 'fluorescence detection assay')</t>
  </si>
  <si>
    <t>http://purl.obolibrary.org/obo/OBI_0001499</t>
  </si>
  <si>
    <t>binding assay that uses fluorescence detection as an indicator of binding</t>
  </si>
  <si>
    <t>'binding assay' and ('has part' some 'fluorescence detection')</t>
  </si>
  <si>
    <t>direct binding assay</t>
  </si>
  <si>
    <t>A binding assay that measures the formation or disassociation of a complex of two material entities directly without use of a competitve ligand.</t>
  </si>
  <si>
    <t>http://purl.obolibrary.org/obo/OBI_0001591</t>
  </si>
  <si>
    <t xml:space="preserve">a binding assay that measures the formation or disassociation of a complex of 2 material entities directly without use of a competitve ligand. </t>
  </si>
  <si>
    <t>organism identification assay</t>
  </si>
  <si>
    <t>An assay that identifies the organism species in a specimen.</t>
  </si>
  <si>
    <t>Person: Chris Stoeckert, Jie Zheng</t>
  </si>
  <si>
    <t>assay and (achieves_planned_objective some 'organism identification objective')</t>
  </si>
  <si>
    <t>(has_specified_input some (specimen and ('has part' some organism))) and (has_specified_output some ('information content entity' and ('is about' some organism)))</t>
  </si>
  <si>
    <t>organism identification objective</t>
  </si>
  <si>
    <t>specimen and ('has part' some organism)</t>
  </si>
  <si>
    <t>information content entity' and ('is about' some organism)</t>
  </si>
  <si>
    <t>http://purl.obolibrary.org/obo/OBI_0001624</t>
  </si>
  <si>
    <t>split-ubiquitin assay</t>
  </si>
  <si>
    <t>A binding assay that is a kind of yeast 2 hybrid system which enables membrane soluble proteins to be screened. Two integral membrane proteins to be studied are fused to two different ubiquitin moieties: a C-terminal ubiquitin moiety (\"Cub\", residues 35–76) and an N-terminal ubiquitin moiety (\"Nub\", residues 1–34). These fused proteins are called the bait and prey, respectively. In addition to being fused to an integral membrane protein, the Cub moiety is also fused to a transcription factor (TF) that can be cleaved off by ubiquitin specific proteases. Upon bait–prey interaction, Nub and Cub-moieties assemble, reconstituting the split-ubiquitin. The reconstituted split-ubiquitin molecule is recognized by ubiquitin specific proteases, which cleave off the reporter protein, allowing it to induce the transcription of reporter genes.</t>
  </si>
  <si>
    <t>PERSON:Philippe Rocca-Serra; Marcus Chibucos</t>
  </si>
  <si>
    <t>(assay and (has_specified_input some 'genetically modified material') and (has_specified_output some ('data item' and ('is about' some 'protein domain specific binding')))) and (achieves_planned_objective some 'protein and DNA interaction identification objective')</t>
  </si>
  <si>
    <t>This definition has a lot of technical terms. Maybe  make it easier for other people not in the field to understand?</t>
  </si>
  <si>
    <t>genetically modified material</t>
  </si>
  <si>
    <t>data item' and ('is about' some 'protein domain specific binding')</t>
  </si>
  <si>
    <t>protein domain specific binding</t>
  </si>
  <si>
    <t>http://purl.obolibrary.org/obo/OBI_0001668</t>
  </si>
  <si>
    <t xml:space="preserve">split-ubiquitin assay </t>
  </si>
  <si>
    <t>is a kind of yeast 2 hybrid system which enables membrane soluble proteins to be screened.  two integral membrane proteins to be studied are fused to two different ubiquitin moieties: a C-terminal ubiquitin moiety (\"Cub\", residues 35–76) and an N-terminal ubiquitin moiety (\"Nub\", residues 1–34). These fused proteins are called the bait and prey, respectively. In addition to being fused to an integral membrane protein, the Cub moiety is also fused to a transcription factor (TF) that can be cleaved off by ubiquitin specific proteases. Upon bait–prey interaction, Nub and Cub-moieties assemble, reconstituting the split-ubiquitin. The reconstituted split-ubiquitin molecule is recognized by ubiquitin specific proteases, which cleave off the reporter protein, allowing it to induce the transcription of reporter genes.</t>
  </si>
  <si>
    <t>(assay and (has_specified_input some 'genetically modified material') and (has_specified_output some ('data item' and ('is about' some 'protein domain specific binding')))) and (achieves_planned_objective some 'protein and DNA interaction identification o</t>
  </si>
  <si>
    <t>far-Western blot</t>
  </si>
  <si>
    <t>A binding assay that is an adaptation on the western blot assay to explore protein-protein interaction. The assay involves separating target proteins on an SDS-PAGE gel, blotting to a membrane, hybridization with a protein probe, and visualization using a probe-directed antibody.</t>
  </si>
  <si>
    <t>(assay and (has_specified_input some 'protein complex') and (has_specified_output some ('data item' and ('is about' some 'protein domain specific binding')))) and (achieves_planned_objective some 'assay objective')</t>
  </si>
  <si>
    <t>protein complex</t>
  </si>
  <si>
    <t>http://purl.obolibrary.org/obo/OBI_0001669</t>
  </si>
  <si>
    <t>is a adaptation on the western blot assay to explore protein-protein interaction. The assay involves separating target proteins on an SDS-PAGE gel, blotting to a membrane, hybridization with a protein probe and visualization using a probe-directed antibody.</t>
  </si>
  <si>
    <t>RNA protection assay</t>
  </si>
  <si>
    <t>An assay to assess the presence and estimate abundance of transcript species by first creating an homo or heteroduplex by adding a specific, complementary sequence to the sequence of interest and then exposing the mixture of ribonuclease, which will degrade only single stranded molecules. A detection step will reveal if the sample contained a sequence of interest.</t>
  </si>
  <si>
    <t>(assay and (has_specified_input some 'RNA extract') and (has_specified_output some ('data item' and ('is about' some 'gene expression')))) and (achieves_planned_objective some 'assay objective')</t>
  </si>
  <si>
    <t>RNA extract</t>
  </si>
  <si>
    <t>data item' and ('is about' some 'gene expression')</t>
  </si>
  <si>
    <t>http://purl.obolibrary.org/obo/OBI_0001670</t>
  </si>
  <si>
    <t>RPA is a technique to assess the presence and estimate abundance of transcript species by first creating an homo or heteroduplex by adding a specific, complementary sequence to the sequence of interest and then exposing the mixture of ribonuclease, which will degrade only single stranded molecules. A detection step will reveal if the sample contained a sequence of interest.</t>
  </si>
  <si>
    <t>electrophoretic mobility shift assay</t>
  </si>
  <si>
    <t>is an assay which aims to provide information about Protein-DNA or Protein-RNA interaction and which used gel electrophoresis and relies on the fact the molecular interactions will cause the heterodimer to be retarded on the gel when compared to controls corresponding to protein extract alone and protein extract + neutral nucleic acid.</t>
  </si>
  <si>
    <t>(assay and (has_specified_input some 'RNA extract') and (has_specified_output some ('data item' and ('is about' some 'sequence-specific DNA binding')))) and (achieves_planned_objective some 'assay objective')</t>
  </si>
  <si>
    <t>A binding assay which aims to provide information about protein-DNA or protein-RNA interaction, using gel electrophoresis and relying on the fact that the molecular interactions will cause the heterodimer to be retarded on the gel when compared to controls correspondoning to the protein extract alone and the protein extract with neutral nucleic acid.</t>
  </si>
  <si>
    <t>data item' and ('is about' some 'sequence-specific DNA binding')</t>
  </si>
  <si>
    <t>Sequence-specific DNA binding</t>
  </si>
  <si>
    <t>http://purl.obolibrary.org/obo/OBI_0001671</t>
  </si>
  <si>
    <t xml:space="preserve">electrophoretic mobility shift assay </t>
  </si>
  <si>
    <t>is an assay which aims to provide information about Protein-DNA or Protein-RNA interaction and which used gel electrophoresis and relies on the fact the molecular interactions will cause the heterodimer to be retarded on the gel when compared to controls corresponding to protein extract alone and protein extract + neutral nucleic acid</t>
  </si>
  <si>
    <t>gene knock-down assay</t>
  </si>
  <si>
    <t>An assay which transiently disrupts gene transcripts by expressing antisense RNA constructs or delivering RNA interfering molecules in cells.</t>
  </si>
  <si>
    <t>(assay and (has_specified_input some 'cultured cell population') and (has_specified_output some ('data item' and ('is about' some molecular_function)))) and (achieves_planned_objective some 'assay objective')</t>
  </si>
  <si>
    <t>cultured cell population</t>
  </si>
  <si>
    <t>data item' and ('is about' some molecular_function)</t>
  </si>
  <si>
    <t>molecular function</t>
  </si>
  <si>
    <t>http://purl.obolibrary.org/obo/OBI_0001672</t>
  </si>
  <si>
    <t>is an assay which transiently disrupts gene transcripts by expressing antisense RNA constructs or delivering RNA interfering molecules in cells.</t>
  </si>
  <si>
    <t>nano-cap analysis of gene expression</t>
  </si>
  <si>
    <t>nano-CAGE is a type of CAGE developed to work from very low amount (nanogram scale) of mRNA samples</t>
  </si>
  <si>
    <t>(assay and (has_specified_input some 'RNA extract') and (has_specified_output some ('data item' and ('is about' some 'gene expression')))) and (achieves_planned_objective some 'transcription profiling identification objective')</t>
  </si>
  <si>
    <t>A transcription profiling assay developed to work with very low amounts (nanogram scale) of mRNA samples.</t>
  </si>
  <si>
    <t>data item and ('is about' some gene expression)</t>
  </si>
  <si>
    <t>http://purl.obolibrary.org/obo/OBI_0001673</t>
  </si>
  <si>
    <t xml:space="preserve">nano-cap analysis of gene expression </t>
  </si>
  <si>
    <t>cap analysis of gene expression</t>
  </si>
  <si>
    <t>An assay which aims at monitoring RNA transcript abundances in biological samples by extracting 5' ends of capped transcripts, RTPCR and sequence those. Copy numbers of CAGE tags provide  a way of quantification and provide a measure of expression of the transcriptome</t>
  </si>
  <si>
    <t>has_specified_input some 'RNA extract'</t>
  </si>
  <si>
    <t>has part' some 'reverse transcribed polymerase chain reaction', 'has part' some 'DNA sequencing'</t>
  </si>
  <si>
    <t>A transcription profiling or sequencing assay which aims at monitoring RNA transcript abundances in biolofical samples by extracting 5' ends of capped transcripts, then use RTPCR, and finally sequencing them. Copy numbers of CAGE tags provide a way of quantification and a measure of expression of the transcriptome.</t>
  </si>
  <si>
    <t>reverse transcribed polymerase chain reaction, DNA sequencing</t>
  </si>
  <si>
    <t>http://purl.obolibrary.org/obo/OBI_0001674</t>
  </si>
  <si>
    <t xml:space="preserve">cap analysis of gene expression </t>
  </si>
  <si>
    <t xml:space="preserve">An assay which aims at monitoring RNA transcript abundances in biological samples by extracting 5' ends of capped transcripts, RTPCR and sequence those. Copy numbers of CAGE tags provide  a way of quantification and provide a measure of expression of the transcriptome </t>
  </si>
  <si>
    <t>'has part' some 'reverse transcribed polymerase chain reaction', 'has part' some 'DNA sequencing'</t>
  </si>
  <si>
    <t>yeast 2-hybrid</t>
  </si>
  <si>
    <t>yeast 2 hybrid screen is an assay meant  to discover protein–protein interactions and protein–DNA interactions by testing for physical interactions (such as binding) between two proteins or a single protein and a DNA molecule, respectively. The premise behind the test is the activation of downstream reporter gene(s) by the binding of a transcription factor onto an upstream activating sequence (UAS). For two-hybrid screening, the transcription factor is split into two separate fragments, called the binding domain (BD) and activating domain (AD). The BD is the domain responsible for binding to the UAS and the AD is the domain responsible for the activation of transcription.[1][2] The Y2H is thus a protein-fragment complementation assay.</t>
  </si>
  <si>
    <t>A binding assay meant to discover protein-protein interactions and protein-DNA interactions by testing for physical interactions, such as binding, between two proteins or a single protein and a DNA molecule. The premise behind the test is the activation of downstream reporter gene(s) by the binding of a transcription factor onto an upstream activating sequence (UAS). For two-hybrid screening, the transcription factor is split into two separate fragments, the binding domain (BD) and the activating domain (AD). The BD is responsible for binding to the UAS while the AD is responsible for the activation of the transcription. The yeast 2-hybrid is thuse a protein-fragment complementation assay.</t>
  </si>
  <si>
    <t>http://purl.obolibrary.org/obo/OBI_0001679</t>
  </si>
  <si>
    <t xml:space="preserve">yeast 2-hybrid </t>
  </si>
  <si>
    <t>Sos-recruitment assay</t>
  </si>
  <si>
    <t>A binding assay that is a kind of yeast 2 hybrid system where mammalian guanyl nucleotide exchange factor (GEF) Sos is recruited to the Saccharomyces cerevisiae plasma membrane harboring a temperature-sensitive Ras GEF, Cdc25-2, allowing growth at the nonpermissive temperature. Using the Sos recruitment system, interacting proteins for targeted domain can be detected.</t>
  </si>
  <si>
    <t>Instead of 'for targeted domain', how about 'within target domain'?</t>
  </si>
  <si>
    <t>http://purl.obolibrary.org/obo/OBI_0001680</t>
  </si>
  <si>
    <t xml:space="preserve">Sos-recruitment assay </t>
  </si>
  <si>
    <t>is a kind of yeast 2 hybrid system where mammalian guanyl nucleotide exchange factor (GEF) Sos is recruited to the Saccharomyces cerevisiae plasma membrane harboring a temperature-sensitive Ras GEF, Cdc25-2, allowing growth at the nonpermissive temperature. Using the Sos recruitment system, interacting proteins for targeted domain can be detected.</t>
  </si>
  <si>
    <t>yeast one-hybrid</t>
  </si>
  <si>
    <t>The one-hybrid variation of this technique is designed to investigate protein–DNA interactions and uses a single fusion protein in which the AD is linked directly to the binding domain.</t>
  </si>
  <si>
    <t>(assay and (has_specified_input some 'genetically modified material') and (has_specified_output some ('data item' and ('is about' some 'sequence-specific DNA binding')))) and (achieves_planned_objective some 'assay objective')</t>
  </si>
  <si>
    <t>A binding assay that is the one-hybrid variation of the yeast 2-hybrid technique and is designed to investigate protein-DNA interactions using a single fusion protein in which the activating domain is linked directly to the binding domain.</t>
  </si>
  <si>
    <t>http://purl.obolibrary.org/obo/OBI_0001681</t>
  </si>
  <si>
    <t xml:space="preserve">yeast one-hybrid </t>
  </si>
  <si>
    <t xml:space="preserve">The one-hybrid variation of this technique is designed to investigate protein–DNA interactions and uses a single fusion protein in which the AD is linked directly to the binding domain. </t>
  </si>
  <si>
    <t>bacterial one-hybrid</t>
  </si>
  <si>
    <t>A yeast one-hybrid method for identifying the sequence-specific target site of a DNA-binding domain. In this system, a given transcription factor (TF) is expressed as a fusion to a subunit of RNA polymerase. In parallel, a library of randomized oligonucleotides representing potential TF target sequences is cloned into a separate vector containing the selectable genes HIS3 and URA3. If the DNA-binding domain (bait) binds a potential DNA target site (prey) in vivo, it will recruit RNA polymerase to the promoter and activate transcription of the reporter genes in that clone. The two reporter genes, HIS3 and URA3, allow for positive and negative selections, respectively. At the end of the process, positive clones are sequenced and examined with motif-finding tools in order to resolve the favoured DNA target sequence.</t>
  </si>
  <si>
    <t>(assay and (has_specified_input some 'genetically modified material') and (has_specified_output some ('data item' and ('is about' some 'sequence-specific DNA binding')))) and (achieves_planned_objective some 'protein and DNA interaction identification objective')</t>
  </si>
  <si>
    <t>Replaced 'is a method' with  'A yeast one-hybrid method'</t>
  </si>
  <si>
    <t>data item and ('is about' some sequence-specific DNA binding)</t>
  </si>
  <si>
    <t>sequence-specific DNA binding</t>
  </si>
  <si>
    <t>http://purl.obolibrary.org/obo/OBI_0001682</t>
  </si>
  <si>
    <t xml:space="preserve">bacterial one-hybrid </t>
  </si>
  <si>
    <t xml:space="preserve"> is a method for identifying the sequence-specific target site of a DNA-binding domain. In this system, a given transcription factor (TF) is expressed as a fusion to a subunit of RNA polymerase. In parallel, a library of randomized oligonucleotides representing potential TF target sequences, is cloned into a separate vector containing the selectable genes HIS3 and URA3. If the DNA-binding domain (bait) binds a potential DNA target site (prey) in vivo, it will recruit RNA polymerase to the promoter and activate transcription of the reporter genes in that clone. The two reporter genes, HIS3 and URA3, allow for positive and negative selections, respectively. At the end of the process, positive clones are sequenced and examined with motif-finding tools in order to resolve the favoured DNA target sequence</t>
  </si>
  <si>
    <t>(assay and (has_specified_input some 'genetically modified material') and (has_specified_output some ('data item' and ('is about' some 'sequence-specific DNA binding')))) and (achieves_planned_objective some 'protein and DNA interaction identification obj</t>
  </si>
  <si>
    <t>chromosome organization assay by fluorescence in-situ hybridization</t>
  </si>
  <si>
    <t>An in-situ hybridization assay that uses fluorescence as a means of detection chromosomal integrity.</t>
  </si>
  <si>
    <t>in-situ hybridization</t>
  </si>
  <si>
    <t>('in-situ hybridization' and (has_specified_input some 'binding constant') and (has_specified_output some ('data item' and ('is about' some 'chromosome organization')))) and (achieves_planned_objective some 'biological feature identification objective')</t>
  </si>
  <si>
    <t>biological feature identification objective</t>
  </si>
  <si>
    <t>data item' and ('is about' some 'chromosome organization')</t>
  </si>
  <si>
    <t>chromosome organization</t>
  </si>
  <si>
    <t>http://purl.obolibrary.org/obo/OBI_0001683</t>
  </si>
  <si>
    <t>is an in-situ hybridization assay that uses fluorescence as means of detection chromosomal integrity</t>
  </si>
  <si>
    <t>(assay and (has_specified_input some 'binding constant') and (has_specified_output some ('data item' and ('is about' some 'chromosome organization')))) and (achieves_planned_objective some 'biological feature identification objective')</t>
  </si>
  <si>
    <t>methylation-specific polymerase chain reaction</t>
  </si>
  <si>
    <t>is an assay which uses initial modification of DNA by sodium bisulfite, converting all unmethylated, but not methylated, cytosines to uracil, and subsequent amplification with primers specific for methylated versus unmethylated DNA.</t>
  </si>
  <si>
    <t>An assay which uses initial modification of DNA through sodium bisulfite, converting all unmethlyated cytosines to uracil, and subsequent amplication with primers specific for methylated versus unmethlyated DNA.</t>
  </si>
  <si>
    <t>http://purl.obolibrary.org/obo/OBI_0001684</t>
  </si>
  <si>
    <t>(assay and (has_specified_input some 'binding complex 3D structure determination assay') and (has_specified_output some ('data item' and ('is about' some 'regulation of DNA methylation')))) and (achieves_planned_objective some 'epigenetic modification ide</t>
  </si>
  <si>
    <t>amplification of intermethylated sites (AIMS) assay</t>
  </si>
  <si>
    <t>amplification of intermethylated sites (AIMS) is an assay appropriate for genome-wide estimates of DNA methylation and the discovery of specific methylated sequences. AIMS is based on the differential enzymatic digestion of genomic DNA with methylation-sensitive and methylation-insensitive isoschizomers followed by restrained PCR amplification of methylated sequences.</t>
  </si>
  <si>
    <t>(assay and (has_specified_input some 'high molecular weight DNA extract') and (has_specified_output some ('data item' and ('is about' some 'regulation of DNA methylation')))) and (achieves_planned_objective some 'epigenetic modification identification objective')</t>
  </si>
  <si>
    <t>A DNA methylation profiling assay appropriate for genome-wide estimates of DNA methylation and discovery of specific methylated sequences. Amplification of intermethylated sites (AIMS) is based on the differential enzymatic digestion of genomic DNA with methlyation-sensitive and methylation-insensitive isochizomers, followed by restrained PCR amplificiation of methylated sequences.</t>
  </si>
  <si>
    <t>data item' and ('is about' some 'regulation of DNA methylation')</t>
  </si>
  <si>
    <t>http://purl.obolibrary.org/obo/OBI_0001685</t>
  </si>
  <si>
    <t xml:space="preserve">amplification of intermethylated sites (AIMS) assay </t>
  </si>
  <si>
    <t xml:space="preserve"> amplification of intermethylated sites (AIMS) is an assay appropriate for genome-wide estimates of DNA methylation and the discovery of specific methylated sequences. AIMS is based on the differential enzymatic digestion of genomic DNA with methylation-sensitive and methylation-insensitive isoschizomers followed by restrained PCR amplification of methylated sequences.</t>
  </si>
  <si>
    <t>(assay and (has_specified_input some 'high molecular weight DNA extract') and (has_specified_output some ('data item' and ('is about' some 'regulation of DNA methylation')))) and (achieves_planned_objective some 'epigenetic modification identification obj</t>
  </si>
  <si>
    <t>An assay using artificially induced nucleic hybridization to localize a specific DNA or RNA sequence in a portion or section of tissue.</t>
  </si>
  <si>
    <t>(assay and (has_specified_input some 'labeled nucleic acid extract') and (has_specified_output some ('data item' and ('is about' some 'macromolecule localization')))) and (achieves_planned_objective some 'biological feature identification objective')</t>
  </si>
  <si>
    <t>labeled nucleic acid extract</t>
  </si>
  <si>
    <t>data item' and ('is about' some 'macromolecule localization')</t>
  </si>
  <si>
    <t>macromolecule localization</t>
  </si>
  <si>
    <t>http://purl.obolibrary.org/obo/OBI_0001686</t>
  </si>
  <si>
    <t xml:space="preserve">is an assay using artificially induced nucleic hybridization to localize a specific DNA or RNA sequence in a portion or section of tissue </t>
  </si>
  <si>
    <t>cytochalasin-induced inhibition of actin polymerization assay</t>
  </si>
  <si>
    <t>is an assay which uses compound cytochalasin (CHEBI: 23528)  to block actin polymerization-dependent cell motility (GO:0070358) and actin filament polymerization (GO:0030041).</t>
  </si>
  <si>
    <t>(assay and (has_specified_input some cytochalasin) and (has_specified_output some ('data item' and ('is about' some 'actin filament polymerization')))) and (achieves_planned_objective some 'biological feature identification objective')</t>
  </si>
  <si>
    <t>An assay which uses compound cytochalasin to block actin polymerization-dependent cell motility and actin filament polymerization.</t>
  </si>
  <si>
    <t>cytochalasin</t>
  </si>
  <si>
    <t>data item' and ('is about' some 'actin filament polymerization')</t>
  </si>
  <si>
    <t>actin filament polymerization</t>
  </si>
  <si>
    <t>http://purl.obolibrary.org/obo/OBI_0001689</t>
  </si>
  <si>
    <t>chromatin interaction analysis by paired-end tag sequencing</t>
  </si>
  <si>
    <t>An assay that incorporates chromatin immunoprecipitation (ChIP)-based enrichment, chromatin proximity ligation, Paired-End Tags, and high-throughput sequencing to determine de novo long-range chromatin interactions genome-wide.</t>
  </si>
  <si>
    <t>Person: Venkat Malladi, Chris Stoeckert, Jie Zheng</t>
  </si>
  <si>
    <t>assay using chromatin immunoprecipitation, sequencing assay</t>
  </si>
  <si>
    <t>achieves_planned_objective some 'analyte measurement objective', achieves_planned_objective some 'protein and DNA interaction identification objective'</t>
  </si>
  <si>
    <t>has_specified_input some ('protein complex' and ('has role' some 'evaluant role'))</t>
  </si>
  <si>
    <t>has_specified_output some 'DNA sequence data'</t>
  </si>
  <si>
    <t>has part' some 'DNA sequencing', 'has part' some immunoprecipitation, 'has part' some 'cross linking', 'has part' some 'paired-end library preparation'</t>
  </si>
  <si>
    <t>A sequencing assay that incorporates chromatin immunoprecipitation (ChIP)-based enrichment, chromatin proximity ligation, paired-end tags, and high-throughput sequencing to determine de novo long-range chromatin interactions genome-wide.   Left out 'using chromatin immunoprecipitation' from the parent class.</t>
  </si>
  <si>
    <t>analyte measurement objective, protein and DNA interaction identification objective</t>
  </si>
  <si>
    <t>protein complex and ('has role' some 'evaluant role')</t>
  </si>
  <si>
    <t>DNA sequencing, immunoprecipitation, cross linking, paired-end library preparation</t>
  </si>
  <si>
    <t>http://purl.obolibrary.org/obo/OBI_0001848</t>
  </si>
  <si>
    <t>'has part' some 'DNA sequencing', 'has part' some immunoprecipitation, 'has part' some 'cross linking', 'has part' some 'paired-end library preparation'</t>
  </si>
  <si>
    <t>structural analysis by paired-end tag sequencing</t>
  </si>
  <si>
    <t>A DNA sequencing that incorporates paired-end tags and sequencing technology to determine structural variants.</t>
  </si>
  <si>
    <t>has part' some 'DNA sequencing', 'has part' some 'paired-end library preparation'</t>
  </si>
  <si>
    <t>DNA sequencing, paired-end library preparation</t>
  </si>
  <si>
    <t>http://purl.obolibrary.org/obo/OBI_0001849</t>
  </si>
  <si>
    <t>An assay that incorporates Paired-End Tags and sequencing technology to determine structural variants.</t>
  </si>
  <si>
    <t>'has part' some 'DNA sequencing', 'has part' some 'paired-end library preparation'</t>
  </si>
  <si>
    <t>transcript analysis by paired-end tag sequencing</t>
  </si>
  <si>
    <t>A translation profiling or sequencing assay that incorporates paired-end tags and sequencing technology to determine transcripts, gene structures, and gene expressions.</t>
  </si>
  <si>
    <t>has part' some 'RNA sequencing', 'has part' some 'paired-end library preparation'</t>
  </si>
  <si>
    <t>RNA sequencing, paired-end library preparation</t>
  </si>
  <si>
    <t>http://purl.obolibrary.org/obo/OBI_0001850</t>
  </si>
  <si>
    <t>An assay that incorporates Paired-End Tags and sequencing technology to determine transcripts, gene structures, and gene expressions.</t>
  </si>
  <si>
    <t>'has part' some 'RNA sequencing', 'has part' some 'paired-end library preparation'</t>
  </si>
  <si>
    <t>DNase I hypersensitive sites sequencing assay</t>
  </si>
  <si>
    <t>A DNA sequencing to identify the location of regulatory regions, based on the genome-wide sequencing of regions super sensitive to cleavage by DNase I.</t>
  </si>
  <si>
    <t>has part' some 'DNA sequencing', 'has part' some 'library preparation', 'has part' some 'non specific enzymatic cleavage'</t>
  </si>
  <si>
    <t>DNA sequencing, library preparation, non-specific enzymatic cleavage</t>
  </si>
  <si>
    <t>http://purl.obolibrary.org/obo/OBI_0001853</t>
  </si>
  <si>
    <t>An assay to identify the location of regulatory regions, based on the genome-wide sequencing of regions super sensitive to cleavage by DNase I.</t>
  </si>
  <si>
    <t>'has part' some 'DNA sequencing', 'has part' some 'library preparation', 'has part' some 'non specific enzymatic cleavage'</t>
  </si>
  <si>
    <t>RNP (ribonuclear particle) immunoprecipitation high- throughput sequencing assay</t>
  </si>
  <si>
    <t>An analyte or sequencing assay that combines immunoprecipitation of an RNA-binding protein and RNA-seq to identify mRNAs associated with selected RNA binding proteins (RBPs).</t>
  </si>
  <si>
    <t>analyte assay, sequencing assay</t>
  </si>
  <si>
    <t>achieves_planned_objective some 'analyte measurement objective', achieves_planned_objective some 'protein and RNA interaction identification objective'</t>
  </si>
  <si>
    <t>has part' some immunoprecipitation, 'has part' some 'library preparation', 'has part' some 'cross linking', 'has part' some 'RNA sequencing'</t>
  </si>
  <si>
    <t>analyte measurement objective, protein and RNA interaction identification objective</t>
  </si>
  <si>
    <t>DNA sequencer, sonicator</t>
  </si>
  <si>
    <t>immunoprecipitation, library preparation, cross linking, RNA sequencing</t>
  </si>
  <si>
    <t>http://purl.obolibrary.org/obo/OBI_0001857</t>
  </si>
  <si>
    <t>An assay that combines immunoprecipitation of an RNA-binding protein and RNA-seq to identify mRNAs associated with selected RNA binding proteins (RBPs).</t>
  </si>
  <si>
    <t>immunoprecipitation sequencing assay</t>
  </si>
  <si>
    <t>'has participant' some 'DNA sequencer', 'has participant' some sonicator</t>
  </si>
  <si>
    <t>'has part' some immunoprecipitation, 'has part' some 'library preparation', 'has part' some 'cross linking', 'has part' some 'RNA sequencing'</t>
  </si>
  <si>
    <t>cross-linking immunoprecipitation high-throughput sequencing assay</t>
  </si>
  <si>
    <t>An analyte or sequencing assay that employs UV-crosslinking between RNA and the protein; followed by immunoprecipitation with antibodies for the protein, fragmentation, and high-throughput used for screening for RNA sequences that interact with a particular RNA-binding protein.</t>
  </si>
  <si>
    <t>http://purl.obolibrary.org/obo/OBI_0001858</t>
  </si>
  <si>
    <t>An assay that employs UV-crosslinking between RNA and the protein, followed by immunoprecipitation with antibodies for the protein, fragmentation, and high-throughput used for screening for RNA sequences that interact with a particular RNA-binding protein</t>
  </si>
  <si>
    <t>formaldehyde-assisted isolation of regulatory elements assay</t>
  </si>
  <si>
    <t>A DNA sequencing to determine the sequences of those DNA regions in the genome associated with regulatory activity.</t>
  </si>
  <si>
    <t>has part' some 'DNA sequencing', 'has part' some 'library preparation', 'has part' some 'cross linking'</t>
  </si>
  <si>
    <t>DNA sequencing, library preparation, cross linking</t>
  </si>
  <si>
    <t>http://purl.obolibrary.org/obo/OBI_0001859</t>
  </si>
  <si>
    <t>An assay to determine the sequences of those DNA regions in the genome associated with regulatory activity.</t>
  </si>
  <si>
    <t>'has part' some 'DNA sequencing', 'has part' some 'library preparation', 'has part' some 'cross linking'</t>
  </si>
  <si>
    <t>methylation-sensitive restriction enzyme sequencing assay</t>
  </si>
  <si>
    <t>A DNA sequencing or a DNA methylation profiling by high throughput sequencing assay that identifies unmethylated CpGs by  use of methylation sensitive restriction enzymes to fragment DNA.</t>
  </si>
  <si>
    <t>has_specified_output some ('DNA sequence data' and ('is about' some 'regulation of DNA methylation'))</t>
  </si>
  <si>
    <t>has part' some 'DNA sequencing', 'has part' some 'library preparation', 'has part' some 'specific enzymatic cleavage'</t>
  </si>
  <si>
    <t>DNA sequence data and ('is about' some regulation of DNA methylation)</t>
  </si>
  <si>
    <t>DNA sequencing, library preparation, specific enzymatic cleavage</t>
  </si>
  <si>
    <t>http://purl.obolibrary.org/obo/OBI_0001861</t>
  </si>
  <si>
    <t>An assay that identifies unmethylated CpGs by  use of methylation sensitive restriction enzymes to fragment DNA.</t>
  </si>
  <si>
    <t>'has part' some 'DNA sequencing', 'has part' some 'library preparation', 'has part' some 'specific enzymatic cleavage'</t>
  </si>
  <si>
    <t>reduced representation bisulfite sequencing assay</t>
  </si>
  <si>
    <t>A bisulfite sequencing assay that identifies genomic methylation patterns by using a bisulfite based protocol that enriches CG-rich parts of the genome.</t>
  </si>
  <si>
    <t>has part' some 'library preparation', 'has part' some 'specific enzymatic cleavage'</t>
  </si>
  <si>
    <t>library preparation, specific enzymatic cleavage</t>
  </si>
  <si>
    <t>http://purl.obolibrary.org/obo/OBI_0001862</t>
  </si>
  <si>
    <t>'has part' some 'library preparation', 'has part' some 'specific enzymatic cleavage'</t>
  </si>
  <si>
    <t>shotgun bisulfite-seq assay</t>
  </si>
  <si>
    <t>A bisulfite sequencing assay that identifies methylated cytosines across the genome using high throughput sequencing.</t>
  </si>
  <si>
    <t>has part' some 'library preparation'</t>
  </si>
  <si>
    <t>sonicator</t>
  </si>
  <si>
    <t>library preparation</t>
  </si>
  <si>
    <t>http://purl.obolibrary.org/obo/OBI_0001863</t>
  </si>
  <si>
    <t>'has participant' some sonicator</t>
  </si>
  <si>
    <t>'has part' some 'library preparation'</t>
  </si>
  <si>
    <t>RNA Annotation and Mapping of Promoters for the Analysis of Gene Expression assay</t>
  </si>
  <si>
    <t>A transcription profiling or sequencing assay that identifies transcription start sites (TSS), the quantification of their expression, and the characterization of their transcripts using high throughput sequencing.</t>
  </si>
  <si>
    <t>achieves_planned_objective some 'transcription start site identification objective'</t>
  </si>
  <si>
    <t>has part' some 'library preparation', 'has part' some 'RNA sequencing', 'has part' some 'non specific enzymatic cleavage'</t>
  </si>
  <si>
    <t>transcription start site identificaton objective</t>
  </si>
  <si>
    <t>library preparation, RNA sequencing, non specific enzymatic cleavage</t>
  </si>
  <si>
    <t>http://purl.obolibrary.org/obo/OBI_0001864</t>
  </si>
  <si>
    <t>An assay that identifies transcription start sites (TSS), the quantification of their expression and the characterization of their transcripts using high throughput sequencing.</t>
  </si>
  <si>
    <t>'has part' some 'library preparation', 'has part' some 'RNA sequencing', 'has part' some 'non specific enzymatic cleavage'</t>
  </si>
  <si>
    <t>DNA replication timing by array assay</t>
  </si>
  <si>
    <t>An assay in which timing of DNA replication is quantified as a function of genome position using array technology.</t>
  </si>
  <si>
    <t>Venkat Malladi, Chris Stoeckert, Jie Zheng</t>
  </si>
  <si>
    <t>achieves_planned_objective some 'DNA replication identification objective'</t>
  </si>
  <si>
    <t>has_specified_input some 5-bromo-2'-deoxyuridine</t>
  </si>
  <si>
    <t>has_specified_output some ('measurement datum' and ('is about' some 'DNA replication'))</t>
  </si>
  <si>
    <t>has part' some immunoprecipitation, 'has part' some 'library preparation', 'has part' some 'multiplex ligation-mediated amplification'</t>
  </si>
  <si>
    <t>realizes some ('evaluant role' and ('role of' some 'deoxyribonucleic acid'))</t>
  </si>
  <si>
    <t>DNA replication identification objective</t>
  </si>
  <si>
    <t>5-bromo-2'-deoxyuridine</t>
  </si>
  <si>
    <t>measurement data item' and ('is about' some 'DNA replication')</t>
  </si>
  <si>
    <t>DNA replication</t>
  </si>
  <si>
    <t>flow cytometer sorter, DNA microarray</t>
  </si>
  <si>
    <t>immunoprecipitation, library preparation, multiplex ligation-mediated amplification</t>
  </si>
  <si>
    <t>deoxyribonucleic  acid</t>
  </si>
  <si>
    <t>http://purl.obolibrary.org/obo/OBI_0001915</t>
  </si>
  <si>
    <t>has_specified_output some ('measurement data item' and ('is about' some 'DNA replication'))</t>
  </si>
  <si>
    <t>'has participant' some 'flow cytometer sorter', 'has participant' some 'DNA microarray'</t>
  </si>
  <si>
    <t>'has part' some immunoprecipitation, 'has part' some 'library preparation', 'has part' some 'multiplex ligation-mediated amplification'</t>
  </si>
  <si>
    <t>realizes some ('evaluant role' and ('is role of' some 'deoxyribonucleic acid'))</t>
  </si>
  <si>
    <t>RNA-binding protein immunoprecipitation array profiling assay</t>
  </si>
  <si>
    <t>An analyte assay that combines immunoprecipitation of an RNA-binding protein and array technology to identify mRNAs associated with selected RNA binding proteins (RBPs).</t>
  </si>
  <si>
    <t>has part' some immunoprecipitation, 'has part' some 'library preparation'</t>
  </si>
  <si>
    <t>realizes some ('evaluant role' and ('role of' some 'protein complex'))</t>
  </si>
  <si>
    <t>immunoprecipitation, library preparation</t>
  </si>
  <si>
    <t>http://purl.obolibrary.org/obo/OBI_0001918</t>
  </si>
  <si>
    <t>An assay that combines immunoprecipitation of an RNA-binding protein and array technology to identify mRNAs associated with selected RNA binding proteins (RBPs).</t>
  </si>
  <si>
    <t>immunoprecipitation assay</t>
  </si>
  <si>
    <t>'has part' some immunoprecipitation, 'has part' some 'library preparation'</t>
  </si>
  <si>
    <t>realizes some ('evaluant role' and ('is role of' some 'protein complex'))</t>
  </si>
  <si>
    <t>Carbon-copy chromosome conformation capture assay</t>
  </si>
  <si>
    <t>A sequencing assay that is used to analyze the organization of chromosomes at the genome-wide scale.</t>
  </si>
  <si>
    <t>achieves_planned_objective some 'chromosome conformation identification objective'</t>
  </si>
  <si>
    <t>has part' some 'DNA sequencing', 'has part' some 'library preparation', 'has part' some 'cross linking', 'has part' some 'multiplex ligation-mediated amplification', 'has part' some 'specific enzymatic cleavage'</t>
  </si>
  <si>
    <t>chromosome conformation identification objective</t>
  </si>
  <si>
    <t>DNA sequencing, library preparation, cross linking, multiplex ligation-mediated amplification, specific enzymatic cleavage</t>
  </si>
  <si>
    <t>http://purl.obolibrary.org/obo/OBI_0001919</t>
  </si>
  <si>
    <t>An assay that is used to analyze the organization of chromosomes at the genome-wide scale.</t>
  </si>
  <si>
    <t>'has part' some 'DNA sequencing', 'has part' some 'library preparation', 'has part' some 'cross linking', 'has part' some 'multiplex ligation-mediated amplification', 'has part' some 'specific enzymatic cleavage'</t>
  </si>
  <si>
    <t>DNA replication timing by sequencing assay</t>
  </si>
  <si>
    <t>A sequencing assay in which timing of DNA replication is quantified as a function of genome position based on genome-wide sequencing.</t>
  </si>
  <si>
    <t>has_specified_output some 'DNA sequence data', has_specified_output some ('information content entity' and ('is about' some 'DNA replication'))</t>
  </si>
  <si>
    <t>has part' some 'DNA sequencing', 'has part' some immunoprecipitation</t>
  </si>
  <si>
    <t>DNA sequence data, information content entity and ('is about' some DNA replication)</t>
  </si>
  <si>
    <t>flow cytometer sorter, DNA sequencer</t>
  </si>
  <si>
    <t>DNA sequencing, immunoprecipitation</t>
  </si>
  <si>
    <t>http://purl.obolibrary.org/obo/OBI_0001920</t>
  </si>
  <si>
    <t>An assay in which timing of DNA replication is quantified as a function of genome position based on genome-wide sequencing.</t>
  </si>
  <si>
    <t>'has participant' some 'flow cytometer sorter', 'has participant' some 'DNA sequencer'</t>
  </si>
  <si>
    <t>'has part' some 'DNA sequencing', 'has part' some immunoprecipitation</t>
  </si>
  <si>
    <t>RNA-binding protein immunoprecipitation tiling array profiling</t>
  </si>
  <si>
    <t>A RNA-binding protein immunoprecipitation array profiling assay that combines immunoprecipitation of an RNA-binding protein and RNA tiling array  to identify mRNAs associated with selected RNA binding proteins (RBPs).</t>
  </si>
  <si>
    <t>http://purl.obolibrary.org/obo/OBI_0001921</t>
  </si>
  <si>
    <t>microRNA profiling by high throughput sequencing assay</t>
  </si>
  <si>
    <t>A RNA-seq or microRNA profiling assay in which high throughput sequencing technology is used to analyse the microRNA component of the transcriptome.</t>
  </si>
  <si>
    <t>RNA-seq assay, microRNA profiling assay</t>
  </si>
  <si>
    <t>realizes some ('evaluant role' and ('role of' some 'ribonucleic acid'))</t>
  </si>
  <si>
    <t>http://purl.obolibrary.org/obo/OBI_0001922</t>
  </si>
  <si>
    <t>A RNA-seq assay in which high throughput sequencing technology is used to analyse the microRNA component of the transcriptome.</t>
  </si>
  <si>
    <t>realizes some ('evaluant role' and ('is role of' some 'ribonucleic acid'))</t>
  </si>
  <si>
    <t>protein sequencing by tandem mass spectrometry assay</t>
  </si>
  <si>
    <t>A sequencing assay in which amino acid sequences of proteins are determined using multiple rounds of mass spectrometry and molecule fragmentation.</t>
  </si>
  <si>
    <t>has_specified_output some 'sequence data'</t>
  </si>
  <si>
    <t>has part' some 'protease cleavage'</t>
  </si>
  <si>
    <t>realizes some ('evaluant role' and ('role of' some protein))</t>
  </si>
  <si>
    <t>sequence data</t>
  </si>
  <si>
    <t>tandem mass spectrometer</t>
  </si>
  <si>
    <t>protease cleavage</t>
  </si>
  <si>
    <t>http://purl.obolibrary.org/obo/OBI_0001923</t>
  </si>
  <si>
    <t>A sequencing assay in which amino acid sequences of proteins is determined using multiple rounds of mass spectrometry and molecule fragmentation.</t>
  </si>
  <si>
    <t>'has participant' some 'tandem mass spectrometer'</t>
  </si>
  <si>
    <t>'has part' some 'protease cleavage'</t>
  </si>
  <si>
    <t>realizes some ('evaluant role' and ('is role of' some protein))</t>
  </si>
  <si>
    <t>micrococcal nuclease digestion followed by high throughput sequencing assay</t>
  </si>
  <si>
    <t>A sequencing assay to identify nucleosome positioning by genome wide sequencing of regions sensitive to digestion by micrococal nuclease.</t>
  </si>
  <si>
    <t>has part' some 'library preparation', 'has part' some 'non specific enzymatic cleavage'</t>
  </si>
  <si>
    <t>library preparation, non specific enzymatic cleavage</t>
  </si>
  <si>
    <t>http://purl.obolibrary.org/obo/OBI_0001924</t>
  </si>
  <si>
    <t>An assay to identify nucleosome positioning by genome wide sequencing of regions senstative to digestion by micrococal nuclease</t>
  </si>
  <si>
    <t>'has part' some 'library preparation', 'has part' some 'non specific enzymatic cleavage'</t>
  </si>
  <si>
    <t>chromatin immunoprecipitation with exonuclease sequencing assay</t>
  </si>
  <si>
    <t>A ChIP-seq assay to identify protein binding sites using an exonuclease  to provide greater binding resolution of immunoprecipitation assay by genome wide sequencing.</t>
  </si>
  <si>
    <t>has part' some 'cross linking', 'has part' some 'specific enzymatic cleavage'</t>
  </si>
  <si>
    <t>cross linking, specific enzymatic cleavage</t>
  </si>
  <si>
    <t>http://purl.obolibrary.org/obo/OBI_0001925</t>
  </si>
  <si>
    <t>'has part' some 'cross linking', 'has part' some 'specific enzymatic cleavage'</t>
  </si>
  <si>
    <t>A transcription profiling assay in which aims to quantify the microRNA species within a biological sample.</t>
  </si>
  <si>
    <t>transcription profiling assay' and (has_specified_output some ('measured expression level' and ('is about' some miRNA)))</t>
  </si>
  <si>
    <t>measured expression level and ('is about' some miRNA')</t>
  </si>
  <si>
    <t>http://purl.obolibrary.org/obo/OBI_0001926</t>
  </si>
  <si>
    <t>'transcription profiling assay' and (has_specified_output some ('measured expression level' and ('is about' some miRNA)))</t>
  </si>
  <si>
    <t>ChIP assay</t>
  </si>
  <si>
    <t>An assay in which protein-DNA complexes are extracted from short regions of chromatin and are reversibly cross linked, immunoprecipitated with antibodies or tags, purified, and amplified with the aim of analysis gene- and promoter-specific known targets</t>
  </si>
  <si>
    <t>assay using chromatin immunoprecipitation, epigenetic modification assay</t>
  </si>
  <si>
    <t>has part' some immunoprecipitation, has_specified_input some (specimen and (('has part' some 'deoxyribonucleic acid') and ('has part' some 'protein complex')))</t>
  </si>
  <si>
    <t>An epigenetic modification assay in which protein-DNA complexes are extracted from short regions of chromatin and are reversibly cross linked, immunoprecipitated with antibodies or tags, purified, and amplified with the aim of analyzing gene- and promoter-specific known targets.  Left out the 'assay using chromatin immunoprecipitation' parent class.</t>
  </si>
  <si>
    <t>epigenentic modification identification objective, protein and DNA interaction identification objective</t>
  </si>
  <si>
    <t>specimen and ('has part' some 'deoxyribonucleic acid' and 'protein complex))</t>
  </si>
  <si>
    <t>information content entity' and ('is about' some ('chromatin remodeling' or 'regulation of molecular function, epigenetic' or 'sequence-specific DNA binding' or 'transcription factor binding site'))</t>
  </si>
  <si>
    <t>chromatin remodeling' or 'regulation of molecular function, epigenetic' or 'sequence-specific DNA binding' or 'transcription factor binding site</t>
  </si>
  <si>
    <t>http://purl.obolibrary.org/obo/OBI_0001954</t>
  </si>
  <si>
    <t>'has part' some immunoprecipitation, has_specified_input some (specimen and (('has part' some 'deoxyribonucleic acid') and ('has part' some 'protein complex')))</t>
  </si>
  <si>
    <t>an assay which uses immunoprecipitation and which produces data about protein-DNA interaction or DNA epigenetic modification</t>
  </si>
  <si>
    <t>('has part' some immunoprecipitation) and (achieves_planned_objective some ('epigenetic modification identification objective' or 'protein and DNA interaction identification objective'))</t>
  </si>
  <si>
    <t>An immunoprecipitation assay which produces data about protein-DNA interaction or DNA epigenetic modification.</t>
  </si>
  <si>
    <t>http://purl.obolibrary.org/obo/OBI_0001956</t>
  </si>
  <si>
    <t>an assay that uses immunoprecipitation and produces data about protein-DNA interaction or DNA epigenetic modification</t>
  </si>
  <si>
    <t>taxonomic diversity assessment by targeted gene survey</t>
  </si>
  <si>
    <t>A sequencing assay which aims to provide information about taxonomic information and community diversity by mean of sequencing specific genomic regions used as marker of identity or diversity.</t>
  </si>
  <si>
    <t>PERSON:Philippe Rocca-Serra</t>
  </si>
  <si>
    <t>achieves_planned_objective some 'biodiversity assessment objective'</t>
  </si>
  <si>
    <t>has_specified_output some ('sequence data' and ('is about' some population))</t>
  </si>
  <si>
    <t>biodiversity assessment objective</t>
  </si>
  <si>
    <t>population</t>
  </si>
  <si>
    <t>DNA methylation profiling by ChIP-chip assay</t>
  </si>
  <si>
    <t>A ChIP-chip or epigenetic modification assay that identifies sites of DNA methylation.</t>
  </si>
  <si>
    <t>ChIP-chip assay, epigenetic modification assay</t>
  </si>
  <si>
    <t>has_specified_output some ('information content entity' and ('is about' some 'DNA methylation'))</t>
  </si>
  <si>
    <t>DNA methylation</t>
  </si>
  <si>
    <t>transcription profiling by MPSS assay</t>
  </si>
  <si>
    <t>A transcription profiling assay in which the transcriptome of a biological sample is analysed using Massive Parallel Signature Sequencing (MPSS).</t>
  </si>
  <si>
    <t>has part' some 'DNA sequencing', 'has part' some 'library preparation'</t>
  </si>
  <si>
    <t>transcription profiling indentification objective</t>
  </si>
  <si>
    <t>assay bead</t>
  </si>
  <si>
    <t>DNA sequencing, library preparation</t>
  </si>
  <si>
    <t>histone modification identification by ChIP-chip assay</t>
  </si>
  <si>
    <t>A ChIP-chip or epigenetic modification assay to identify regions containing specific histones and their modifications.</t>
  </si>
  <si>
    <t>has_specified_output some ('information content entity' and ('is about' some 'histone modification'))</t>
  </si>
  <si>
    <t>histone modification</t>
  </si>
  <si>
    <t>histone modification identification by ChIP-Seq assay</t>
  </si>
  <si>
    <t>A ChIP-seq assay to identify regions containing specific histones and their modifications.</t>
  </si>
  <si>
    <t>epigenetic modification indentification objective</t>
  </si>
  <si>
    <t>informationa content entity</t>
  </si>
  <si>
    <t>transcription factor binding site identification by ChIP-chip assay</t>
  </si>
  <si>
    <t>A ChIP-chip or transcription factor binding site assay to identify binding sites for transcription factors.</t>
  </si>
  <si>
    <t>transcription factor binding site assay, ChIP-chip assay</t>
  </si>
  <si>
    <t>has_specified_output some ('information content entity' and ('is about' some 'transcription factor binding site'))</t>
  </si>
  <si>
    <t>transcription factor binding site</t>
  </si>
  <si>
    <t>transcription factor binding site identification by ChIP-Seq assay</t>
  </si>
  <si>
    <t>A ChIP-seq or transcription factor binding site assay to identify binding sites for transcription factors.</t>
  </si>
  <si>
    <t>transcription factor binding site assay, ChIP-seq assay</t>
  </si>
  <si>
    <t>epigenetic modification assay</t>
  </si>
  <si>
    <t>An assay that identifies epigenetic modification; including histone modifications, open chromatin, and DNA methylation.</t>
  </si>
  <si>
    <t>assay and (achieves_planned_objective some 'epigenetic modification identification objective')</t>
  </si>
  <si>
    <t>serial analysis of gene expression</t>
  </si>
  <si>
    <t>A transcription profiling assay which aims to quantify RNA through creating short signature tags of the messages and ligating them into a larger molecule that is then sequenced.</t>
  </si>
  <si>
    <t>Person:Janos Demeter, Chris Stoeckert, Jie Zheng</t>
  </si>
  <si>
    <t>has part' some 'SAGE ditag library preparation', 'has part' some 'sequencing assay'</t>
  </si>
  <si>
    <t>SAGE ditag library preparation, sequencing assay</t>
  </si>
  <si>
    <t>genotyping by tiling array</t>
  </si>
  <si>
    <t>A genotyping by array assay that aims to detect variation in (mostly) genomic DNA of an organism, strain, etc relative to some reference sequence employing tiling array technology.</t>
  </si>
  <si>
    <t>genotyping by SNP array</t>
  </si>
  <si>
    <t>A genotyping by array assay that aims to detect variation in (mostly) genomic DNA of an organism, strain, etc relative to some reference sequence employing snp array technology.</t>
  </si>
  <si>
    <t>parallel analysis of RNA structure</t>
  </si>
  <si>
    <t>A single-nucleotide-resolution nucleic acid structure mapping assay using enzymatic probing based on deep sequencing fragments of RNAs that were treated with structure-specific enzymes, thus providing simultaneous in vitro profiling of the secondary structure of thousands of RNA species at single nucleotide resolution.</t>
  </si>
  <si>
    <t>Janos Demeter, Chris Stoeckert</t>
  </si>
  <si>
    <t>translation-associated transcript leader sequencing</t>
  </si>
  <si>
    <t>An RNA-seq assay that combines TL-seq with polysome fractionation</t>
  </si>
  <si>
    <t>transcript leader sequencing</t>
  </si>
  <si>
    <t>An RNA-seq assay combining enzymatic capture of m(7)G-capped mRNA 5' ends with high-throughput sequencing.</t>
  </si>
  <si>
    <t>peptide mass fingerprinting</t>
  </si>
  <si>
    <t>A mass spectrometry assay in which an unknown protein of interest is cleaved into smaller peptides, whose absolute masses can be accurately measured with a mass spectrometer.  These masses are then compared to values in a database containing known protein sequences.</t>
  </si>
  <si>
    <t>array based nucleic acid structure mapping assay</t>
  </si>
  <si>
    <t>An assay which aims to provide information about the in vivo organization/structure of nucleic acids using chemical or enzymatic probes using a microarray.</t>
  </si>
  <si>
    <t>micrococcal nuclease digestion followed by tiling array assay</t>
  </si>
  <si>
    <t>An array based nucleic acid structure mapping assay to identify nucleosome positions, genome wide, by detection of regions protected by nucleosomes from digestion by micrococal nuclease using tiling arrays.</t>
  </si>
  <si>
    <t>An array based nucleic acid structure mapping assay to identify nucleosome positions (genome wide) through detecting regions protected by nucleosomes from digestion by micrococal nuclease using tiling arrays.</t>
  </si>
  <si>
    <t>ribosomal profiling by sequencing assay</t>
  </si>
  <si>
    <t>A RNA-seq assay to sequence only mRNA protected by the ribosome during translation.</t>
  </si>
  <si>
    <t>assay for transposase-accessible chromatin using sequencing</t>
  </si>
  <si>
    <t>An assay to capture the location of open chromatin, DNA-binding proteins, individual nucleosomes, and chromatin compaction at nucleotide resolution by Tn5 transposase insertion.</t>
  </si>
  <si>
    <t>chromatin isolation by RNA purification sequencing assay</t>
  </si>
  <si>
    <t>A detection of specific nucleic acids with complementary probes to discover regions of the genome which are bound by a specific RNA (or a by a ribonucleoprotein containing the RNA of interest) using high-throughput sequencing.</t>
  </si>
  <si>
    <t>detection of specific nucleic acid polymers with complementary probes</t>
  </si>
  <si>
    <t>self-transcribing active regulatory region sequencing assay</t>
  </si>
  <si>
    <t>A RNA-seq assay to identify the sequences that act as transcriptional enhancers in a direct, quantitative, and genome-wide manner from sheared genomic DNA.</t>
  </si>
  <si>
    <t>Is 'sheared' supposed to be 'shared'?</t>
  </si>
  <si>
    <t>carbon-copy chromosome conformation capture assay followed by sequencing assay</t>
  </si>
  <si>
    <t>A carbon-copy chromosome conformation capture assay to analyze the organization of chromosomes in an unbiased, genome-wide manner using high throughput sequencing following carbon-copy chromosome conformation capture.</t>
  </si>
  <si>
    <t>individual-nucleotide resolution cross-linking and immunoprecipitation sequencing assay</t>
  </si>
  <si>
    <t>A cross-linking immunoprecipitation high-throughput sequencing assay to identify protein-RNA interactions by using UV light to covalently bind proteins and RNA molecules, allowing for a very stringent purification of the linked protein-RNA complexes.</t>
  </si>
  <si>
    <t>RNA Bind-n-Seq assay</t>
  </si>
  <si>
    <t>A RNA-seq assay that comprehensively characterizes sequence and structural specificity of RNA binding proteins (RBPs)</t>
  </si>
  <si>
    <t>poly(A)-site sequencing assay</t>
  </si>
  <si>
    <t>A RNA-seq assay for quantitatively profiling RNA polyadenylation at the transcriptome level.</t>
  </si>
  <si>
    <t>reporter gene assay</t>
  </si>
  <si>
    <t>An assay in which expression of a reporter gene is detected that was inserted under the control of a regulatory sequence of interest.</t>
  </si>
  <si>
    <t>Chris Stoeckert, Paul D. Thomas</t>
  </si>
  <si>
    <t>An assay in which expression of a reporter gene that was inserted under the control of a regulatory sequence of interest is detected.</t>
  </si>
  <si>
    <t>enhancer activity detection by reporter gene assay</t>
  </si>
  <si>
    <t>A reporter gene assay in which expression of a reporter gene is detected that was inserted under the control of an enhancer of interest.</t>
  </si>
  <si>
    <t>Paul D. Thomas, Yang Chai</t>
  </si>
  <si>
    <t>A reporter gene assay in which expression of a reporter gene that was inserted under the control of an enhancer of interest is detected.</t>
  </si>
  <si>
    <t>transcription cofactor activity region identification by ChIP-Seq assay</t>
  </si>
  <si>
    <t>A ChIP-seq assay to identify regions of chromatin bound to a chromatin modifying protein, e.g. a histone acetyltransferase.</t>
  </si>
  <si>
    <t>transcript expression location detection by hybridization chain reaction</t>
  </si>
  <si>
    <t>An in-situ hybridization in which the location (e.g. anatomical/tissue) of a transcript is detected by a multiplexed fluorescent in situ hybridization, based on orthogonal amplification with hybridization chain reactions (HCR). RNA probes complementary to mRNA targets trigger chain reactions in which fluorophore-labeled RNA hairpins self-assemble into tethered fluorescent amplification polymers.</t>
  </si>
  <si>
    <t>comet assay</t>
  </si>
  <si>
    <t>a comet assay is an assay which utilizes gel electrophoresis on cell exposed to a challenge with the objective to assess DNA damage (DNA breakage) by determining the size and shape of DNA migration in cell placed in an electric field in specific conditions.</t>
  </si>
  <si>
    <t>has_specified_input some cell, has_specified_input some 'agarose gel'</t>
  </si>
  <si>
    <t>has_specified_output some ('information content entity' and ('is about' some 'cellular response to DNA damage stimulus'))</t>
  </si>
  <si>
    <t xml:space="preserve">An assay which utilizes gel electrophoresis on a cell exposed to a challenge with the objective to assess DNA damage (DNA breakage) by determining the size and shape of DNA migration.  </t>
  </si>
  <si>
    <t>cell, agarose gel</t>
  </si>
  <si>
    <t>information content entity' and ('is about' some 'cellular response to DNA damage stimulus</t>
  </si>
  <si>
    <t>cellular response to DNA damage stimulus</t>
  </si>
  <si>
    <t>gel tank, power supply</t>
  </si>
  <si>
    <t>http://purl.obolibrary.org/obo/OBI_0302736</t>
  </si>
  <si>
    <t>has_specified_output some ('information content entity' and ('is about' some 'response to DNA damage stimulus'))</t>
  </si>
  <si>
    <t>'has participant' some 'gel tank', 'has participant' some 'power supply'</t>
  </si>
  <si>
    <t>PCR-SSCP assay</t>
  </si>
  <si>
    <t>a PCR-SSCP assay is an assay that identifies DNA sequence variation (mutation, deletion, insertions) using gel electrophoresis technique and denaturating conditions on target DNA sequences amplified using polymerase chain reaction procedure.</t>
  </si>
  <si>
    <t>has_specified_input some 'amplified DNA'</t>
  </si>
  <si>
    <t>has_specified_output some image, has_specified_output some 'genotype information'</t>
  </si>
  <si>
    <t>has part' some 'polymerase chain reaction', 'has part' some 'material component separation'</t>
  </si>
  <si>
    <t xml:space="preserve">A genotyping assay that identifies DNA sequence variation (mutation, deletion, and insertions) utilizing the gel electrophoresis technique as well as denaturing conditions on target DNA sequences, amplified using the polymerase chain reaction procedure. </t>
  </si>
  <si>
    <t>amplified DNA</t>
  </si>
  <si>
    <t>image, genotype information</t>
  </si>
  <si>
    <t>polyacrylamide gel</t>
  </si>
  <si>
    <t>polymerase chain reaction, material component separation</t>
  </si>
  <si>
    <t>http://purl.obolibrary.org/obo/OBI_0302737</t>
  </si>
  <si>
    <t>'has participant' some 'polyacrylamide gel'</t>
  </si>
  <si>
    <t>'has part' some 'polymerase chain reaction', 'has part' some 'material component separation'</t>
  </si>
  <si>
    <t>tumor grading</t>
  </si>
  <si>
    <t>Determination of the grade (severity/stage) of a tumor sample, used in cancer biology to describe abnormalities/qualities of tumor cells or tissues. Values can be described by terms from NCI Thesaurus.</t>
  </si>
  <si>
    <t>Compiled by Helen Parkinson for Transcriptomics thanks to Adam Witney</t>
  </si>
  <si>
    <t>has_specified_output some ('measurement datum' and ('is about' some 'disease course'))</t>
  </si>
  <si>
    <t xml:space="preserve">An assay to determine the grade (severity/stage) of a tumor sample and used in cancer biology to describe abnormalities/qualities of tumor cells or tissues. Values can be described by terms from NCI Thesaurus. </t>
  </si>
  <si>
    <t>measurement data item' and ('is about' some 'disease course')</t>
  </si>
  <si>
    <t>disease course</t>
  </si>
  <si>
    <t>http://purl.obolibrary.org/obo/OBI_0600002</t>
  </si>
  <si>
    <t>has_specified_output some ('measurement data item' and ('is about' some 'disease course'))</t>
  </si>
  <si>
    <t>performing a clinical assessment</t>
  </si>
  <si>
    <t>An assay during which a series of tests are made of a patient, leading to determination of disease state, or condition.</t>
  </si>
  <si>
    <t>has_specified_input some (organism and ('has role' some 'patient role'))</t>
  </si>
  <si>
    <t>has_specified_output some 'diagnosis textual entity'</t>
  </si>
  <si>
    <t>has part' some 'performing a diagnosis'</t>
  </si>
  <si>
    <t>organism and ('has role' some 'patient role')</t>
  </si>
  <si>
    <t>diagnosis textual entity</t>
  </si>
  <si>
    <t>performing a diagnosis</t>
  </si>
  <si>
    <t>http://purl.obolibrary.org/obo/OBI_0600003</t>
  </si>
  <si>
    <t>a protocol application during which a series of tests are made of a patient  leading to determination of disease state, or condition.</t>
  </si>
  <si>
    <t>'has part' some 'performing a diagnosis'</t>
  </si>
  <si>
    <t>detection of molecular label</t>
  </si>
  <si>
    <t>An assay that detects the presence or a quality of a molecular label, which is a proxy for the detection of the molecular target to which the label is attached</t>
  </si>
  <si>
    <t>PERSON:Matthew Brush</t>
  </si>
  <si>
    <t>has_specified_input some 'molecular-labeled material'</t>
  </si>
  <si>
    <t>has_specified_output some ('measurement datum' and ('is about' some 'molecular-labeled material'))</t>
  </si>
  <si>
    <t xml:space="preserve">Molecular-labeled material </t>
  </si>
  <si>
    <t>measurement data item' and ('is about' some 'molecular-labeled material')</t>
  </si>
  <si>
    <t>molecular labeled material</t>
  </si>
  <si>
    <t>http://purl.obolibrary.org/obo/OBI_0600017</t>
  </si>
  <si>
    <t>an assay that detects the presence or a quality of a molecular label which is a proxy for the detection of the molecular target to which the label is attached</t>
  </si>
  <si>
    <t>has_specified_output some ('measurement data item' and ('is about' some 'molecular-labeled material'))</t>
  </si>
  <si>
    <t>histology</t>
  </si>
  <si>
    <t>the visual examination of cells or tissue (or images of them) with an assessment regarding a quality of the cells or tissue. Parts are: staining, imaging, judgement</t>
  </si>
  <si>
    <t>PERSON:Compiled by Helen Parkinson for Transcriptomics thanks to Adam Witney</t>
  </si>
  <si>
    <t>has_specified_output some ('information content entity' and ('is about' some (cell or 'organ section')))</t>
  </si>
  <si>
    <t>has part' some 'imaging assay', 'has part' some 'histological sample preparation', 'has part' some staining, 'has part' some 'collecting specimen from organism'</t>
  </si>
  <si>
    <t>An assay that visually examines cells or tissues (or their images) with an assessment regarding a quality of the cells or tissue. Parts of this process are staining, imaging, and judgement.</t>
  </si>
  <si>
    <t>information content entity' and ('is about' some (cell or 'organ section')</t>
  </si>
  <si>
    <t>cell or organ section</t>
  </si>
  <si>
    <t>imaging assay, histological sample, staining, collecting specimen from organism</t>
  </si>
  <si>
    <t>http://purl.obolibrary.org/obo/OBI_0600020</t>
  </si>
  <si>
    <t>the visual examination of cells or tissue (or images of them) with an assessment regarding a quality of the cells or tissue. Parts are staining, imaging, and judgement.</t>
  </si>
  <si>
    <t>'has part' some ('imaging assay' and 'histological sample preparation' and staining and 'collecting specimen from organism')</t>
  </si>
  <si>
    <t>substance detection</t>
  </si>
  <si>
    <t>any protocol which results in the detection of a specified substance</t>
  </si>
  <si>
    <t>PERSON:Kevin Clancy</t>
  </si>
  <si>
    <t>has_specified_input some 'material entity'</t>
  </si>
  <si>
    <t>An assay which results in the detection of a specified substance.</t>
  </si>
  <si>
    <t>chromatography device, gamma counter, ion detector, flow cytometer analyzer, photodetector, array scanner, spectrophotometer</t>
  </si>
  <si>
    <t>http://purl.obolibrary.org/obo/OBI_0600025</t>
  </si>
  <si>
    <t>'has participant' some ('chromatography device' or 'gamma counter' or 'ion detector' or 'flow cytometer analyzer' or photodetector or 'array scanner' or spectrophotometer)</t>
  </si>
  <si>
    <t>longitudinal mass measurement assay</t>
  </si>
  <si>
    <t>An assay in which the mass of a material is measured at two or more time points</t>
  </si>
  <si>
    <t>http://purl.obolibrary.org/obo/OBI_0600026</t>
  </si>
  <si>
    <t>A process in which the mass of a material is measured at two or more time points</t>
  </si>
  <si>
    <t>the use of a chemical or biochemical means to infer the sequence of a biomaterial</t>
  </si>
  <si>
    <t>(has_specified_output some 'sequence data') and (achieves_planned_objective some 'assay objective')</t>
  </si>
  <si>
    <t>has_specified_input some (('deoxyribonucleic acid' or 'ribonucleic acid' or protein) and ('has role' some 'evaluant role'))</t>
  </si>
  <si>
    <t>An assay which uses a chemical or biochemical means to infer the sequence of a biomaterial.</t>
  </si>
  <si>
    <t>deoxyribonucleic acid, ribonucleic acid, protein and ('has role' some 'evaluant role')</t>
  </si>
  <si>
    <t>http://purl.obolibrary.org/obo/OBI_0600047</t>
  </si>
  <si>
    <t>Objective</t>
  </si>
  <si>
    <t>Inputs</t>
  </si>
  <si>
    <t>Outputs</t>
  </si>
  <si>
    <t>Devices</t>
  </si>
  <si>
    <t>Main Processes</t>
  </si>
  <si>
    <t>Evaluant</t>
  </si>
  <si>
    <t>Analyte</t>
  </si>
  <si>
    <t>A planned process with the objective to produce information about the material entity that is the evaluant, by physically examining it or its proxies.</t>
  </si>
  <si>
    <t>nuclear magnetic resonance 3D structure determination assay</t>
  </si>
  <si>
    <t>A 3D structure determination assay that uses magnetic properties of atomic nuclei to determine the 3D structure and dynamics of molecules in the input sample.</t>
  </si>
  <si>
    <t>PlanAndPlannedProcess Branch, IEDB</t>
  </si>
  <si>
    <t>IEDB Midlevel</t>
  </si>
  <si>
    <t>3D structure determination assay</t>
  </si>
  <si>
    <t>3D structure determination assay' and ((realizes some (function and ('inheres in' some 'NMR instrument'))) and (has_specified_input some 'NMR instrument')) and (has_specified_output some '3D structural organization datum')</t>
  </si>
  <si>
    <t>An assay that measures the amount of radiation in the radioactive spectrum (alpha, beta or gamma rays) emitted from an input material.</t>
  </si>
  <si>
    <t>assay and (has_specified_input some ('material entity' and ('bearer of' some radioactive))) and (has_specified_output some ('is about' some (realizes some radioactive)))</t>
  </si>
  <si>
    <t>enzyme-linked immunosorbent assay</t>
  </si>
  <si>
    <t>An analyte assay where binding of an enzyme linked antibody to a material entity that is immobilized on solid support is detected utilizing a chemiluminescent reaction. Depending on the setup, the enzyme-linked antibody could be binding directly to the analyte, or it serves as a secondary antibody detecting binding of the primary antibody to the analyte.</t>
  </si>
  <si>
    <t>(realizes some ('reagent role' and ('inheres in' some 'immunoglobulin complex, circulating'))) and (has_specified_input some 'immunoglobulin complex, circulating')</t>
  </si>
  <si>
    <t>BrdU incorporation assay</t>
  </si>
  <si>
    <t>A cell proliferation assay in which cells are cultured in the presence of BrdU which is incorporated into newly synthesized DNA of replicating cells (during the S phase of the cell cycle), substituting for thymidine during DNA replication, which can be quantified by BrdU specific antibodies.</t>
  </si>
  <si>
    <t>cell proliferation assay</t>
  </si>
  <si>
    <t>(realizes some ('molecular label role' and ('inheres in' some 5-bromo-2'-deoxyuridine))) and (has_specified_input some 5-bromo-2'-deoxyuridine)</t>
  </si>
  <si>
    <t>tritiated thymidine incorporation assay</t>
  </si>
  <si>
    <t>A cell proliferation assay in which cells are cultured in the presence of tritiated thymidine which is incorporated into newly synthesized DNA of replicating cells (during the S phase of the cell cycle). The radioactivity of tritiated thymidine in a cell is a proxy for cells that were actively replicating.</t>
  </si>
  <si>
    <t>(realizes some ('molecular label role' and ('inheres in' some 'tritiated thymidine'))) and (has_specified_input some 'tritiated thymidine')</t>
  </si>
  <si>
    <t>has part' some 'radioactivity detection'</t>
  </si>
  <si>
    <t>Edman degradation</t>
  </si>
  <si>
    <t>A sequencing assay in which the amino acid sequence of input peptides or proteins is determined by iteratively cleaving of the amino-terminal (N-terminal) residue without disrupting the peptide bonds and identifying it by e.g. chromatography or electropheresis.</t>
  </si>
  <si>
    <t>(realizes some ('molecular label role' and ('inheres in' some 'material entity'))) and (has_specified_input some 'material entity')</t>
  </si>
  <si>
    <t>has_specified_output some ('information content entity' and ('is about' some polypeptide))</t>
  </si>
  <si>
    <t>western blot analysis</t>
  </si>
  <si>
    <t>An analyte assay that detects specific peptides in an input material by separating it using gel electrophoresis, transfering the separated molecules to a membrane, and staining them with  antibodies specific to the analyte molecules.</t>
  </si>
  <si>
    <t>Philippe Rocca-Serra, IEDB</t>
  </si>
  <si>
    <t>immunoblot assay</t>
  </si>
  <si>
    <t>(realizes some ('analyte role' and ('inheres in' some peptide))) and (has_specified_input some peptide)</t>
  </si>
  <si>
    <t>An analyte assay in which a specified input material (the evaluant) is examined for the presence or quantity of specified nucleic acid polymers, which are identified based on the use of complementary nucleic acid probes.</t>
  </si>
  <si>
    <t>analyte assay' and ((realizes some ('reagent role' and ('inheres in' some ('nucleic acid' and ('has role' some 'complementary nucleotide probe role'))))) and (has_specified_input some ('nucleic acid' and ('has role' some 'complementary nucleotide probe role')))) and ((realizes some ('analyte role' and ('inheres in' some 'nucleic acid'))) and (has_specified_input some 'nucleic acid'))</t>
  </si>
  <si>
    <t>cell-cell killing assay</t>
  </si>
  <si>
    <t>A cytometry assay that monitors a cell population to track how many are killed by other cells.</t>
  </si>
  <si>
    <t>cytometry assay</t>
  </si>
  <si>
    <t>cytometry assay' and (has_specified_input some cell) and (has_specified_output some ('is about' some 'cell killing'))</t>
  </si>
  <si>
    <t>in vivo cell killing assay</t>
  </si>
  <si>
    <t>A cell killing assay that measures if and how many target cells are killed within an organism.</t>
  </si>
  <si>
    <t>cell-cell killing assay' and ((realizes some ('evaluant role' and ('inheres in' some organism))) and (has_specified_input some organism))</t>
  </si>
  <si>
    <t>A cytometry assay which measures the degreee to which input cells are replicating.</t>
  </si>
  <si>
    <t>cytometry assay' and ((realizes some ('evaluant role' and ('inheres in' some cell))) and (has_specified_input some cell)) and (has_specified_output some ('is about' some 'cell proliferation'))</t>
  </si>
  <si>
    <t>in vitro cell killing assay</t>
  </si>
  <si>
    <t>A cell killing assay that measures if and how many target cells are actively killed by other cells in a cell culture.</t>
  </si>
  <si>
    <t>cell-cell killing assay' and ((realizes some ('evaluant role' and ('inheres in' some 'cultured cell population'))) and (has_specified_input some 'cultured cell population'))</t>
  </si>
  <si>
    <t>reporter cell line analyte detection bioassay</t>
  </si>
  <si>
    <t>An analyte assay in which a cell line whose growth is known to be affected by the presence of a specific type of material (the anlyte) is cultured in the presence of an input material (the evaluant) in order to detect presence of the analyte in the evaluant.</t>
  </si>
  <si>
    <t>(realizes some ('reagent role' and ('inheres in' some 'cell line'))) and (has_specified_input some 'cell line')</t>
  </si>
  <si>
    <t>has part' some 'maintaining cell culture'</t>
  </si>
  <si>
    <t>radio immuno assay</t>
  </si>
  <si>
    <t>An assay in which a radioactive labeled antigen or antibody is used to determine the interaction between an antigen and its receptor. This can be used to detect the presence of an antigen of interest in an input sample or determine the specificity of an input antibody.</t>
  </si>
  <si>
    <t>(realizes some ('molecular label role' and ('inheres in' some ('material entity' and ('bearer of' some radioactive))))) and (has_specified_input some ('material entity' and ('bearer of' some radioactive)))</t>
  </si>
  <si>
    <t>X-ray crystallography assay</t>
  </si>
  <si>
    <t>A 3D structure determination assay in which the diffraction of pattern of X-ray beams in a crystal of purified material entities is used to resolve the 3-dimensional structure of the material entity of interest.</t>
  </si>
  <si>
    <t>(realizes some (function and ('inheres in' some 'X-ray source'))) and (has_specified_input some 'X-ray source')</t>
  </si>
  <si>
    <t>promoter activity detection by reporter gene assay</t>
  </si>
  <si>
    <t>An assay in which the activity of a promoter in a cell is monitored by using a reporter gene that was inserted in a genomic location under control of the promoter and whose expression can be easily detected based on qualities or functions of the gene.</t>
  </si>
  <si>
    <t>has_specified_input some cell</t>
  </si>
  <si>
    <t>has_specified_output some ('is about' some 'core promoter binding')</t>
  </si>
  <si>
    <t>flow cytometry assay</t>
  </si>
  <si>
    <t>A cytometry assay in which an input cell population is put in solution, is passed by a laser, and optical sensors are used to detect scattering of the laser light and/or fluorescence of specific markers to count and characterize the particles in solution.</t>
  </si>
  <si>
    <t>cytometry assay' and ((realizes some (function and ('inheres in' some 'flow cytometer'))) and (has_specified_input some 'flow cytometer')) and ('has part' some 'fluorescence detection assay')</t>
  </si>
  <si>
    <t>cytometric bead array assay</t>
  </si>
  <si>
    <t>An analyte assay in which a series of beads coated with antibodies specific for different analytes and marked with discrete fluorescent labels are used to simultaneously capture and quantitate soluble analytes.</t>
  </si>
  <si>
    <t>analyte assay' and ((realizes some ('reagent role' and ('inheres in' some 'assay bead'))) and (has_specified_input some 'assay bead')) and ('has part' some 'fluorescence detection assay')</t>
  </si>
  <si>
    <t>surface plasmon resonance binding assay</t>
  </si>
  <si>
    <t>A binding assay that uses the detection of electromagnetic waves in a surface to detect material entities adsorbed to the surface, which change the local optical index of refraction.</t>
  </si>
  <si>
    <t>(realizes some (function and ('inheres in' some 'surface plasmon resonance instrument'))) and (has_specified_input some 'surface plasmon resonance instrument')</t>
  </si>
  <si>
    <t>cell-cell binding detection by flow cytometry assay</t>
  </si>
  <si>
    <t>A binding assay which uses a flow cytometer to detect pairs of cells that are bound to each other by staining them with different fluorescent labels.</t>
  </si>
  <si>
    <t>fluorescence detection binding assay, cytometry assay</t>
  </si>
  <si>
    <t>cytometry assay' and ('has part' some 'flow cytometry assay') and (has_specified_output some ('is about' some binding))</t>
  </si>
  <si>
    <t>3D structure determination of bound complex assay</t>
  </si>
  <si>
    <t>A 3D structure determination assay in which a complex of 2 or more material enties is characterized which provides information on their binding configuration.</t>
  </si>
  <si>
    <t>binding assay, 3D structure determination assay</t>
  </si>
  <si>
    <t>3D structure determination assay' and (has_specified_output some ('is about' some binding))</t>
  </si>
  <si>
    <t>efficacy of epitope intervention experiment</t>
  </si>
  <si>
    <t>An experiment that tests  if inducing an epitope specific immune response in an organism has an effect, such as the ability to prevent, treat or excarbate diseases in the organism.</t>
  </si>
  <si>
    <t>has_specified_output some ('measurement datum' and ('is about' some epitope))</t>
  </si>
  <si>
    <t>has part' some 'epitope specific immune intervention'</t>
  </si>
  <si>
    <t>epitope protection from infectious challenge experiment</t>
  </si>
  <si>
    <t>An epitope protection experiment in which the ability of the epitope to protect the host from an infection is assessed.</t>
  </si>
  <si>
    <t>epitope protection experiment</t>
  </si>
  <si>
    <t>has part' some 'pathogen challenge'</t>
  </si>
  <si>
    <t>epitope protection from tumor challenge experiment</t>
  </si>
  <si>
    <t>An epitope protection experiment in which the ability of the epitope to protect the host from developing tumors is assessed.</t>
  </si>
  <si>
    <t>an epitope intervention experiment that tests the efficacy of inducing an immune epitope response to prevent disease in a host.</t>
  </si>
  <si>
    <t>epitope protection from infectious challenge experiment based on pathogen burden</t>
  </si>
  <si>
    <t>An epitope protection from infectious challenge experiment in which the readout is a reduction in the presence of pathogens in the host compared to controls.</t>
  </si>
  <si>
    <t>has part' some 'infectious agent detection assay'</t>
  </si>
  <si>
    <t>epitope disease exacerbation experiment</t>
  </si>
  <si>
    <t>an epitope intervention experiment that tests the ability of inducing an epitope immune response to increase the severity of an existing disease in the host.</t>
  </si>
  <si>
    <t>epitope protection experiment based on survival</t>
  </si>
  <si>
    <t>an epitope protection experiment that determines the success of the epitope intervention based on increased survival of the host.</t>
  </si>
  <si>
    <t>has part' some 'survival assessment'</t>
  </si>
  <si>
    <t>epitope treatment experiment</t>
  </si>
  <si>
    <t>an epitope intervention experiment that tests the ability of inducing an epitope immune response to treat an existing disease  in the host.</t>
  </si>
  <si>
    <t>ELISPOT assay measuring epitope specific transforming growth factor-beta production by T cells</t>
  </si>
  <si>
    <t>An assay of epitope specific transforming growth factor-beta production by T cells that uses an ELISPOT assay.</t>
  </si>
  <si>
    <t>PERSON:Randi Vita, Jason Greenbaum, Bjoern Peters</t>
  </si>
  <si>
    <t>biological activity assay measuring epitope specific transforming growth factor-beta production by T cells</t>
  </si>
  <si>
    <t>biological activity assay measuring epitope specific transforming growth factor-beta production by T cells' and ('has part' some 'enzyme-linked immunospot assay')</t>
  </si>
  <si>
    <t>cytometric bead array assay measuring epitope specific IP-10 production by T cells</t>
  </si>
  <si>
    <t>An assay of epitope specific IP-10 production by T cells that uses a cytometric bead array assay.</t>
  </si>
  <si>
    <t>biological activity assay measuring epitope specific IP-10 production by T cells</t>
  </si>
  <si>
    <t>biological activity assay measuring epitope specific IP-10 production by T cells' and ('has part' some 'cytometric bead array assay')</t>
  </si>
  <si>
    <t>biological activity assay measuring epitope specific interleukin-27 production by T cells</t>
  </si>
  <si>
    <t>A T cell epitope specific cytokine production assay that detects interleukin-27 production by T cells.</t>
  </si>
  <si>
    <t>biological activity assay measuring epitope specific cytokine production by T cells</t>
  </si>
  <si>
    <t>biological activity assay measuring epitope specific cytokine production by T cells' and (has_specified_output some ('information content entity' and ('is about' some 'interleukin-27 production')))</t>
  </si>
  <si>
    <t>detection of specific nucleic acids with complementary probes assay measuring epitope specific transforming growth factor-beta production by T cells</t>
  </si>
  <si>
    <t>An assay of epitope specific transforming growth factor-beta production by T cells that uses a detection of specific nucleic acids with complementary probes assay.</t>
  </si>
  <si>
    <t>biological activity assay measuring epitope specific transforming growth factor-beta production by T cells' and ('has part' some 'detection of specific nucleic acid polymers with complementary probes')</t>
  </si>
  <si>
    <t>ELISPOT assay measuring epitope specific granulocyte macrophage colony-stimulating factor production by T cells</t>
  </si>
  <si>
    <t>An assay of epitope specific granulocyte macrophage colony stimulating factor production by T cells that uses an ELISPOT assay.</t>
  </si>
  <si>
    <t>biological activity assay measuring epitope specific granulocyte macrophage colony stimulating factor production by T cells</t>
  </si>
  <si>
    <t>biological activity assay measuring epitope specific granulocyte macrophage colony stimulating factor production by T cells' and ('has part' some 'enzyme-linked immunospot assay')</t>
  </si>
  <si>
    <t>biological activity assay measuring epitope specific interleukin-10 production by T cells</t>
  </si>
  <si>
    <t>A T cell epitope specific cytokine production assay that detects interleukin-10 production by T cells.</t>
  </si>
  <si>
    <t>biological activity assay measuring epitope specific cytokine production by T cells' and (has_specified_output some ('information content entity' and ('is about' some 'interleukin-10 production')))</t>
  </si>
  <si>
    <t>cytometric bead array assay measuring epitope specific transforming growth factor-beta production by T cells</t>
  </si>
  <si>
    <t>An assay of epitope specific transforming growth factor-beta production by T cells that uses a cytometric bead array assay.</t>
  </si>
  <si>
    <t>biological activity assay measuring epitope specific transforming growth factor-beta production by T cells' and ('has part' some 'cytometric bead array assay')</t>
  </si>
  <si>
    <t>intracellular material detection assay measuring epitope specific perforin release</t>
  </si>
  <si>
    <t>A T cell epitope specific perforin release assay that uses an intracellular material detection by flow cytometry assay.</t>
  </si>
  <si>
    <t>biological activity assay measuring epitope specific perforin release by T cells</t>
  </si>
  <si>
    <t>biological activity assay measuring epitope specific perforin release by T cells' and ('has part' some 'flow cytometry assay')</t>
  </si>
  <si>
    <t>cell culture analyte detection bioassay measuring epitope specific interleukin-2 production by T cells</t>
  </si>
  <si>
    <t>An assay of epitope specific interleukin-2 production by T cells that uses a cell culture analyte detection bioassay.</t>
  </si>
  <si>
    <t>biological activity assay measuring epitope specific interleukin-2 production by T cells</t>
  </si>
  <si>
    <t>biological activity assay measuring epitope specific interleukin-2 production by T cells' and ('has part' some 'reporter cell line analyte detection bioassay')</t>
  </si>
  <si>
    <t>biological activity assay measuring epitope specific interleukin-22 production by T cells</t>
  </si>
  <si>
    <t>A T cell epitope specific cytokine production assay that detects interleukin-22 production by T cells.</t>
  </si>
  <si>
    <t>biological activity assay measuring epitope specific cytokine production by T cells' and (has_specified_output some ('information content entity' and ('is about' some 'interleukin-22 production')))</t>
  </si>
  <si>
    <t>biological activity assay measuring epitope specific interleukin-8 production by T cells</t>
  </si>
  <si>
    <t>A T cell epitope specific cytokine production assay that detects interleukin-8 production by T cells.</t>
  </si>
  <si>
    <t>biological activity assay measuring epitope specific cytokine production by T cells' and (has_specified_output some ('information content entity' and ('is about' some 'interleukin-8 production')))</t>
  </si>
  <si>
    <t>cell culture analyte detection bioassay measuring epitope specific interleukin-10 production by T cells</t>
  </si>
  <si>
    <t>An assay of epitope specific interleukin-10 production by T cells that uses a cell culture analyte detection bioassay.</t>
  </si>
  <si>
    <t>biological activity assay measuring epitope specific interleukin-10 production by T cells' and ('has part' some 'reporter cell line analyte detection bioassay')</t>
  </si>
  <si>
    <t>ELISA measuring epitope specific RANTES production by T cells</t>
  </si>
  <si>
    <t>An assay of epitope specific RANTES production by T cells that uses an ELISA.</t>
  </si>
  <si>
    <t>biological activity assay measuring epitope specific RANTES production by T cells</t>
  </si>
  <si>
    <t>biological activity assay measuring epitope specific RANTES production by T cells' and ('has part' some 'enzyme-linked immunosorbent assay')</t>
  </si>
  <si>
    <t>cytometric bead array assay measuring epitope specific interleukin-1 beta production by T cells</t>
  </si>
  <si>
    <t>An assay of epitope specific interleukin-1 beta production by T cells that uses a cytometric bead array assay.</t>
  </si>
  <si>
    <t>biological activity assay measuring epitope specific interleukin-1 beta production by T cells</t>
  </si>
  <si>
    <t>biological activity assay measuring epitope specific interleukin-1 beta production by T cells' and ('has part' some 'cytometric bead array assay')</t>
  </si>
  <si>
    <t>ELISPOT assay measuring epitope specific interleukin-6 production by T cells</t>
  </si>
  <si>
    <t>An assay of epitope specific interleukin-6 production by T cells that uses an ELISPOT assay.</t>
  </si>
  <si>
    <t>biological activity assay measuring epitope specific interleukin-6 production by T cells</t>
  </si>
  <si>
    <t>biological activity assay measuring epitope specific interleukin-6 production by T cells' and ('has part' some 'enzyme-linked immunospot assay')</t>
  </si>
  <si>
    <t>biological activity assay measuring epitope specific helper T cell enhancement of a B cell mediated immune response</t>
  </si>
  <si>
    <t>A T cell epitope specific helper activity assay that detects the ability of a T cell epitope to enhance an antibody response.</t>
  </si>
  <si>
    <t>biological activity assay measuring epitope specific T cell helper activity</t>
  </si>
  <si>
    <t>plasmon resonance assay measuring the dissociation constant [KD] of a T cell epitope:MHC:TCR complex</t>
  </si>
  <si>
    <t>A T cell epitope equilibrium dissociation constant (KD) determination assay that uses a surface plasmon resonance assay.</t>
  </si>
  <si>
    <t>assay measuring a binding constant of a T cell epitope:MHC:TCR complex</t>
  </si>
  <si>
    <t>assay measuring a binding constant of a T cell epitope:MHC:TCR complex' and ('has part' some 'surface plasmon resonance binding assay') and (has_specified_output some ('has measurement unit label' value UO_0000065))</t>
  </si>
  <si>
    <t>biological activity assay measuring epitope specific interleukin-5 production by T cells</t>
  </si>
  <si>
    <t>A T cell epitope specific cytokine production assay that detects interleukin-5 production by T cells.</t>
  </si>
  <si>
    <t>biological activity assay measuring epitope specific cytokine production by T cells' and (has_specified_output some ('information content entity' and ('is about' some 'interleukin-5 production')))</t>
  </si>
  <si>
    <t>ELISA measuring epitope specific transforming growth factor-beta production by T cells</t>
  </si>
  <si>
    <t>An assay of epitope specific transforming growth factor-beta production by T cells that uses an ELISA.</t>
  </si>
  <si>
    <t>biological activity assay measuring epitope specific transforming growth factor-beta production by T cells' and ('has part' some 'enzyme-linked immunosorbent assay')</t>
  </si>
  <si>
    <t>A T cell epitope specific cytokine production assay that detects RANTES production by T cells.</t>
  </si>
  <si>
    <t>biological activity assay measuring epitope specific cytokine production by T cells' and (has_specified_output some ('information content entity' and ('is about' some 'chemokine (C-C motif) ligand 5 production')))</t>
  </si>
  <si>
    <t>A T cell epitope specific cytokine production assay that detects granulocyte macrophage colony stimulating factor production by T cells.</t>
  </si>
  <si>
    <t>biological activity assay measuring epitope specific cytokine production by T cells' and (has_specified_output some ('information content entity' and ('is about' some 'granulocyte macrophage colony-stimulating factor production')))</t>
  </si>
  <si>
    <t>ELISA measuring epitope specific interleukin-22 production by T cells</t>
  </si>
  <si>
    <t>An assay of epitope specific interleukin-22 production by T cells that uses an ELISA.</t>
  </si>
  <si>
    <t>biological activity assay measuring epitope specific interleukin-22 production by T cells' and ('has part' some 'enzyme-linked immunosorbent assay')</t>
  </si>
  <si>
    <t>biological activity assay measuring epitope specific interleukin-21 production by T cells</t>
  </si>
  <si>
    <t>A T cell epitope specific cytokine production assay that detects interleukin-21 production by T cells.</t>
  </si>
  <si>
    <t>biological activity assay measuring epitope specific cytokine production by T cells' and (has_specified_output some ('information content entity' and ('is about' some 'interleukin-21 production')))</t>
  </si>
  <si>
    <t>ELISA measuring epitope specific interleukin-9 production by T cells</t>
  </si>
  <si>
    <t>An assay of epitope specific interleukin-9 production by T cells that uses an ELISA.</t>
  </si>
  <si>
    <t>biological activity assay measuring interleukin-9 production by T cells</t>
  </si>
  <si>
    <t>biological activity assay measuring interleukin-9 production by T cells' and ('has part' some 'enzyme-linked immunosorbent assay')</t>
  </si>
  <si>
    <t>intracellular cytokine staining assay measuring epitope specific interleukin-6 production by T cells</t>
  </si>
  <si>
    <t>An assay of epitope specific interleukin-6 production by T cells that uses an intracellular cytokine staining assay.</t>
  </si>
  <si>
    <t>biological activity assay measuring epitope specific interleukin-6 production by T cells' and ('has part' some 'flow cytometry assay')</t>
  </si>
  <si>
    <t>cell culture analyte detection bioassay measuring epitope specific interleukin-4 production by T cells</t>
  </si>
  <si>
    <t>An assay of epitope specific interleukin-4 production by T cells that uses a cell culture analyte detection bioassay.</t>
  </si>
  <si>
    <t>biological activity assay measuring epitope specific interleukin-4 production by T cells</t>
  </si>
  <si>
    <t>biological activity assay measuring epitope specific interleukin-4 production by T cells' and ('has part' some 'reporter cell line analyte detection bioassay')</t>
  </si>
  <si>
    <t>detection of specific nucleic acids with complementary probes assay measuring epitope specific tumor necrosis factor production by T cells</t>
  </si>
  <si>
    <t>A T cell epitope specific tumor necrosis factor production assay that uses a detection of specific nucleic acids with complementary probes assay.</t>
  </si>
  <si>
    <t>biological activity assay measuring epitope specific tumor necrosis factor production by T cells, detection of specific nucleic acids with complementary probes assay measuring epitope specific tumor necrosis factor superfamily cytokine production by T cells</t>
  </si>
  <si>
    <t>biological activity assay measuring epitope specific tumor necrosis factor production by T cells' and ('has part' some 'detection of specific nucleic acid polymers with complementary probes')</t>
  </si>
  <si>
    <t>cytometric bead array assay measuring epitope specific monocyte chemotactic protein-1 production by T cells</t>
  </si>
  <si>
    <t>An assay of epitope specific monocyte chemotactic protein-1 production by T cells that uses a cytometric bead array assay.</t>
  </si>
  <si>
    <t>biological activity assay measuring epitope specific monocyte chemotactic protein-1 production by T cells</t>
  </si>
  <si>
    <t>biological activity assay measuring epitope specific monocyte chemotactic protein-1 production by T cells' and ('has part' some 'cytometric bead array assay')</t>
  </si>
  <si>
    <t>ELISA measuring epitope specific interleukin-23 production by T cells</t>
  </si>
  <si>
    <t>An assay of epitope specific interleukin-23 production by T cells that uses an ELISA.</t>
  </si>
  <si>
    <t>biological activity assay measuring epitope specific interleukin-23 production by T cells</t>
  </si>
  <si>
    <t>biological activity assay measuring epitope specific interleukin-23 production by T cells' and ('has part' some 'enzyme-linked immunosorbent assay')</t>
  </si>
  <si>
    <t>detection of specific nucleic acids with complementary probes assay measuring epitope specific perforin release</t>
  </si>
  <si>
    <t>A T cell epitope specific perforin release assay that uses a detection of specific nucleic acids with complementary probes assay.</t>
  </si>
  <si>
    <t>biological activity assay measuring epitope specific perforin release by T cells' and ('has part' some 'detection of specific nucleic acid polymers with complementary probes')</t>
  </si>
  <si>
    <t>ELISA measuring epitope specific tumor necrosis factor superfamily cytokine production by T cells</t>
  </si>
  <si>
    <t>An assay of epitope specific tumor necrosis factor superfamily cytokine production by T cells that uses an ELISA.</t>
  </si>
  <si>
    <t>biological activity assay measuring epitope specific tumor necrosis factor superfamily cytokine production by T cells</t>
  </si>
  <si>
    <t>biological activity assay measuring epitope specific tumor necrosis factor superfamily cytokine production by T cells' and ('has part' some 'enzyme-linked immunosorbent assay')</t>
  </si>
  <si>
    <t>biological activity assay measuring epitope specific interleukin-13 production by T cells</t>
  </si>
  <si>
    <t>A T cell epitope specific cytokine production assay that detects interleukin-13 production by T cells.</t>
  </si>
  <si>
    <t>biological activity assay measuring epitope specific cytokine production by T cells' and (has_specified_output some ('information content entity' and ('is about' some 'interleukin-13 production')))</t>
  </si>
  <si>
    <t>A T cell epitope specific cytokine production assay that detects interleukin-9 production by T cells.</t>
  </si>
  <si>
    <t>biological activity assay measuring epitope specific cytokine production by T cells' and (has_specified_output some ('information content entity' and ('is about' some 'interleukin-9 production')))</t>
  </si>
  <si>
    <t>detection of specific nucleic acids with complementary probes assay measuring epitope specific interleukin-5 production by T cells</t>
  </si>
  <si>
    <t>An assay of epitope specific interleukin-5 production by T cells that uses a detection of specific nucleic acids with complementary probes assay.</t>
  </si>
  <si>
    <t>biological activity assay measuring epitope specific interleukin-5 production by T cells' and ('has part' some 'detection of specific nucleic acid polymers with complementary probes')</t>
  </si>
  <si>
    <t>ELISA measuring epitope specific interleukin-3 production by T cells</t>
  </si>
  <si>
    <t>An assay of epitope specific interleukin-3 production by T cells that uses an ELISA.</t>
  </si>
  <si>
    <t>biological activity assay measuring epitope specific interleukin-3 production by T cells</t>
  </si>
  <si>
    <t>biological activity assay measuring epitope specific interleukin-3 production by T cells' and ('has part' some 'enzyme-linked immunosorbent assay')</t>
  </si>
  <si>
    <t>ELISA measuring epitope specific interleukin-1 alpha production by T cells</t>
  </si>
  <si>
    <t>An assay of epitope specific interleukin-1 alpha production by T cells that uses an ELISA.</t>
  </si>
  <si>
    <t>biological activity assay measuring epitope specific interleukin-1 alpha production by T cells</t>
  </si>
  <si>
    <t>biological activity assay measuring epitope specific interleukin-1 alpha production by T cells' and ('has part' some 'enzyme-linked immunosorbent assay')</t>
  </si>
  <si>
    <t>biological activity assay measuring epitope specific helper T cell enhancement of a T cell mediated immune response</t>
  </si>
  <si>
    <t>A T cell epitope specific helper activity assay that detects the ability of a T cell epitope to enhance a T cell response.</t>
  </si>
  <si>
    <t>biological activity assay measuring epitope specific T cell helper activity' and (has_specified_output some ('information content entity' and ('is about' some 'helper T cell enhancement of T cell mediated immune response'))) and (has_specified_output some ('information content entity' and ('is about' some ('helper T cell enhancement of T cell mediated immune response' and ('process is result of' some 'MHC:epitope complex binding to TCR')))))</t>
  </si>
  <si>
    <t>A T cell epitope specific cytokine production assay that detects transforming growth factor-beta production by T cells.</t>
  </si>
  <si>
    <t>biological activity assay measuring epitope specific cytokine production by T cells' and (has_specified_output some ('information content entity' and ('is about' some 'transforming growth factor beta production')))</t>
  </si>
  <si>
    <t>detection of specific nucleic acids with complementary probes assay measuring epitope specific interleukin-12 production by T cells</t>
  </si>
  <si>
    <t>An assay of epitope specific interleukin-12 production by T cells that uses a detection of specific nucleic acids with complementary probes assay.</t>
  </si>
  <si>
    <t>biological activity assay measuring epitope specific interleukin-12 production by T cells</t>
  </si>
  <si>
    <t>biological activity assay measuring epitope specific interleukin-12 production by T cells' and ('has part' some 'detection of specific nucleic acid polymers with complementary probes')</t>
  </si>
  <si>
    <t>biological activity assay measuring epitope specific cytotoxic T cell degranulation</t>
  </si>
  <si>
    <t>A T cell epitope dependent biological activity assay that detects cytotoxic T cell degranulation.</t>
  </si>
  <si>
    <t>assay measuring T cell epitope specific biological activity</t>
  </si>
  <si>
    <t>assay measuring T cell epitope specific biological activity' and (has_specified_output some ('information content entity' and ('is about' some 'cytotoxic T cell degranulation')))</t>
  </si>
  <si>
    <t>cell culture analyte detection bioassay measuring epitope specific transforming growth factor-beta production by T cells</t>
  </si>
  <si>
    <t>An assay of epitope specific transforming growth factor-beta production by T cells that uses a cell culture analyte detection bioassay.</t>
  </si>
  <si>
    <t>biological activity assay measuring epitope specific transforming growth factor-beta production by T cells' and ('has part' some 'reporter cell line analyte detection bioassay')</t>
  </si>
  <si>
    <t>ELISPOT assay measuring epitope specific tumor necrosis factor superfamily cytokine production by T cells</t>
  </si>
  <si>
    <t>An assay of epitope specific tumor necrosis factor superfamily cytokine production by T cells that uses an ELISPOT assay.</t>
  </si>
  <si>
    <t>biological activity assay measuring epitope specific tumor necrosis factor superfamily cytokine production by T cells' and ('has part' some 'enzyme-linked immunospot assay')</t>
  </si>
  <si>
    <t>cell culture analyte detection bioassay measuring epitope specific interleukin-5 production by T cells</t>
  </si>
  <si>
    <t>An assay of epitope specific interleukin-5 production by T cells that uses a cell culture analyte detection bioassay.</t>
  </si>
  <si>
    <t>biological activity assay measuring epitope specific interleukin-5 production by T cells' and ('has part' some 'reporter cell line analyte detection bioassay')</t>
  </si>
  <si>
    <t>biological activity assay measuring epitope specific chemokine (C-C motif) ligand 1 production by T cells</t>
  </si>
  <si>
    <t>A T cell epitope specific cytokine production assay that detects production of chemokine (C-C motif) ligand 1 by T cells.</t>
  </si>
  <si>
    <t>biological activity assay measuring epitope specific cytokine production by T cells' and (has_specified_output some ('information content entity' and ('is about' some 'chemokine (C-C motif) ligand 1 production')))</t>
  </si>
  <si>
    <t>detection of specific nucleic acids with complementary probes assay measuring epitope specific interleukin-2 production by T cells</t>
  </si>
  <si>
    <t>An assay of epitope specific interleukin-2 production by T cells that uses a detection of specific nucleic acids with complementary probes assay.</t>
  </si>
  <si>
    <t>biological activity assay measuring epitope specific interleukin-2 production by T cells' and ('has part' some 'detection of specific nucleic acid polymers with complementary probes')</t>
  </si>
  <si>
    <t>detection of specific nucleic acids with complementary probes assay measuring epitope specific interleukin-22 production by T cells</t>
  </si>
  <si>
    <t>An assay of epitope specific interleukin-22 production by T cells that uses a detection of specific nucleic acids with complementary probes assay.</t>
  </si>
  <si>
    <t>biological activity assay measuring epitope specific interleukin-22 production by T cells' and ('has part' some 'detection of specific nucleic acid polymers with complementary probes')</t>
  </si>
  <si>
    <t>biological activity assay measuring epitope specific interleukin-16 production by T cells</t>
  </si>
  <si>
    <t>A T cell epitope specific cytokine production assay that detects interleukin-16 production by T cells.</t>
  </si>
  <si>
    <t>biological activity assay measuring epitope specific cytokine production by T cells' and (has_specified_output some ('information content entity' and ('is about' some 'interleukin-16 production')))</t>
  </si>
  <si>
    <t>ELISA measuring epitope specific IP-10 production by T cells</t>
  </si>
  <si>
    <t>An assay of epitope specific IP-10 production by T cells that uses an ELISA.</t>
  </si>
  <si>
    <t>biological activity assay measuring epitope specific IP-10 production by T cells' and ('has part' some 'enzyme-linked immunosorbent assay')</t>
  </si>
  <si>
    <t>ELISA measuring epitope specific interleukin-15 production by T cells</t>
  </si>
  <si>
    <t>An assay of epitope specific interleukin-15 production by T cells that uses an ELISA.</t>
  </si>
  <si>
    <t>biological activity assay measuring epitope specific interleukin-15 production by T cells</t>
  </si>
  <si>
    <t>biological activity assay measuring epitope specific interleukin-15 production by T cells' and ('has part' some 'enzyme-linked immunosorbent assay')</t>
  </si>
  <si>
    <t>cytometric bead array assay measuring epitope specific interleukin-12 production by T cells</t>
  </si>
  <si>
    <t>An assay of epitope specific interleukin-12 production by T cells that uses a cytometric bead array assay.</t>
  </si>
  <si>
    <t>biological activity assay measuring epitope specific interleukin-12 production by T cells' and ('has part' some 'cytometric bead array assay')</t>
  </si>
  <si>
    <t>ELISA measuring epitope specific lymphotoxin A production by T cells</t>
  </si>
  <si>
    <t>An assay of epitope specific lymphotoxin A production by T cells that uses an ELISA.</t>
  </si>
  <si>
    <t>ELISA measuring epitope specific tumor necrosis factor superfamily cytokine production by T cells, biological activity assay measuring epitope specific lymphotoxin A production by T cells</t>
  </si>
  <si>
    <t>biological activity assay measuring epitope specific lymphotoxin A production by T cells' and ('has part' some 'enzyme-linked immunosorbent assay')</t>
  </si>
  <si>
    <t>cytometric bead array assay measuring epitope specific interleukin-5 production by T cells</t>
  </si>
  <si>
    <t>An assay of epitope specific interleukin-5 production by T cells that uses a cytometric bead array assay.</t>
  </si>
  <si>
    <t>biological activity assay measuring epitope specific interleukin-5 production by T cells' and ('has part' some 'cytometric bead array assay')</t>
  </si>
  <si>
    <t>detection of specific nucleic acids with complementary probes assay measuring epitope specific interleukin-17 production by T cells</t>
  </si>
  <si>
    <t>An assay of epitope specific interleukin-17 production by T cells that uses a detection of specific nucleic acids with complementary probes assay.</t>
  </si>
  <si>
    <t>biological activity assay measuring epitope specific interleukin-17 production by T cells</t>
  </si>
  <si>
    <t>biological activity assay measuring epitope specific interleukin-17 production by T cells' and ('has part' some 'detection of specific nucleic acid polymers with complementary probes')</t>
  </si>
  <si>
    <t>A T cell epitope specific cytokine production assay that detects interleukin-15 production by T cells.</t>
  </si>
  <si>
    <t>biological activity assay measuring epitope specific cytokine production by T cells' and (has_specified_output some ('information content entity' and ('is about' some 'interleukin-15 production')))</t>
  </si>
  <si>
    <t>A T cell epitope specific cytokine production assay that detects interleukin-17 production by T cells.</t>
  </si>
  <si>
    <t>biological activity assay measuring epitope specific cytokine production by T cells' and (has_specified_output some ('information content entity' and ('is about' some 'interleukin-17 production')))</t>
  </si>
  <si>
    <t>cytometric bead array assay measuring epitope specific interleukin-17 production by T cells</t>
  </si>
  <si>
    <t>An assay of epitope specific interleukin-17 production by T cells that uses a cytometric bead array assay.</t>
  </si>
  <si>
    <t>biological activity assay measuring epitope specific interleukin-17 production by T cells' and ('has part' some 'cytometric bead array assay')</t>
  </si>
  <si>
    <t>cytometric bead array assay measuring epitope specific interleukin-10 production by T cells</t>
  </si>
  <si>
    <t>An assay of epitope specific interleukin-10 production by T cells that uses a cytometric bead array assay.</t>
  </si>
  <si>
    <t>biological activity assay measuring epitope specific interleukin-10 production by T cells' and ('has part' some 'cytometric bead array assay')</t>
  </si>
  <si>
    <t>detection of specific nucleic acids with complementary probes assay measuring epitope specific interleukin-21 production by T cells</t>
  </si>
  <si>
    <t>An assay of epitope specific interleukin-21 production by T cells that uses a detection of specific nucleic acids with complementary probes assay.</t>
  </si>
  <si>
    <t>biological activity assay measuring epitope specific interleukin-21 production by T cells' and ('has part' some 'detection of specific nucleic acid polymers with complementary probes')</t>
  </si>
  <si>
    <t>intracellular cytokine staining assay measuring epitope specific interleukin-5 production by T cells</t>
  </si>
  <si>
    <t>An assay of epitope specific interleukin-5 production by T cells that uses an intracellular cytokine staining assay.</t>
  </si>
  <si>
    <t>biological activity assay measuring epitope specific interleukin-5 production by T cells' and ('has part' some 'flow cytometry assay')</t>
  </si>
  <si>
    <t>cytometric bead array assay measuring epitope specific interleukin-2 production by T cells</t>
  </si>
  <si>
    <t>An assay of epitope specific interleukin-2 production by T cells that uses a cytometric bead array assay.</t>
  </si>
  <si>
    <t>biological activity assay measuring epitope specific interleukin-2 production by T cells' and ('has part' some 'cytometric bead array assay')</t>
  </si>
  <si>
    <t>cell culture analyte detection bioassay measuring epitope specific interleukin-16 production by T cells</t>
  </si>
  <si>
    <t>An assay of epitope specific interleukin-16 production by T cells that uses a cell culture analyte detection bioassay.</t>
  </si>
  <si>
    <t>biological activity assay measuring epitope specific interleukin-16 production by T cells' and ('has part' some 'reporter cell line analyte detection bioassay')</t>
  </si>
  <si>
    <t>ELISA measuring epitope specific macrophage inflammatory protein-1 alpha production by T cells</t>
  </si>
  <si>
    <t>An assay of epitope specific macrophage inflammatory protein-1 alpha production by T cells that uses an ELISA.</t>
  </si>
  <si>
    <t>biological activity assay measuring epitope specific macrophage inflammatory protein-1 alpha production by T cells</t>
  </si>
  <si>
    <t>biological activity assay measuring epitope specific macrophage inflammatory protein-1 alpha production by T cells' and ('has part' some 'enzyme-linked immunosorbent assay')</t>
  </si>
  <si>
    <t>intracellular cytokine staining assay measuring epitope specific granulocyte macrophage colony-stimulating factor production by T cells</t>
  </si>
  <si>
    <t>An assay of epitope specific granulocyte macrophage colony stimulating factor production by T cells that uses an intracellular cytokine staining assay.</t>
  </si>
  <si>
    <t>biological activity assay measuring epitope specific granulocyte macrophage colony stimulating factor production by T cells' and ('has part' some 'flow cytometry assay')</t>
  </si>
  <si>
    <t>A T cell epitope specific cytokine production assay that detects IP-10 production by T cells.</t>
  </si>
  <si>
    <t>biological activity assay measuring epitope specific cytokine production by T cells' and (has_specified_output some ('information content entity' and ('is about' some 'IP-10 production')))</t>
  </si>
  <si>
    <t>intracellular cytokine staining assay measuring epitope specific interleukin-13 production by T cells</t>
  </si>
  <si>
    <t>An assay of epitope specific interleukin-13 production by T cells that uses an intracellular cytokine staining assay.</t>
  </si>
  <si>
    <t>biological activity assay measuring epitope specific interleukin-13 production by T cells' and ('has part' some 'flow cytometry assay')</t>
  </si>
  <si>
    <t>X-ray crystallography assay determining the 3D structure of a T cell epitope:MHC:TCR complex</t>
  </si>
  <si>
    <t>A T cell epitope 3D structure determination assay that uses an X-ray crystallography assay.</t>
  </si>
  <si>
    <t>3D structure determining assay of a T cell epitope:MHC:TCR complex</t>
  </si>
  <si>
    <t>3D structure determining assay of a T cell epitope:MHC:TCR complex' and ('has part' some 'X-ray crystallography assay') and (has_specified_output some ('has measurement unit label' value UO_0000019))</t>
  </si>
  <si>
    <t>ELISA measuring epitope specific chemokine (C-C motif) ligand 1 production by T cells</t>
  </si>
  <si>
    <t>An assay of epitope specific chemokine (C-C motif) ligand 1 production by T cells that uses an ELISA.</t>
  </si>
  <si>
    <t>biological activity assay measuring epitope specific chemokine (C-C motif) ligand 1 production by T cells' and ('has part' some 'enzyme-linked immunosorbent assay')</t>
  </si>
  <si>
    <t>flow cytometry assay measuring cell-cell binding of a T cell epitope:MHC:TCR complex</t>
  </si>
  <si>
    <t>A T cell epitope qualitative binding assay that uses a cell-cell binding detection by flow cytometry assay.</t>
  </si>
  <si>
    <t>fluorescence detection binding assay, assay measuring qualitiative binding of a T cell epitope:MHC:TCR complex</t>
  </si>
  <si>
    <t>assay measuring qualitiative binding of a T cell epitope:MHC:TCR complex' and ('has part' some 'flow cytometry assay')</t>
  </si>
  <si>
    <t>cell culture analyte detection bioassay measuring epitope specific interferon-gamma production by T cells</t>
  </si>
  <si>
    <t>An assay of epitope specific interferon-gamma production by T cells that uses a cell culture analyte detection bioassay.</t>
  </si>
  <si>
    <t>biological activity assay measuring epitope specific interferon-gamma production by T cells</t>
  </si>
  <si>
    <t>biological activity assay measuring epitope specific interferon-gamma production by T cells' and ('has part' some 'reporter cell line analyte detection bioassay')</t>
  </si>
  <si>
    <t>ELISPOT assay measuring epitope specific granzyme B release by T cells</t>
  </si>
  <si>
    <t>A T cell epitope specific granzyme B release assay that uses an ELISPOT assay.</t>
  </si>
  <si>
    <t>biological activity assay measuring epitope specific granzyme B release by T cells</t>
  </si>
  <si>
    <t>biological activity assay measuring epitope specific granzyme B release by T cells' and ('has part' some 'enzyme-linked immunospot assay')</t>
  </si>
  <si>
    <t>in vivo assay measuring T cell epitope specific tolerance induction</t>
  </si>
  <si>
    <t>An efficacy of T cell epitope intervention experiment that uses a tolerance induction intervention experiment.</t>
  </si>
  <si>
    <t>biological activity assay measuring T cell epitope specific in vivo activity</t>
  </si>
  <si>
    <t>biological activity assay measuring T cell epitope specific in vivo activity' and ('has part' some 'tolerance induction intervention experiment') and (has_specified_output some ('information content entity' and ('is about' some ('T cell tolerance induction' and ('process is result of' some 'MHC:epitope complex binding to TCR')))))</t>
  </si>
  <si>
    <t>detection of specific nucleic acids with complementary probes assay measuring epitope specific RANTES production by T cells</t>
  </si>
  <si>
    <t>An assay of epitope specific RANTES production by T cells that uses a detection of specific nucleic acids with complementary probes assay.</t>
  </si>
  <si>
    <t>biological activity assay measuring epitope specific RANTES production by T cells' and ('has part' some 'detection of specific nucleic acid polymers with complementary probes')</t>
  </si>
  <si>
    <t>cytometric bead array assay measuring epitope specific interleukin-4 production by T cells</t>
  </si>
  <si>
    <t>An assay of epitope specific interleukin-4 production by T cells that uses a cytometric bead array assay.</t>
  </si>
  <si>
    <t>biological activity assay measuring epitope specific interleukin-4 production by T cells' and ('has part' some 'cytometric bead array assay')</t>
  </si>
  <si>
    <t>biological activity assay measuring epitope specific lymphotoxin A production by T cells</t>
  </si>
  <si>
    <t>A T cell epitope specific cytokine production assay that detects lymphotoxin A production by T cells.</t>
  </si>
  <si>
    <t>biological activity assay measuring epitope specific tumor necrosis factor superfamily cytokine production by T cells' and (has_specified_output some ('information content entity' and ('is about' some 'lymphotoxin A production')))</t>
  </si>
  <si>
    <t>ELISA measuring epitope specific chemokine (C-X-C motif) ligand 9 production by T cells</t>
  </si>
  <si>
    <t>An assay of epitope specific chemokine (C-X-C motif) ligand 9 production by T cells that uses an ELISA.</t>
  </si>
  <si>
    <t>biological activity assay measuring epitope specific chemokine (C-X-C motif) ligand 9 production by T cells</t>
  </si>
  <si>
    <t>biological activity assay measuring epitope specific chemokine (C-X-C motif) ligand 9 production by T cells' and ('has part' some 'enzyme-linked immunosorbent assay')</t>
  </si>
  <si>
    <t>A T cell epitope specific cytokine production assay that detects macrophage inflammatory protein-1 alpha production by T cells.</t>
  </si>
  <si>
    <t>biological activity assay measuring epitope specific cytokine production by T cells' and (has_specified_output some ('information content entity' and ('is about' some 'macrophage inflammatory protein-1 alpha production')))</t>
  </si>
  <si>
    <t>detection of specific nucleic acids with complementary probes assay measuring epitope specific interleukin-4 production by T cells</t>
  </si>
  <si>
    <t>An assay of epitope specific interleukin-4 production by T cells that uses a detection of specific nucleic acids with complementary probes assay.</t>
  </si>
  <si>
    <t>biological activity assay measuring epitope specific interleukin-4 production by T cells' and ('has part' some 'detection of specific nucleic acid polymers with complementary probes')</t>
  </si>
  <si>
    <t>cell culture analyte detection bioassay measuring epitope specific granulocyte macrophage colony-stimulating factor production by T cells</t>
  </si>
  <si>
    <t>An assay of epitope specific granulocyte macrophage colony stimulating factor production by T cells that uses a cell culture analyte detection bioassay.</t>
  </si>
  <si>
    <t>biological activity assay measuring epitope specific granulocyte macrophage colony stimulating factor production by T cells' and ('has part' some 'reporter cell line analyte detection bioassay')</t>
  </si>
  <si>
    <t>intracellular cytokine staining assay measuring epitope specific interleukin-21 production by T cells</t>
  </si>
  <si>
    <t>An assay of epitope specific interleukin-21 production by T cells that uses an intracellular cytokine staining assay.</t>
  </si>
  <si>
    <t>biological activity assay measuring epitope specific interleukin-21 production by T cells' and ('has part' some 'flow cytometry assay')</t>
  </si>
  <si>
    <t>detection of specific nucleic acids with complementary probes assay measuring epitope specific monocyte chemotactic protein-1 production by T cells</t>
  </si>
  <si>
    <t>An assay of epitope specific monocyte chemotactic protein-1 production by T cells that uses a detection of specific nucleic acids with complementary probes assay.</t>
  </si>
  <si>
    <t>biological activity assay measuring epitope specific monocyte chemotactic protein-1 production by T cells' and ('has part' some 'detection of specific nucleic acid polymers with complementary probes')</t>
  </si>
  <si>
    <t>ELISA measuring epitope specific monocyte chemotactic protein-1 production by T cells</t>
  </si>
  <si>
    <t>An assay of epitope specific monocyte chemotactic protein-1 production by T cells that uses an ELISA.</t>
  </si>
  <si>
    <t>biological activity assay measuring epitope specific monocyte chemotactic protein-1 production by T cells' and ('has part' some 'enzyme-linked immunosorbent assay')</t>
  </si>
  <si>
    <t>biological activity assay measuring epitope specific chemokine (C-C motif) ligand 4 production by T cells</t>
  </si>
  <si>
    <t>A T cell epitope specific cytokine production assay that detects chemokine (C-C motif) ligand 4 production by T cells.</t>
  </si>
  <si>
    <t>biological activity assay measuring epitope specific cytokine production by T cells' and (has_specified_output some ('information content entity' and ('is about' some 'chemokine (C-C motif) ligand 4 production')))</t>
  </si>
  <si>
    <t>ELISA measuring epitope specific interleukin-21 production by T cells</t>
  </si>
  <si>
    <t>An assay of epitope specific interleukin-21 production by T cells that uses an ELISA.</t>
  </si>
  <si>
    <t>biological activity assay measuring epitope specific interleukin-21 production by T cells' and ('has part' some 'enzyme-linked immunosorbent assay')</t>
  </si>
  <si>
    <t>in vivo skin test assay measuring T cell epitope specific type IV hypersensitivity</t>
  </si>
  <si>
    <t>An efficacy of T cell epitope intervention experiment that detects epitope specific type IV hypersensitivity.</t>
  </si>
  <si>
    <t>biological activity assay measuring T cell epitope specific in vivo activity' and (has_specified_output some ('information content entity' and ('is about' some ('type IV hypersensitivity' and ('process is result of' some 'MHC:epitope complex binding to TCR')))))</t>
  </si>
  <si>
    <t>cytometric bead array assay measuring epitope specific interleukin-13 production by T cells</t>
  </si>
  <si>
    <t>An assay of epitope specific interleukin-13 production by T cells that uses a cytometric bead array assay.</t>
  </si>
  <si>
    <t>biological activity assay measuring epitope specific interleukin-13 production by T cells' and ('has part' some 'cytometric bead array assay')</t>
  </si>
  <si>
    <t>detection of specific nucleic acids with complementary probes assay measuring epitope specific interferon-gamma production by T cells</t>
  </si>
  <si>
    <t>An assay of epitope specific interferon-gamma production by T cells that uses a detection of specific nucleic acids with complementary probes assay.</t>
  </si>
  <si>
    <t>biological activity assay measuring epitope specific interferon-gamma production by T cells' and ('has part' some 'detection of specific nucleic acid polymers with complementary probes')</t>
  </si>
  <si>
    <t>cytometric bead array assay measuring epitope specific tumor necrosis factor production by T cells</t>
  </si>
  <si>
    <t>A T cell epitope specific tumor necrosis factor production assay that uses a cytometric bead array assay.</t>
  </si>
  <si>
    <t>cytometric bead array assay measuring epitope specific tumor necrosis factor superfamily cytokine production by T cells, biological activity assay measuring epitope specific tumor necrosis factor production by T cells</t>
  </si>
  <si>
    <t>biological activity assay measuring epitope specific tumor necrosis factor production by T cells' and ('has part' some 'cytometric bead array assay')</t>
  </si>
  <si>
    <t>ELISPOT assay measuring epitope specific interleukin-17 production by T cells</t>
  </si>
  <si>
    <t>An assay of epitope specific interleukin-17 production by T cells that uses an ELISPOT assay.</t>
  </si>
  <si>
    <t>biological activity assay measuring epitope specific interleukin-17 production by T cells' and ('has part' some 'enzyme-linked immunospot assay')</t>
  </si>
  <si>
    <t>detection of specific nucleic acids with complementary probes assay measuring epitope specific interferon-beta production by T cells</t>
  </si>
  <si>
    <t>An assay of epitope specific interferon-beta production by T cells that uses a detection of specific nucleic acids with complementary probes assay.</t>
  </si>
  <si>
    <t>biological activity assay measuring epitope specific interferon-beta production by T cells</t>
  </si>
  <si>
    <t>biological activity assay measuring epitope specific interferon-beta production by T cells' and ('has part' some 'detection of specific nucleic acid polymers with complementary probes')</t>
  </si>
  <si>
    <t>detection of specific nucleic acids with complementary probes assay measuring epitope specific granulocyte macrophage colony-stimulating factor production by T cells</t>
  </si>
  <si>
    <t>An assay of epitope specific granulocyte macrophage colony stimulating factor production by T cells that uses a detection of specific nucleic acids with complementary probes assay.</t>
  </si>
  <si>
    <t>biological activity assay measuring epitope specific granulocyte macrophage colony stimulating factor production by T cells' and ('has part' some 'detection of specific nucleic acid polymers with complementary probes')</t>
  </si>
  <si>
    <t>ELISA measuring epitope specific interleukin-8 production by T cells</t>
  </si>
  <si>
    <t>An assay of epitope specific interleukin-8 production by T cells that uses an ELISA.</t>
  </si>
  <si>
    <t>biological activity assay measuring epitope specific interleukin-8 production by T cells' and ('has part' some 'enzyme-linked immunosorbent assay')</t>
  </si>
  <si>
    <t>cytometric bead array assay measuring epitope specific interleukin-6 production by T cells</t>
  </si>
  <si>
    <t>An assay of epitope specific interleukin-6 production by T cells that uses a cytometric bead array assay.</t>
  </si>
  <si>
    <t>biological activity assay measuring epitope specific interleukin-6 production by T cells' and ('has part' some 'cytometric bead array assay')</t>
  </si>
  <si>
    <t>A T cell epitope specific cytokine production assay that detects interleukin-23 production by T cells.</t>
  </si>
  <si>
    <t>biological activity assay measuring epitope specific cytokine production by T cells' and (has_specified_output some ('information content entity' and ('is about' some 'interleukin-23 production')))</t>
  </si>
  <si>
    <t>detection of specific nucleic acids with complementary probes assay measuring epitope specific interleukin-10 production by T cells</t>
  </si>
  <si>
    <t>An assay of epitope specific interleukin-10 production by T cells that uses a detection of specific nucleic acids with complementary probes assay.</t>
  </si>
  <si>
    <t>biological activity assay measuring epitope specific interleukin-10 production by T cells' and ('has part' some 'detection of specific nucleic acid polymers with complementary probes')</t>
  </si>
  <si>
    <t>cytometric bead array assay measuring epitope specific tumor necrosis factor superfamily cytokine production by T cells</t>
  </si>
  <si>
    <t>An assay of epitope specific tumor necrosis factor superfamily cytokine production by T cells that uses a cytometric bead array assay.</t>
  </si>
  <si>
    <t>biological activity assay measuring epitope specific tumor necrosis factor superfamily cytokine production by T cells' and ('has part' some 'cytometric bead array assay')</t>
  </si>
  <si>
    <t>http://purl.obolibrary.org/obo/OBI_0001370</t>
  </si>
  <si>
    <t>intracellular cytokine staining assay measuring epitope specific chemokine (C-C motif) ligand 4 production by T cells</t>
  </si>
  <si>
    <t>An assay of epitope specific chemokine (C-C motif) ligand 4 production by T cells that uses an intracellular cytokine staining assay.</t>
  </si>
  <si>
    <t>biological activity assay measuring epitope specific chemokine (C-C motif) ligand 4 production by T cells' and ('has part' some 'flow cytometry assay')</t>
  </si>
  <si>
    <t>intracellular cytokine staining assay measuring epitope specific interleukin-3 production by T cells</t>
  </si>
  <si>
    <t>An assay of epitope specific interleukin-3 production by T cells that uses an intracellular cytokine staining assay.</t>
  </si>
  <si>
    <t>biological activity assay measuring epitope specific interleukin-3 production by T cells' and ('has part' some 'flow cytometry assay')</t>
  </si>
  <si>
    <t>ELISA measuring epitope specific chemokine (C-C motif) ligand 4 production by T cells</t>
  </si>
  <si>
    <t>An assay of epitope specific chemokine (C-C motif) ligand 4 production by T cells that uses an ELISA.</t>
  </si>
  <si>
    <t>biological activity assay measuring epitope specific chemokine (C-C motif) ligand 4 production by T cells' and ('has part' some 'enzyme-linked immunosorbent assay')</t>
  </si>
  <si>
    <t>cytometric bead array assay measuring epitope specific interferon-gamma production by T cells</t>
  </si>
  <si>
    <t>An assay of epitope specific interferon-gamma production by T cells that uses a cytometric bead array assay.</t>
  </si>
  <si>
    <t>biological activity assay measuring epitope specific interferon-gamma production by T cells' and ('has part' some 'cytometric bead array assay')</t>
  </si>
  <si>
    <t>biological activity assay measuring epitope specific interleukin-18 production by T cells</t>
  </si>
  <si>
    <t>A T cell epitope specific cytokine production assay that detects interleukin-18 production by T cells.</t>
  </si>
  <si>
    <t>biological activity assay measuring epitope specific cytokine production by T cells' and (has_specified_output some ('information content entity' and ('is about' some 'interleukin-18 production')))</t>
  </si>
  <si>
    <t>detection of specific nucleic acids with complementary probes assay measuring epitope specific interleukin-27 production by T cells</t>
  </si>
  <si>
    <t>An assay of epitope specific interleukin-27 production by T cells that uses a detection of specific nucleic acids with complementary probes assay.</t>
  </si>
  <si>
    <t>biological activity assay measuring epitope specific interleukin-27 production by T cells' and ('has part' some 'detection of specific nucleic acid polymers with complementary probes')</t>
  </si>
  <si>
    <t>detection of specific nucleic acids with complementary probes assay measuring epitope specific IP-10 production by T cells</t>
  </si>
  <si>
    <t>An assay of epitope specific IP-10 production by T cells that uses a detection of specific nucleic acids with complementary probes assay.</t>
  </si>
  <si>
    <t>biological activity assay measuring epitope specific IP-10 production by T cells' and ('has part' some 'detection of specific nucleic acid polymers with complementary probes')</t>
  </si>
  <si>
    <t>cell culture analyte detection bioassay measuring epitope specific interleukin-3 production by T cells</t>
  </si>
  <si>
    <t>An assay of epitope specific interleukin-3 production by T cells that uses a cell culture analyte detection bioassay.</t>
  </si>
  <si>
    <t>biological activity assay measuring epitope specific interleukin-3 production by T cells' and ('has part' some 'reporter cell line analyte detection bioassay')</t>
  </si>
  <si>
    <t>intracellular cytokine staining assay measuring epitope specific tumor necrosis factor superfamily cytokine production by T cells</t>
  </si>
  <si>
    <t>An assay of epitope specific tumor necrosis factor superfamily cytokine production by T cells that uses an intracellular cytokine staining assay.</t>
  </si>
  <si>
    <t>biological activity assay measuring epitope specific tumor necrosis factor superfamily cytokine production by T cells' and ('has part' some 'flow cytometry assay')</t>
  </si>
  <si>
    <t>A T cell epitope specific cytokine production assay that detects interleukin-1 alpha production by T cells.</t>
  </si>
  <si>
    <t>biological activity assay measuring epitope specific cytokine production by T cells' and (has_specified_output some ('information content entity' and ('is about' some 'interleukin-1 alpha production')))</t>
  </si>
  <si>
    <t>detection of specific nucleic acids with complementary probes assay measuring epitope specific interleukin-6 production by T cells</t>
  </si>
  <si>
    <t>An assay of epitope specific interleukin-6 production by T cells that uses a detection of specific nucleic acids with complementary probes assay.</t>
  </si>
  <si>
    <t>biological activity assay measuring epitope specific interleukin-6 production by T cells' and ('has part' some 'detection of specific nucleic acid polymers with complementary probes')</t>
  </si>
  <si>
    <t>A T cell epitope specific cytokine production assay that detects interferon-beta production by T cells.</t>
  </si>
  <si>
    <t>biological activity assay measuring epitope specific cytokine production by T cells' and (has_specified_output some ('information content entity' and ('is about' some 'interferon-beta production')))</t>
  </si>
  <si>
    <t>A T cell epitope specific cytokine production assay that detects interleukin-12 production by T cells.</t>
  </si>
  <si>
    <t>biological activity assay measuring epitope specific cytokine production by T cells' and (has_specified_output some ('information content entity' and ('is about' some 'interleukin-12 production')))</t>
  </si>
  <si>
    <t>in vivo assay measuring epitope specific T cell killing</t>
  </si>
  <si>
    <t>A T cell epitope specific killing assay that uses an in vivo cell mediated cell killing assay.</t>
  </si>
  <si>
    <t>biological activity assay measuring epitope specific T cell killing</t>
  </si>
  <si>
    <t>biological activity assay measuring epitope specific T cell killing' and ('has part' some 'in vivo cell killing assay')</t>
  </si>
  <si>
    <t>detection of specific nucleic acids with complementary probes assay measuring epitope specific interleukin-23 production by T cells</t>
  </si>
  <si>
    <t>An assay of epitope specific interleukin-23 production by T cells that uses a detection of specific nucleic acids with complementary probes assay.</t>
  </si>
  <si>
    <t>biological activity assay measuring epitope specific interleukin-23 production by T cells' and ('has part' some 'detection of specific nucleic acid polymers with complementary probes')</t>
  </si>
  <si>
    <t>cytometric bead array assay measuring epitope specific granulocyte colony stimulating factor production by T cells</t>
  </si>
  <si>
    <t>An assay of epitope specific granulocyte colony stimulating factor production by T cells that uses a cytometric bead array assay.</t>
  </si>
  <si>
    <t>biological activity assay measuring epitope specific granulocyte colony stimulating factor production by T cells</t>
  </si>
  <si>
    <t>biological activity assay measuring epitope specific granulocyte colony stimulating factor production by T cells' and ('has part' some 'cytometric bead array assay')</t>
  </si>
  <si>
    <t>A T cell epitope specific cytokine production assay that detects tumor necrosis factor superfamily cytokine production by T cells.</t>
  </si>
  <si>
    <t>biological activity assay measuring epitope specific cytokine production by T cells' and (has_specified_output some ('information content entity' and ('is about' some 'tumor necrosis factor superfamily cytokine production')))</t>
  </si>
  <si>
    <t>promoter activity detection by reporter gene assay measuring epitope specific interleukin-2 production by T cells</t>
  </si>
  <si>
    <t>An assay of epitope specific interleukin-2 production by T cells that uses a promoter activity detection by reporter gene assay.</t>
  </si>
  <si>
    <t>biological activity assay measuring epitope specific interleukin-2 production by T cells' and ('has part' some 'promoter activity detection by reporter gene assay')</t>
  </si>
  <si>
    <t>cytometric bead array assay measuring epitope specific macrophage inflammatory protein-1 alpha production by T cells</t>
  </si>
  <si>
    <t>An assay of epitope specific macrophage inflammatory protein-1 alpha production by T cells that uses a cytometric bead array assay.</t>
  </si>
  <si>
    <t>biological activity assay measuring epitope specific macrophage inflammatory protein-1 alpha production by T cells' and ('has part' some 'cytometric bead array assay')</t>
  </si>
  <si>
    <t>A T cell epitope specific cytokine production assay that detects interleukin-3 production by T cells.</t>
  </si>
  <si>
    <t>biological activity assay measuring epitope specific cytokine production by T cells' and (has_specified_output some ('information content entity' and ('is about' some 'interleukin-3 production')))</t>
  </si>
  <si>
    <t>biological activity assay measuring epitope specific T cell activation</t>
  </si>
  <si>
    <t>A T cell epitope dependent biological activity assay that detects T cell activation.</t>
  </si>
  <si>
    <t>cytometric bead array assay measuring epitope specific RANTES production by T cells</t>
  </si>
  <si>
    <t>An assay of epitope specific RANTES production by T cells that uses a cytometric bead array assay.</t>
  </si>
  <si>
    <t>biological activity assay measuring epitope specific RANTES production by T cells' and ('has part' some 'cytometric bead array assay')</t>
  </si>
  <si>
    <t>cell culture analyte detection bioassay measuring epitope specific interleukin-6 production by T cells</t>
  </si>
  <si>
    <t>An assay of epitope specific interleukin-6 production by T cells that uses a cell culture analyte detection bioassay.</t>
  </si>
  <si>
    <t>biological activity assay measuring epitope specific interleukin-6 production by T cells' and ('has part' some 'reporter cell line analyte detection bioassay')</t>
  </si>
  <si>
    <t>A T cell epitope specific cytokine production assay that detects interferon-gamma production by T cells.</t>
  </si>
  <si>
    <t>biological activity assay measuring epitope specific cytokine production by T cells' and (has_specified_output some ('information content entity' and ('is about' some 'interferon-gamma production')))</t>
  </si>
  <si>
    <t>biological activity assay measuring epitope specific tumor necrosis factor production by T cells</t>
  </si>
  <si>
    <t>An assay of epitope specific tumor necrosis factor superfamily cytokine production by T cells that detects tumor necrosis factor production.</t>
  </si>
  <si>
    <t>biological activity assay measuring epitope specific tumor necrosis factor superfamily cytokine production by T cells' and (has_specified_output some ('information content entity' and ('is about' some 'tumor necrosis factor production')))</t>
  </si>
  <si>
    <t>intracellular material detection measuring epitope specific granzyme B release by T cells</t>
  </si>
  <si>
    <t>A T cell epitope specific granzyme B release assay that uses an intracellular material detection by flow cytometry assay.</t>
  </si>
  <si>
    <t>biological activity assay measuring epitope specific granzyme B release by T cells' and ('has part' some 'flow cytometry assay')</t>
  </si>
  <si>
    <t>radio immuno assay measuring epitope specific interferon-gamma production by T cells</t>
  </si>
  <si>
    <t>An assay of epitope specific interferon-gamma production by T cells that uses a radio immuno assay.</t>
  </si>
  <si>
    <t>biological activity assay measuring epitope specific interferon-gamma production by T cells' and ('has part' some 'radio immuno assay')</t>
  </si>
  <si>
    <t>A T cell epitope specific cytotoxic T cell degranulation assay that detects granzyme B release by T cells.</t>
  </si>
  <si>
    <t>biological activity assay measuring epitope specific cytotoxic T cell degranulation' and (has_specified_output some ('information content entity' and ('is about' some 'granzyme B production')))</t>
  </si>
  <si>
    <t>intracellular cytokine staining assay measuring epitope specific chemokine (C-X-C motif) ligand 9 production by T cells</t>
  </si>
  <si>
    <t>An assay of epitope specific chemokine (C-X-C motif) ligand 9 production by T cells that uses an intracellular cytokine staining assay.</t>
  </si>
  <si>
    <t>biological activity assay measuring epitope specific chemokine (C-X-C motif) ligand 9 production by T cells' and ('has part' some 'flow cytometry assay')</t>
  </si>
  <si>
    <t>ELISA measuring epitope specific macrophage inflammatory protein-1 gamma production by T cells</t>
  </si>
  <si>
    <t>An assay of epitope specific macrophage inflammatory protein-1 gamma production by T cells that uses an ELISA.</t>
  </si>
  <si>
    <t>biological activity assay measuring epitope specific macrophage inflammatory protein-1 gamma production by T cells</t>
  </si>
  <si>
    <t>biological activity assay measuring epitope specific macrophage inflammatory protein-1 gamma production by T cells' and ('has part' some 'enzyme-linked immunosorbent assay')</t>
  </si>
  <si>
    <t>A T cell epitope specific cytokine production assay that detects interleukin-2 production by T cells.</t>
  </si>
  <si>
    <t>has_specified_output some ('information content entity' and ('is about' some 'interleukin-2 production'))</t>
  </si>
  <si>
    <t>A T cell epitope specific cytokine production assay that detects interleukin-1 beta production by T cells.</t>
  </si>
  <si>
    <t>biological activity assay measuring epitope specific cytokine production by T cells' and (has_specified_output some ('information content entity' and ('is about' some 'interleukin-1 beta production')))</t>
  </si>
  <si>
    <t>A T cell epitope specific cytokine production assay that detects interleukin-4 production by T cells.</t>
  </si>
  <si>
    <t>biological activity assay measuring epitope specific cytokine production by T cells' and (has_specified_output some ('information content entity' and ('is about' some 'interleukin-4 production')))</t>
  </si>
  <si>
    <t>A T cell epitope specific cytokine production assay that detects interleukin-6 production by T cells.</t>
  </si>
  <si>
    <t>biological activity assay measuring epitope specific cytokine production by T cells' and (has_specified_output some ('information content entity' and ('is about' some 'interleukin-6 production')))</t>
  </si>
  <si>
    <t>cell culture analyte detection bioassay measuring epitope specific tumor necrosis factor production by T cells</t>
  </si>
  <si>
    <t>A T cell epitope specific tumor necrosis factor production assay that uses a cell culture analyte detection bioassay.</t>
  </si>
  <si>
    <t>biological activity assay measuring epitope specific tumor necrosis factor production by T cells' and ('has part' some 'reporter cell line analyte detection bioassay')</t>
  </si>
  <si>
    <t>intracellular cytokine staining assay measuring epitope specific lymphotoxin A production by T cells</t>
  </si>
  <si>
    <t>An assay of epitope specific lymphotoxin A production by T cells that uses an intracellular cytokine staining assay.</t>
  </si>
  <si>
    <t>biological activity assay measuring epitope specific lymphotoxin A production by T cells, intracellular cytokine staining assay measuring epitope specific tumor necrosis factor superfamily cytokine production by T cells</t>
  </si>
  <si>
    <t>biological activity assay measuring epitope specific lymphotoxin A production by T cells' and ('has part' some 'flow cytometry assay')</t>
  </si>
  <si>
    <t>ELISPOT assay measuring epitope specific interleukin-5 production by T cells</t>
  </si>
  <si>
    <t>An assay of epitope specific interleukin-5 production by T cells that uses an ELISPOT assay.</t>
  </si>
  <si>
    <t>biological activity assay measuring epitope specific interleukin-5 production by T cells' and ('has part' some 'enzyme-linked immunospot assay')</t>
  </si>
  <si>
    <t>A T cell epitope specific cytokine production assay that detects macrophage inflammatory protein-1 gamma production by T cells.</t>
  </si>
  <si>
    <t>biological activity assay measuring epitope specific cytokine production by T cells' and (has_specified_output some ('information content entity' and ('is about' some 'macrophage inflammatory protein-1 gamma production')))</t>
  </si>
  <si>
    <t>cytometric bead array assay measuring epitope specific interleukin-8 production by T cells</t>
  </si>
  <si>
    <t>An assay of epitope specific interleukin-8 production by T cells that uses a cytometric bead array assay.</t>
  </si>
  <si>
    <t>biological activity assay measuring epitope specific interleukin-8 production by T cells' and ('has part' some 'cytometric bead array assay')</t>
  </si>
  <si>
    <t>A T cell epitope specific cytokine production assay that detects chemokine (C-X-C motif) ligand 9 production by T cells.</t>
  </si>
  <si>
    <t>biological activity assay measuring epitope specific cytokine production by T cells' and (has_specified_output some ('information content entity' and ('is about' some 'chemokine (C-X-C motif) ligand 9 production')))</t>
  </si>
  <si>
    <t>ELISA measuring epitope specific granzyme B release by T cells</t>
  </si>
  <si>
    <t>A T cell epitope specific granzyme B release assay that uses an ELISA.</t>
  </si>
  <si>
    <t>biological activity assay measuring epitope specific granzyme B release by T cells' and ('has part' some 'enzyme-linked immunosorbent assay')</t>
  </si>
  <si>
    <t>A T cell epitope specific cytokine production assay that detects monocyte chemotactic protein-1 production by T cells.</t>
  </si>
  <si>
    <t>biological activity assay measuring epitope specific cytokine production by T cells' and (has_specified_output some ('information content entity' and ('is about' some 'monocyte chemotactic protein-1 production')))</t>
  </si>
  <si>
    <t>intracellular cytokine staining assay measuring epitope specific interleukin-12 production by T cells</t>
  </si>
  <si>
    <t>An assay of epitope specific interleukin-12 production by T cells that uses an intracellular cytokine staining assay.</t>
  </si>
  <si>
    <t>biological activity assay measuring epitope specific interleukin-12 production by T cells' and ('has part' some 'flow cytometry assay')</t>
  </si>
  <si>
    <t>in vivo assay measuring T cell epitope specific disease exacerbation</t>
  </si>
  <si>
    <t>An efficacy of T cell epitope intervention experiment that uses a disease exacerbation in vivo intervention experiment.</t>
  </si>
  <si>
    <t>biological activity assay measuring T cell epitope specific in vivo activity' and ('has part' some 'disease exacerbation in vivo intervention experiment')</t>
  </si>
  <si>
    <t>monospecific T cell recognition assay measuring MHC ligand processing and presentation</t>
  </si>
  <si>
    <t>A MHC ligand processing and presentation assay in which the presence of a specific ligand in an eluate is detected using the response of T cells that are known to be monospecific for that ligand as a readout.</t>
  </si>
  <si>
    <t>assay measuring MHC ligand processing and presentation</t>
  </si>
  <si>
    <t>has part' some 'assay measuring binding of a T cell epitope:MHC:TCR complex'</t>
  </si>
  <si>
    <t>in vivo assay measuring T cell epitope specific protection from tumor challenge</t>
  </si>
  <si>
    <t>A T cell epitope in vivo intervention experiment that uses a protection from challenge in vivo intervention experiment based on tumor burden.</t>
  </si>
  <si>
    <t>in vivo assay measuring T cell epitope specific protection from challenge</t>
  </si>
  <si>
    <t>in vivo assay measuring T cell epitope specific protection from challenge' and ('has part' some 'protection from challenge in vivo intervention experiment') and (has_specified_input some 'cancer cell line')</t>
  </si>
  <si>
    <t>in vivo assay measuring T cell epitope specific protection from infectious challenge based on pathogen burden</t>
  </si>
  <si>
    <t>A T cell epitope in vivo intervention experiment that uses a protection from challenge in vivo intervention experiment based on pathogen burden.</t>
  </si>
  <si>
    <t>in vivo assay measuring T cell epitope specific protection from challenge' and ('has part' some 'protection from challenge in vivo intervention experiment') and (has_specified_input some ('material entity' and ('has role' some 'pathogen role')))</t>
  </si>
  <si>
    <t>phage display binding assay</t>
  </si>
  <si>
    <t>A binding assay in which a collection of phages expressing a library of different peptides or protein fragnments is used to infect cells, followed by screening for cells that bind a protein of interest, and identifiying the sequence of infecting phages to determine a suitable binding partner.</t>
  </si>
  <si>
    <t>binding assay' and ('has part' some 'phage display library panning') and ('has part' some 'sequencing assay') and (has_specified_input some 'phage display library')</t>
  </si>
  <si>
    <t>mass spectrometry assay measuring MHC ligand processing and presentation</t>
  </si>
  <si>
    <t>A MHC ligand processing and presentation assay that uses a mass spectrometry assay to identify eluted ligands</t>
  </si>
  <si>
    <t>assay measuring MHC ligand processing and presentation' and ('has part' some 'mass spectrometry assay')</t>
  </si>
  <si>
    <t>intracellular cytokine staining assay measuring epitope specific transforming growth factor-beta production by T cells</t>
  </si>
  <si>
    <t>An assay of epitope specifictransforming growth factor-beta production by T cells that uses an intracellular cytokine staining assay.</t>
  </si>
  <si>
    <t>biological activity assay measuring epitope specific transforming growth factor-beta production by T cells' and ('has part' some 'flow cytometry assay')</t>
  </si>
  <si>
    <t>A T cell epitope dependent biological activity determination assay that uses an in vivo intervention experiment.</t>
  </si>
  <si>
    <t>assay measuring T cell epitope specific biological activity' and ('has part' some 'in vivo intervention experiment') and (has_specified_input some organism)</t>
  </si>
  <si>
    <t>epitope tolerance induction experiment</t>
  </si>
  <si>
    <t>An efficacy of epitope intervention experiment that tests the ability of the intervention to decrease an existing immune response</t>
  </si>
  <si>
    <t>mass spectrometry assay measuring MHC ligand processing and presentation of MHC ligands eluted from cellular MHC</t>
  </si>
  <si>
    <t>A mass spectrometry of MHC ligands assay that identifies eluted ligands from cell bound MHC.</t>
  </si>
  <si>
    <t>has part' some 'mass spectrometry assay'</t>
  </si>
  <si>
    <t>cytometric bead array measuring epitope specific granulocyte macrophage colony-stimulating factor production by T cells</t>
  </si>
  <si>
    <t>An assay of epitope specific granulocyte macrophage colony stimulating factor production by T cells that uses a cytometric bead array assay.</t>
  </si>
  <si>
    <t>biological activity assay measuring epitope specific granulocyte macrophage colony stimulating factor production by T cells' and ('has part' some 'cytometric bead array assay')</t>
  </si>
  <si>
    <t>in vivo assay measuring T cell epitope specific protection based on survival</t>
  </si>
  <si>
    <t>A T cell epitope in vivo intervention experiment that uses a protection from challenge in vivo intervention experiment based on survival.</t>
  </si>
  <si>
    <t>in vivo assay measuring T cell epitope specific protection from challenge' and ('has part' some 'epitope protection experiment based on survival')</t>
  </si>
  <si>
    <t>cell bound MHC competitive binding assay of a MHC:ligand complex using T cell epitope recognition</t>
  </si>
  <si>
    <t>A cell bound MHC binding assay that uses a T cell epitope recognition assay.</t>
  </si>
  <si>
    <t>cell bound MHC binding assay measuring binding of a MHC:ligand complex</t>
  </si>
  <si>
    <t>has_specified_input some ('material entity' and ('has role' some 'competitive binding reference ligand role')), has_specified_input some (cell and ('has part' some 'MHC protein complex'))</t>
  </si>
  <si>
    <t>has part' some 'assay measuring binding of a T cell epitope:MHC:TCR complex', has_specified_input some (cell and ('has part' some 'MHC protein complex'))</t>
  </si>
  <si>
    <t>A T cell epitope dependent biological activity assay that detects the ability of epitope specific helper T cells to enhance either B cell or T cell adaptive immune response function.</t>
  </si>
  <si>
    <t>assay measuring T cell epitope specific biological activity' and (has_specified_output some ('information content entity' and ('is about' some 'helper T cell enhancement of adaptive immune response'))) and (has_specified_output some ('information content entity' and ('is about' some (('helper T cell enhancement of T cell mediated immune response' or 'helper T cell enhancement of B cell mediated immune response') and ('process is result of' some 'MHC:epitope complex binding to TCR')))))</t>
  </si>
  <si>
    <t>intracellular cytokine staining assay measuring epitope specific interleukin-22 production by T cells</t>
  </si>
  <si>
    <t>An assay of epitope specific interleukin-22 production by T cells that uses an intracellular cytokine staining assay.</t>
  </si>
  <si>
    <t>biological activity assay measuring epitope specific interleukin-22 production by T cells' and ('has part' some 'flow cytometry assay')</t>
  </si>
  <si>
    <t>A T cell epitope specific cytotoxic T cell degranulation assay that detects perforin release by T cells.</t>
  </si>
  <si>
    <t>biological activity assay measuring epitope specific cytotoxic T cell degranulation' and (has_specified_output some ('information content entity' and ('is about' some 'perforin production')))</t>
  </si>
  <si>
    <t>http://purl.obolibrary.org/obo/OBI_0001500</t>
  </si>
  <si>
    <t>coelution assay measuring MHC ligand processing and presentation using T cell recognition of HPLC fractionated eluate compared to synthetic ligand</t>
  </si>
  <si>
    <t>A MHC ligand processing and presentation assay in which an HPL chromatography is run to separate an input mixture of ligands eluted from MHC into fractions. These fractions are tested for recognition by T cells and compared to the recognition of a synthetic ligand that is presumed to be the recognized epitope. Identical HPLC fractionation and T cell recognition patterns confirm that the specific ligand was presented by MHC molecules.</t>
  </si>
  <si>
    <t>has_specified_input some ('material entity' and ('has role' some 'positive reference substance role'))</t>
  </si>
  <si>
    <t>fluorescence detection assay</t>
  </si>
  <si>
    <t>An assay in which a material's fluorescence is determined.</t>
  </si>
  <si>
    <t>assay and ((realizes some fluorescence) and (has_specified_input some 'material entity')) and (has_specified_output some ('is about' some fluorescence))</t>
  </si>
  <si>
    <t>in vivo assay measuring T cell epitope specific treatment of disease</t>
  </si>
  <si>
    <t>An efficacy of T cell epitope intervention experiment that detects a decrease in disease.</t>
  </si>
  <si>
    <t>biological activity assay measuring T cell epitope specific in vivo activity' and ('has part' some 'treatment intervention experiment')</t>
  </si>
  <si>
    <t>Edman degradation assay measuring MHC ligand processing and presentation</t>
  </si>
  <si>
    <t>A MHC ligand processing and presentation assay that uses Edman degradation to identify the eluted ligands</t>
  </si>
  <si>
    <t>assay measuring MHC ligand processing and presentation' and ('has part' some 'Edman degradation')</t>
  </si>
  <si>
    <t>mass spectrometry assay measuring MHC ligand processing and presentation of MHC ligands eluted from secreted MHC</t>
  </si>
  <si>
    <t>A mass spectrometry of MHC ligands that identifies eluted ligands from secreted MHC.</t>
  </si>
  <si>
    <t>cytometric bead array assay measuring epitope specific interleukin-17A production by T cells</t>
  </si>
  <si>
    <t>A T cell epitope specific interleukin-17A production assay that uses a cytometric bead array assay.</t>
  </si>
  <si>
    <t>cytometric bead array assay measuring epitope specific interleukin-17 production by T cells, biological activity assay measuring epitope specific interleukin-17A production by T cells</t>
  </si>
  <si>
    <t>biological activity assay measuring epitope specific interleukin-17A production by T cells' and ('has part' some 'cytometric bead array assay')</t>
  </si>
  <si>
    <t>purified MHC competitive binding assay of a MHC:ligand complex using radioactivity detection</t>
  </si>
  <si>
    <t>A purified MHC binding assay that uses radioactivity detection to detect loss of binding of a known reference ligand due to competition by the ligand under investigation.</t>
  </si>
  <si>
    <t>radioactivity detection binding assay, purified MHC binding assay measuring binding of a MHC:ligand complex</t>
  </si>
  <si>
    <t>has_specified_input some ('material entity' and ('has role' some 'competitive binding reference ligand role')), has_specified_input some ('purified MHC molecule preparation' and ('has part' some 'MHC protein complex'))</t>
  </si>
  <si>
    <t>has part' some 'radioactivity detection', has_specified_input some ('purified MHC molecule preparation' and ('has part' some 'MHC protein complex'))</t>
  </si>
  <si>
    <t>cell lysate MHC direct binding assay measuring half maximal effective concentration [EC50] of a MHC:ligand complex using radioactivity detection</t>
  </si>
  <si>
    <t>A cell lysate MHC ligand binding half maximal effective concentration (EC50) determination assay that uses radioactivity detection to measure direct ligand binding.</t>
  </si>
  <si>
    <t>radioactivity detection binding assay, assay measuring the half maximal effective concentration [EC50] of a MHC:ligand complex</t>
  </si>
  <si>
    <t>assay measuring the half maximal effective concentration [EC50] of a MHC:ligand complex' and ('has part' some 'radioactivity detection') and (has_specified_input some ('cell lysate' and ('has part' some 'MHC protein complex'))) and (has_specified_output some ('has measurement unit label' value UO_0000065))</t>
  </si>
  <si>
    <t>cell bound MHC competitive binding assay measuring half maximal inhibitory concentration [IC50] of a MHC:ligand complex using radioactivity detection</t>
  </si>
  <si>
    <t>A cell bound MHC ligand binding half maximal inhibitory concentration (IC50) determination assay that uses radioactivity detection to detect loss of binding of a known reference ligand due to competition by the ligand under investigation.</t>
  </si>
  <si>
    <t>radioactivity detection binding assay, assay measuring the half maximal inhibitory concentration [IC50] of a MHC:ligand complex</t>
  </si>
  <si>
    <t>assay measuring the half maximal inhibitory concentration [IC50] of a MHC:ligand complex' and ('has part' some 'radioactivity detection') and (has_specified_input some ('material entity' and ('has role' some 'competitive binding reference ligand role'))) and (has_specified_input some (cell and ('has part' some 'MHC protein complex'))) and (has_specified_output some ('has measurement unit label' value UO_0000065))</t>
  </si>
  <si>
    <t>cell lysate MHC direct binding assay of a MHC:ligand complex using fluorescence detection</t>
  </si>
  <si>
    <t>A cell lysate MHC binding assay that uses fluorescence detection to detect direct binding.</t>
  </si>
  <si>
    <t>fluorescence detection binding assay, cell lysate MHC binding assay measuring binding of a MHC:ligand complex</t>
  </si>
  <si>
    <t>has_specified_input some ('cell lysate' and ('has part' some 'MHC protein complex'))</t>
  </si>
  <si>
    <t>has part' some 'fluorescence detection assay', has_specified_input some ('cell lysate' and ('has part' some 'MHC protein complex'))</t>
  </si>
  <si>
    <t>cell bound MHC competitive binding assay measuring half maximal inhibitory concentration [IC50] of a MHC:ligand complex using fluorescence detection</t>
  </si>
  <si>
    <t>A cell bound MHC ligand binding half maximal inhibitory concentration (IC50) determination assay that uses fluorescence detection to detect loss of binding of a known reference ligand due to competition by the ligand under investigation.</t>
  </si>
  <si>
    <t>fluorescence detection binding assay, assay measuring the half maximal inhibitory concentration [IC50] of a MHC:ligand complex</t>
  </si>
  <si>
    <t>assay measuring the half maximal inhibitory concentration [IC50] of a MHC:ligand complex' and ('has part' some 'fluorescence detection assay') and (has_specified_input some ('material entity' and ('has role' some 'competitive binding reference ligand role'))) and (has_specified_input some (cell and ('has part' some 'MHC protein complex'))) and (has_specified_output some ('has measurement unit label' value UO_0000065))</t>
  </si>
  <si>
    <t>ELISA measuring epitope specific granulocyte colony stimulating factor production by T cells</t>
  </si>
  <si>
    <t>An assay of epitope specific granulocyte colony stimulating factor production by T cells that uses an ELISA.</t>
  </si>
  <si>
    <t>biological activity assay measuring epitope specific granulocyte colony stimulating factor production by T cells' and ('has part' some 'enzyme-linked immunosorbent assay')</t>
  </si>
  <si>
    <t>cytometric bead array assay measuring epitope specific interleukin-17F production by T cells</t>
  </si>
  <si>
    <t>A T cell epitope specific interleukin-17F production assay that uses a cytometric bead array assay.</t>
  </si>
  <si>
    <t>cytometric bead array assay measuring epitope specific interleukin-17 production by T cells, biological activity assay measuring epitope specific interleukin-17F production by T cells</t>
  </si>
  <si>
    <t>biological activity assay measuring epitope specific interleukin-17F production by T cells' and ('has part' some 'cytometric bead array assay')</t>
  </si>
  <si>
    <t>cell bound MHC direct binding assay measuring equilibrium association constant [KA] of a MHC:ligand complex using fluorescence detection</t>
  </si>
  <si>
    <t>A cell bound MHC ligand binding equilibrium association constant (KA) determination assay that uses fluorescence detection to detect direct binding.</t>
  </si>
  <si>
    <t>fluorescence detection binding assay, assay measuring the association constant [KA] of a MHC:ligand complex</t>
  </si>
  <si>
    <t>assay measuring the association constant [KA] of a MHC:ligand complex' and ('has part' some 'fluorescence detection assay') and (has_specified_input some (cell and ('has part' some 'MHC protein complex'))) and (has_specified_output some ('has measurement unit label' value UO_0000285))</t>
  </si>
  <si>
    <t>purified MHC direct binding assay measuring half life of a MHC:ligand complex using fluorescence detection</t>
  </si>
  <si>
    <t>A purified MHC ligand half life of binding determination assay that uses fluorescence detection to measure direct ligand binding.</t>
  </si>
  <si>
    <t>fluorescence detection binding assay, assay measuring the half life of a MHC:ligand complex</t>
  </si>
  <si>
    <t>assay measuring the half life of a MHC:ligand complex' and ('has part' some 'fluorescence detection assay') and (has_specified_input some ('purified MHC molecule preparation' and ('has part' some 'MHC protein complex'))) and (has_specified_output some ('has measurement unit label' value UO_0000031))</t>
  </si>
  <si>
    <t>cytometric bead array assay measuring epitope specific interleukin-9 production by T cells</t>
  </si>
  <si>
    <t>An assay of epitope specific interleukin-9 production by T cells that uses a cytometric bead array assay.</t>
  </si>
  <si>
    <t>biological activity assay measuring interleukin-9 production by T cells' and ('has part' some 'cytometric bead array assay')</t>
  </si>
  <si>
    <t>purified MHC competitive binding assay measuring binding of a MHC:ligand complex using fluorescence detection</t>
  </si>
  <si>
    <t>A purified MHC binding assay that uses fluorescence detection to detect loss of binding of a known reference ligand due to competition by the ligand under investigation.</t>
  </si>
  <si>
    <t>fluorescence detection binding assay, purified MHC binding assay measuring binding of a MHC:ligand complex</t>
  </si>
  <si>
    <t>has part' some 'fluorescence detection assay', has_specified_input some ('purified MHC molecule preparation' and ('has part' some 'MHC protein complex'))</t>
  </si>
  <si>
    <t>purified MHC competitive binding assay measuring equilibrium dissociation constant [KD] of a MHC:ligand complex using fluorescence detection</t>
  </si>
  <si>
    <t>A purified MHC ligand binding equilibrium dissociation constant (KD) determination assay that uses fluorescence detection to detect loss of binding of a known reference ligand due to competition by the ligand under investigation.</t>
  </si>
  <si>
    <t>fluorescence detection binding assay, assay measuring the dissociation constant [KD] of a MHC:ligand complex</t>
  </si>
  <si>
    <t>assay measuring the dissociation constant [KD] of a MHC:ligand complex' and ('has part' some 'fluorescence detection assay') and (has_specified_input some ('material entity' and ('has role' some 'competitive binding reference ligand role'))) and (has_specified_input some ('purified MHC molecule preparation' and ('has part' some 'MHC protein complex'))) and (has_specified_output some ('has measurement unit label' value UO_0000065))</t>
  </si>
  <si>
    <t>cell bound MHC competitive binding assay measuring equilibrium dissociation constant [KD] of a MHC:ligand complex using fluorescence detection</t>
  </si>
  <si>
    <t>A cell bound MHC ligand binding equilibrium dissociation constant (KD) determination assay that uses fluorescence detection to detect loss of binding of a known reference ligand due to competition by the ligand under investigation.</t>
  </si>
  <si>
    <t>assay measuring the dissociation constant [KD] of a MHC:ligand complex' and ('has part' some 'fluorescence detection assay') and (has_specified_input some ('material entity' and ('has role' some 'competitive binding reference ligand role'))) and (has_specified_input some (cell and ('has part' some 'MHC protein complex'))) and (has_specified_output some ('has measurement unit label' value UO_0000065))</t>
  </si>
  <si>
    <t>purified MHC direct binding assay measuring binding on rate [kon] of a MHC:ligand complex using fluorescence detection</t>
  </si>
  <si>
    <t>A purified MHC ligand binding on rate (kon) determination assay that uses fluorescence detection to measure direct ligand binding.</t>
  </si>
  <si>
    <t>fluorescence detection binding assay, assay measuring the MHC ligand binding on rate [kon] of a MHC:ligand complex</t>
  </si>
  <si>
    <t>assay measuring the MHC ligand binding on rate [kon] of a MHC:ligand complex' and ('has part' some 'fluorescence detection assay') and (has_specified_input some ('purified MHC molecule preparation' and ('has part' some 'MHC protein complex'))) and (has_specified_output some ('has measurement unit label' value UO_0000281))</t>
  </si>
  <si>
    <t>detection of specific nucleic acids with complementary probes assay measuring epitope specific interleukin-13 production by T cells</t>
  </si>
  <si>
    <t>An assay of epitope specific interleukin-13 production by T cells that uses a detection of specific nucleic acids with complementary probes assay.</t>
  </si>
  <si>
    <t>biological activity assay measuring epitope specific interleukin-13 production by T cells' and ('has part' some 'detection of specific nucleic acid polymers with complementary probes')</t>
  </si>
  <si>
    <t>purified MHC direct binding assay measuring equilibrium dissociation constant [KD] of a MHC:ligand complex approximated by EC50 using fluorescence detection</t>
  </si>
  <si>
    <t>A purified MHC ligand binding equilibrium dissociation constant (KD) determination assay that uses fluorescence detection to measure direct ligand binding and provides EC50 values determined under assay conditions where the EC50 approximates a KD value.</t>
  </si>
  <si>
    <t>has_specified_input some ('purified MHC molecule preparation' and ('has part' some 'MHC protein complex'))</t>
  </si>
  <si>
    <t>has_specified_output some ('has measurement unit label' value UO_0000065)</t>
  </si>
  <si>
    <t>cell lysate MHC competitive binding assay measuring equilibrium dissociation constant [KD] of a MHC:ligand complex using radioactivity detection</t>
  </si>
  <si>
    <t>A cell lysate MHC ligand binding equilibrium dissociation constant (KD) determination assay that uses radioactivity detection to detect loss of binding of a known reference ligand due to competition by the ligand under investigation.</t>
  </si>
  <si>
    <t>radioactivity detection binding assay, assay measuring the dissociation constant [KD] of a MHC:ligand complex</t>
  </si>
  <si>
    <t>assay measuring the dissociation constant [KD] of a MHC:ligand complex' and ('has part' some 'radioactivity detection') and (has_specified_input some ('material entity' and ('has role' some 'competitive binding reference ligand role'))) and (has_specified_input some ('cell lysate' and ('has part' some 'MHC protein complex'))) and (has_specified_output some ('has measurement unit label' value UO_0000065))</t>
  </si>
  <si>
    <t>intracellular cytokine staining assay measuring epitope specific macrophage inflammatory protein-1 alpha production by T cells</t>
  </si>
  <si>
    <t>An assay of epitope specific macrophage inflammatory protein-1 alpha production by T cells that uses an intracellular cytokine staining assay.</t>
  </si>
  <si>
    <t>biological activity assay measuring epitope specific macrophage inflammatory protein-1 alpha production by T cells' and ('has part' some 'flow cytometry assay')</t>
  </si>
  <si>
    <t>cell bound MHC competitive binding assay measuring equilibrium dissociation constant [KD] of a MHC:ligand complex using radioactivity detection</t>
  </si>
  <si>
    <t>A cell bound MHC ligand binding equilibrium dissociation constant (KD) determination assay that uses radioactivity detection to detect loss of binding of a known reference ligand due to competition by the ligand under investigation.</t>
  </si>
  <si>
    <t>assay measuring the dissociation constant [KD] of a MHC:ligand complex' and ('has part' some 'radioactivity detection') and (has_specified_input some ('material entity' and ('has role' some 'competitive binding reference ligand role'))) and (has_specified_input some (cell and ('has part' some 'MHC protein complex'))) and (has_specified_output some ('has measurement unit label' value UO_0000065))</t>
  </si>
  <si>
    <t>A MHC binding qualitative binding to ligand assay measuring MHC ligand binding using MHC present on cells.</t>
  </si>
  <si>
    <t>assay measuring qualitiative binding of a MHC:ligand complex</t>
  </si>
  <si>
    <t>assay measuring qualitiative binding of a MHC:ligand complex' and (has_specified_input some (cell and ('has part' some 'MHC protein complex')))</t>
  </si>
  <si>
    <t>intracellular cytokine staining assay measuring epitope specific tumor necrosis factor (ligand) superfamily member 11 production by T cells</t>
  </si>
  <si>
    <t>A T cell epitope specific tumor necrosis factor (ligand) superfamily member 11 production assay that uses an intracellular cytokine staining assay.</t>
  </si>
  <si>
    <t>intracellular cytokine staining assay measuring epitope specific tumor necrosis factor superfamily cytokine production by T cells, biological activity assay measuring epitope specific tumor necrosis factor (ligand) superfamily member 11 production by T cells</t>
  </si>
  <si>
    <t>biological activity assay measuring epitope specific tumor necrosis factor (ligand) superfamily member 11 production by T cells' and ('has part' some 'flow cytometry assay')</t>
  </si>
  <si>
    <t>assay measuring a binding constant of a MHC:ligand complex</t>
  </si>
  <si>
    <t>A MHC:ligand binding assay that measures a binding constant.</t>
  </si>
  <si>
    <t>binding constant determination assay, assay measuring binding of a MHC:ligand complex</t>
  </si>
  <si>
    <t>assay measuring binding of a MHC:ligand complex' and (has_specified_output some 'binding constant')</t>
  </si>
  <si>
    <t>purified MHC binding assay measuring binding of a MHC:ligand complex</t>
  </si>
  <si>
    <t>A MHC binding qualitative binding to ligand assay using MHC in a purified MHC molecule preparation.</t>
  </si>
  <si>
    <t>assay measuring qualitiative binding of a MHC:ligand complex' and (has_specified_input some ('purified MHC molecule preparation' and ('has part' some 'MHC protein complex')))</t>
  </si>
  <si>
    <t>cell lysate MHC direct binding assay of a MHC:ligand complex using radioactivity detection</t>
  </si>
  <si>
    <t>A cell lysate MHC binding assay that uses radioactivity detection to detect direct binding.</t>
  </si>
  <si>
    <t>radioactivity detection binding assay, cell lysate MHC binding assay measuring binding of a MHC:ligand complex</t>
  </si>
  <si>
    <t>has part' some 'radioactivity detection', has_specified_input some ('cell lysate' and ('has part' some 'MHC protein complex'))</t>
  </si>
  <si>
    <t>cell bound MHC direct binding assay measuring half life of a MHC:ligand complex using radioactivity detection</t>
  </si>
  <si>
    <t>A cell bound MHC ligand half life of binding determination assay that uses radioactivity detection to measure direct ligand binding.</t>
  </si>
  <si>
    <t>radioactivity detection binding assay, assay measuring the half life of a MHC:ligand complex</t>
  </si>
  <si>
    <t>assay measuring the half life of a MHC:ligand complex' and ('has part' some 'radioactivity detection') and (has_specified_input some (cell and ('has part' some 'MHC protein complex'))) and (has_specified_output some ('has measurement unit label' value UO_0000031))</t>
  </si>
  <si>
    <t>cell bound MHC direct binding assay measuring half life of a MHC:ligand complex using fluorescence detection</t>
  </si>
  <si>
    <t>A cell bound MHC ligand half life of binding determination assay that uses fluorescence detection to measure direct ligand binding.</t>
  </si>
  <si>
    <t>assay measuring the half life of a MHC:ligand complex' and ('has part' some 'fluorescence detection assay') and (has_specified_input some (cell and ('has part' some 'MHC protein complex'))) and (has_specified_output some ('has measurement unit label' value UO_0000031))</t>
  </si>
  <si>
    <t>cell bound MHC direct binding assay measuring half maximal effective concentration [EC50] of a MHC:ligand complex using fluorescence detection</t>
  </si>
  <si>
    <t>A cell bound MHC ligand binding half maximal effective concentration (EC50) determination assay that uses fluorescence detection to measure direct ligand binding.</t>
  </si>
  <si>
    <t>fluorescence detection binding assay, assay measuring the half maximal effective concentration [EC50] of a MHC:ligand complex</t>
  </si>
  <si>
    <t>assay measuring the half maximal effective concentration [EC50] of a MHC:ligand complex' and ('has part' some 'fluorescence detection assay') and (has_specified_input some (cell and ('has part' some 'MHC protein complex'))) and (has_specified_output some ('has measurement unit label' value UO_0000065))</t>
  </si>
  <si>
    <t>intracellular cytokine staining assay measuring epitope specific interleukin-17F production by T cells</t>
  </si>
  <si>
    <t>A T cell epitope specific interleukin-17F production assay that uses an intracellular cytokine staining assay.</t>
  </si>
  <si>
    <t>biological activity assay measuring epitope specific interleukin-17F production by T cells, intracellular cytokine staining assay measuring epitope specific interleukin-17 production by T cells</t>
  </si>
  <si>
    <t>biological activity assay measuring epitope specific interleukin-17F production by T cells' and ('has part' some 'flow cytometry assay')</t>
  </si>
  <si>
    <t>purified MHC competitive binding assay measuring equilibrium dissociation constant [KD] of a MHC:ligand complex approximated by IC50 using radioactivity detection</t>
  </si>
  <si>
    <t>A purified MHC ligand binding equilibrium dissociation constant (KD) determination assay that uses radioactivity detection to detect loss of binding of a known reference ligand due to competition by the ligand under investigation and provides IC50 values determined under assay conditions where the IC50 approximates a KD value.</t>
  </si>
  <si>
    <t>purified MHC competitive binding assay measuring equilibrium dissociation constant [KD] of a MHC:ligand complex using radioactivity detection</t>
  </si>
  <si>
    <t>cell lysate MHC direct binding assay measuring half life of a MHC:ligand complex using radioactivity detection</t>
  </si>
  <si>
    <t>A cell lysate MHC ligand half life of binding determination assay that uses radioactivity detection to measure direct ligand binding.</t>
  </si>
  <si>
    <t>assay measuring the half life of a MHC:ligand complex' and ('has part' some 'radioactivity detection') and (has_specified_input some ('cell lysate' and ('has part' some 'MHC protein complex'))) and (has_specified_output some ('has measurement unit label' value UO_0000031))</t>
  </si>
  <si>
    <t>cell lysate MHC direct binding assay measuring binding off rate [koff] of a MHC:ligand complex using radioactivity detection</t>
  </si>
  <si>
    <t>A cell lysate MHC ligand binding off rate measurement (koff) determination assay that uses radioactivity detection to measure direct ligand binding.</t>
  </si>
  <si>
    <t>radioactivity detection binding assay, assay measuring the off rate measurement [koff] of a MHC:ligand complex</t>
  </si>
  <si>
    <t>assay measuring the off rate measurement [koff] of a MHC:ligand complex' and ('has part' some 'radioactivity detection') and (has_specified_input some ('cell lysate' and ('has part' some 'MHC protein complex'))) and (has_specified_output some ('has measurement unit label' value UO_0000106))</t>
  </si>
  <si>
    <t>purified MHC competitive binding assay measuring half maximal inhibitory concentration [IC50] of a MHC:ligand complex using radioactivity detection</t>
  </si>
  <si>
    <t>A purified MHC ligand binding half maximal inhibitory concentration (IC50) determination assay that uses radioactivity detection to detect loss of binding of a known reference ligand due to competition by the ligand under investigation.</t>
  </si>
  <si>
    <t>assay measuring the half maximal inhibitory concentration [IC50] of a MHC:ligand complex' and ('has part' some 'radioactivity detection') and (has_specified_input some ('material entity' and ('has role' some 'competitive binding reference ligand role'))) and (has_specified_input some ('purified MHC molecule preparation' and ('has part' some 'MHC protein complex'))) and (has_specified_output some ('has measurement unit label' value UO_0000065))</t>
  </si>
  <si>
    <t>purified MHC direct binding assay measuring binding off rate [koff] of a MHC:ligand complex using fluorescence detection</t>
  </si>
  <si>
    <t>A purified MHC ligand binding off rate measurement (koff) determination assay that uses fluorescence detection to measure direct ligand binding.</t>
  </si>
  <si>
    <t>fluorescence detection binding assay, assay measuring the off rate measurement [koff] of a MHC:ligand complex</t>
  </si>
  <si>
    <t>assay measuring the off rate measurement [koff] of a MHC:ligand complex' and ('has part' some 'fluorescence detection assay') and (has_specified_input some ('purified MHC molecule preparation' and ('has part' some 'MHC protein complex'))) and (has_specified_output some ('has measurement unit label' value UO_0000106))</t>
  </si>
  <si>
    <t>biological activity assay measuring epitope specific vascular endothelial growth factor production by T cells</t>
  </si>
  <si>
    <t>A T cell epitope specific cytokine production assay that detects vascular endothelial growth factor production by T cells.</t>
  </si>
  <si>
    <t>biological activity assay measuring epitope specific cytokine production by T cells' and (has_specified_output some ('information content entity' and ('is about' some 'vascular endothelial growth factor production')))</t>
  </si>
  <si>
    <t>cytometric bead array assay measuring epitope specific intracellular cytokine staining (ICS) IL-22 production by T cells</t>
  </si>
  <si>
    <t>An assay of epitope specific interleukin-22 production by T cells that uses a cytometric bead array assay.</t>
  </si>
  <si>
    <t>biological activity assay measuring epitope specific interleukin-22 production by T cells' and ('has part' some 'cytometric bead array assay')</t>
  </si>
  <si>
    <t>ELISA measuring epitope specific vascular endothelial growth factor production by T cells</t>
  </si>
  <si>
    <t>An assay of epitope specific vascular endothelial growth factor production by T cells that uses an ELISA.</t>
  </si>
  <si>
    <t>biological activity assay measuring epitope specific vascular endothelial growth factor production by T cells' and ('has part' some 'enzyme-linked immunosorbent assay')</t>
  </si>
  <si>
    <t>cell lysate MHC binding assay measuring binding of a MHC:ligand complex</t>
  </si>
  <si>
    <t>A MHC binding qualitative binding to ligand assay using MHC in a cell lysate.</t>
  </si>
  <si>
    <t>assay measuring qualitiative binding of a MHC:ligand complex' and (has_specified_input some ('cell lysate' and ('has part' some 'MHC protein complex')))</t>
  </si>
  <si>
    <t>purified MHC direct binding assay measuring binding of a MHC:ligand complex using phage display</t>
  </si>
  <si>
    <t>A purified MHC binding assay that uses a phage display binding assay to measure direct ligand binding.</t>
  </si>
  <si>
    <t>has part' some 'phage display binding assay', has_specified_input some ('purified MHC molecule preparation' and ('has part' some 'MHC protein complex'))</t>
  </si>
  <si>
    <t>cytometric bead array assay measuring epitope specific interleukin-7 production by T cells</t>
  </si>
  <si>
    <t>An assay of epitope specific interleukin-7 production by T cells that uses a cytometric bead array assay.</t>
  </si>
  <si>
    <t>biological activity assay measuring epitope specific interleukin-7 production by T cells</t>
  </si>
  <si>
    <t>biological activity assay measuring epitope specific interleukin-7 production by T cells' and ('has part' some 'cytometric bead array assay')</t>
  </si>
  <si>
    <t>purified MHC direct binding assay measuring half life of a MHC:ligand complex using radioactivity detection</t>
  </si>
  <si>
    <t>A purified MHC ligand half life of binding determination assay that uses radioactivity detection to measure direct ligand binding.</t>
  </si>
  <si>
    <t>assay measuring the half life of a MHC:ligand complex' and ('has part' some 'radioactivity detection') and (has_specified_input some ('purified MHC molecule preparation' and ('has part' some 'MHC protein complex'))) and (has_specified_output some ('has measurement unit label' value UO_0000031))</t>
  </si>
  <si>
    <t>A T cell epitope specific cytokine production assay that detects interleukin-7 production by T cells.</t>
  </si>
  <si>
    <t>biological activity assay measuring epitope specific cytokine production by T cells' and (has_specified_output some ('information content entity' and ('is about' some 'interleukin-7 production')))</t>
  </si>
  <si>
    <t>intracellular cytokine staining assay measuring epitope specific interleukin-17A production by T cells</t>
  </si>
  <si>
    <t>A T cell epitope specific interleukin-17A production assay that uses an intracellular cytokine staining assay.</t>
  </si>
  <si>
    <t>biological activity assay measuring epitope specific interleukin-17A production by T cells, intracellular cytokine staining assay measuring epitope specific interleukin-17 production by T cells</t>
  </si>
  <si>
    <t>biological activity assay measuring epitope specific interleukin-17A production by T cells' and ('has part' some 'flow cytometry assay')</t>
  </si>
  <si>
    <t>purified MHC direct binding assay measuring binding of a MHC:ligand complex using fluorescence detection</t>
  </si>
  <si>
    <t>A purified MHC binding assay that uses fluorescence detection to measure direct ligand binding.</t>
  </si>
  <si>
    <t>purified MHC direct binding assay measuring half maximal effective concentration [EC50] of a MHC:ligand complex using fluorescence detection</t>
  </si>
  <si>
    <t>A purified MHC ligand binding half maximal effective concentration (EC50) determination assay that uses fluorescence detection to measure direct ligand binding.</t>
  </si>
  <si>
    <t>assay measuring the half maximal effective concentration [EC50] of a MHC:ligand complex' and ('has part' some 'fluorescence detection assay') and (has_specified_input some ('purified MHC molecule preparation' and ('has part' some 'MHC protein complex'))) and (has_specified_output some ('has measurement unit label' value UO_0000065))</t>
  </si>
  <si>
    <t>competitive inhibition of binding assay</t>
  </si>
  <si>
    <t>A binding assay that detects the inhibition of binding between 2 material entities known to form a complex by the addition of a third material entity of interest. Inhibition of binding between the 2 materials reflects binding by the third material.</t>
  </si>
  <si>
    <t>has_specified_input some ('material entity' and ('has role' some 'competitive binding reference ligand role'))</t>
  </si>
  <si>
    <t>cell bound MHC competitive binding assay of a MHC:ligand complex using fluorescence detection</t>
  </si>
  <si>
    <t>A cell bound MHC binding assay that uses fluorescence to detect loss of binding of a known reference ligand due to competition by the ligand under investigation</t>
  </si>
  <si>
    <t>fluorescence detection binding assay, cell bound MHC binding assay measuring binding of a MHC:ligand complex</t>
  </si>
  <si>
    <t>has part' some 'fluorescence detection assay', has_specified_input some (cell and ('has part' some 'MHC protein complex'))</t>
  </si>
  <si>
    <t>X-ray crystallography assay determining the 3D structure of a MHC:ligand complex</t>
  </si>
  <si>
    <t>A MHC binding 3D structure determination of MHC molecule:epitope complex assay that uses an X-ray crystallography assay.</t>
  </si>
  <si>
    <t>3D structure determining assay of a MHC:ligand complex</t>
  </si>
  <si>
    <t>3D structure determining assay of a MHC:ligand complex' and ('has part' some 'X-ray crystallography assay') and (has_specified_input some ('purified MHC molecule preparation' and ('has part' some 'MHC protein complex'))) and (has_specified_output some '3D structural organization datum') and (has_specified_output some ('has measurement unit label' value UO_0000019))</t>
  </si>
  <si>
    <t>cell bound MHC competitive binding assay measuring half maximal inhibitory concentration [IC50] of a MHC:ligand complex using T cell epitope recognition</t>
  </si>
  <si>
    <t>A cell bound MHC ligand binding half maximal inhibitory concentration (IC50) determination assay that uses a T cell epitope recognition assay to measure ligand binding.</t>
  </si>
  <si>
    <t>assay measuring the half maximal inhibitory concentration [IC50] of a MHC:ligand complex</t>
  </si>
  <si>
    <t>assay measuring the half maximal inhibitory concentration [IC50] of a MHC:ligand complex' and ('has part' some 'assay measuring binding of a T cell epitope:MHC:TCR complex') and (has_specified_input some ('material entity' and ('has role' some 'competitive binding reference ligand role'))) and (has_specified_input some (cell and ('has part' some 'MHC protein complex'))) and (has_specified_output some ('has measurement unit label' value UO_0000065))</t>
  </si>
  <si>
    <t>cell bound MHC competitive binding assay of a MHC:ligand complex using radioactivity detection</t>
  </si>
  <si>
    <t>A cell bound MHC binding assay that uses radioactivity detection to detect loss of binding of a known reference ligand due to competition by the ligand under investigation.</t>
  </si>
  <si>
    <t>radioactivity detection binding assay, cell bound MHC binding assay measuring binding of a MHC:ligand complex</t>
  </si>
  <si>
    <t>has part' some 'radioactivity detection', has_specified_input some (cell and ('has part' some 'MHC protein complex'))</t>
  </si>
  <si>
    <t>A T cell epitope specific cytokine production assay that detects granulocyte colony stimulating factor production by T cells.</t>
  </si>
  <si>
    <t>biological activity assay measuring epitope specific cytokine production by T cells' and (has_specified_output some ('information content entity' and ('is about' some 'granulocyte colony-stimulating factor production')))</t>
  </si>
  <si>
    <t>cytometric bead array assay measuring epitope specific intracellular cytokine staining (ICS) IL-21 production by T cells</t>
  </si>
  <si>
    <t>An assay of epitope specific interleukin-21 production by T cells that uses a cytometric bead array assay.</t>
  </si>
  <si>
    <t>biological activity assay measuring epitope specific interleukin-21 production by T cells' and ('has part' some 'cytometric bead array assay')</t>
  </si>
  <si>
    <t>cell bound MHC direct binding assay of a MHC:ligand complex using radioactivity detection</t>
  </si>
  <si>
    <t>A cell bound MHC binding assay that uses radioactivity detection to detect direct binding.</t>
  </si>
  <si>
    <t>has_specified_input some (cell and ('has part' some 'MHC protein complex'))</t>
  </si>
  <si>
    <t>purified MHC direct binding assay measuring 50% dissociation of binding temperature [Tm] of a MHC:ligand complex using fluorescence detection</t>
  </si>
  <si>
    <t>A purified MHC binding assay that uses fluorescence detection to measure the 50% dissociation of binding temperature of direct ligand binding.</t>
  </si>
  <si>
    <t>has_specified_output some '50% dissociation of binding temperature (Tm)', has_specified_output some ('has measurement unit label' value UO_0000027)</t>
  </si>
  <si>
    <t>cell bound MHC direct binding assay of a MHC:ligand complex using fluorescence detection</t>
  </si>
  <si>
    <t>A cell bound MHC binding assay that uses fluorescence detection to detect direct binding.</t>
  </si>
  <si>
    <t>biological activity assay measuring epitope specific tumor necrosis factor (ligand) superfamily member 11 production by T cells</t>
  </si>
  <si>
    <t>An assay of epitope specific tumor necrosis factor (ligand) superfamily member 11 production by T cells that detects tumor necrosis factor production.</t>
  </si>
  <si>
    <t>biological activity assay measuring epitope specific tumor necrosis factor superfamily cytokine production by T cells' and (has_specified_output some ('information content entity' and ('is about' some 'tumor necrosis factor (ligand) superfamily member 11 production')))</t>
  </si>
  <si>
    <t>purified MHC direct binding assay of a MHC:ligand complex using radioactivity detection</t>
  </si>
  <si>
    <t>A purified MHC binding assay that uses radioactivity detection to measure direct ligand binding.</t>
  </si>
  <si>
    <t>intracellular cytokine staining assay measuring epitope specific interleukin-8 production by T cells</t>
  </si>
  <si>
    <t>An assay of epitope specific interleukin-8 production by T cells that uses an intracellular cytokine staining assay.</t>
  </si>
  <si>
    <t>biological activity assay measuring epitope specific interleukin-8 production by T cells' and ('has part' some 'flow cytometry assay')</t>
  </si>
  <si>
    <t>cytometric bead array assay measuring epitope specific intracellular cytokine staining (ICS) IL-223 production by T cells</t>
  </si>
  <si>
    <t>An assay of epitope specific interleukin-23 production by T cells that uses a cytometric bead array assay.</t>
  </si>
  <si>
    <t>biological activity assay measuring epitope specific interleukin-23 production by T cells' and ('has part' some 'cytometric bead array assay')</t>
  </si>
  <si>
    <t>purified MHC competitive binding assay measuring half maximal inhibitory concentration [IC50] of a MHC:ligand complex using fluorescence detection</t>
  </si>
  <si>
    <t>A purified MHC ligand binding half maximal inhibitory concentration (IC50) determination assay that uses fluorescence detection to detect loss of binding of a known reference ligand due to competition by the ligand under investigation.</t>
  </si>
  <si>
    <t>assay measuring the half maximal inhibitory concentration [IC50] of a MHC:ligand complex' and ('has part' some 'fluorescence detection assay') and (has_specified_input some ('material entity' and ('has role' some 'competitive binding reference ligand role'))) and (has_specified_input some ('purified MHC molecule preparation' and ('has part' some 'MHC protein complex'))) and (has_specified_output some ('has measurement unit label' value UO_0000065))</t>
  </si>
  <si>
    <t>analytical chromatography</t>
  </si>
  <si>
    <t>An analyte assay that uses a biomaterial's preferential affinity for either the mobile phase or the stationary phase to separate it from other materials and thereby detect its presence in an input material.</t>
  </si>
  <si>
    <t>analyte assay' and ((realizes some (function and ('inheres in' some 'chromatography column'))) and (has_specified_input some 'chromatography column')) and ((realizes some ('reagent role' and ('inheres in' some 'chromatography consumable'))) and (has_specified_input some 'chromatography consumable'))</t>
  </si>
  <si>
    <t>electron microscopy imaging assay</t>
  </si>
  <si>
    <t>An imaging assay in which an electrons are used to probe the density, shape and composition of an input material which are detected in an electron microscope and utilized to produce an image of the material.</t>
  </si>
  <si>
    <t>imaging assay' and ((realizes some (function and ('inheres in' some 'electron microscope'))) and (has_specified_input some 'electron microscope'))</t>
  </si>
  <si>
    <t>immuno staining assay</t>
  </si>
  <si>
    <t>A detection of molecular label assay in which the label is attached to an antibody so that substances are marked based on the antibody's binding specificity.</t>
  </si>
  <si>
    <t>(realizes some ('molecular label role' and ('inheres in' some 'immunoglobulin complex, circulating'))) and (has_specified_input some 'immunoglobulin complex, circulating')</t>
  </si>
  <si>
    <t>calorimetric binding assay</t>
  </si>
  <si>
    <t>A binding assay in which the heat generated or absorbed during a binding event is measured, which allows determination of binding constants, reaction stoichiometry, enthalpy and entropy.</t>
  </si>
  <si>
    <t>binding assay' and ((realizes some (function and ('inheres in' some calorimeter))) and (has_specified_input some calorimeter))</t>
  </si>
  <si>
    <t>antibody binding detection by fluorescence quenching</t>
  </si>
  <si>
    <t>A binding assay in which affinity is measured by detecting a change in fluorescence (usually quenching) that occurs upon binding of the antibody to the ligand. The fluorescent signal that is affected by binding is either from an exogenous fluorophore attached to the ligand, or is the intrisic fluorescence of aromatic (tryptophan) residues on the binding site of the antibody (no conjugated fluorophore necessary) or, less commonly, on the ligand binding region (epitope).</t>
  </si>
  <si>
    <t>fluorescence quenching binding assay</t>
  </si>
  <si>
    <t>(realizes some ('evaluant role' and ('inheres in' some 'immunoglobulin complex, circulating'))) and (has_specified_input some 'immunoglobulin complex, circulating')</t>
  </si>
  <si>
    <t>has_specified_output some ('is about' some binding)</t>
  </si>
  <si>
    <t>has part' some 'fluorescence detection assay'</t>
  </si>
  <si>
    <t>antigen inhibition assay measuring the dissociation constant [KD] of a B cell epitope:antibody complex approximated by IC50</t>
  </si>
  <si>
    <t>A B cell epitope equilibrium dissociation constant (KD) assay that provides IC50 values determined under assay conditions where the IC50 approximates a KD value using a B cell epitope antigen inhibition of binding assay.</t>
  </si>
  <si>
    <t>assay measuring the dissociation constant [KD] of a B cell epitope:antibody complex</t>
  </si>
  <si>
    <t>has_specified_output some 'equilibrium dissociation constant (KD) approximated by IC50', has_specified_output some ('has measurement unit label' value UO_0000065)</t>
  </si>
  <si>
    <t>biological activity assay measuring epitope specific Ig-mediated histamine release</t>
  </si>
  <si>
    <t>A B cell epitope specific activation of additional immune response in vitro assay that detects histamine release.</t>
  </si>
  <si>
    <t>biological activity assay measuring epitope specific activation of additional immune response in vitro</t>
  </si>
  <si>
    <t>biological activity assay measuring epitope specific activation of additional immune response in vitro' and (has_specified_output some ('information content entity' and ('is about' some ('histamine secretion mediated by immunoglobulin' and ('process is result of' some 'immunoglobulin binding to epitope')))))</t>
  </si>
  <si>
    <t>biological activity assay measuring epitope specific immunoglobulin-mediated antigen activation</t>
  </si>
  <si>
    <t>A B cell epitope dependent biological activity determination assay that detects antigen activation.</t>
  </si>
  <si>
    <t>assay measuring B cell epitope specific biological activity</t>
  </si>
  <si>
    <t>has_specified_output some ('information content entity' and ('is about' some ('immunoglobulin mediated immune response' and ('process is result of' some 'immunoglobulin binding to epitope'))))</t>
  </si>
  <si>
    <t>biological activity assay measuring epitope specific complement-dependent cytotoxicity</t>
  </si>
  <si>
    <t>A B cell epitope specific activation of additional immune response in vitro assay that detects complement-dependent cytotoxicity.</t>
  </si>
  <si>
    <t>biological activity assay measuring epitope specific activation of additional immune response in vitro' and (has_specified_output some ('information content entity' and ('is about' some ('complement-dependent cytotoxicity' and ('process is result of' some 'immunoglobulin binding to epitope')))))</t>
  </si>
  <si>
    <t>biological activity assay measuring epitope specific antibody-dependent cellular cytotoxicity</t>
  </si>
  <si>
    <t>A B cell epitope specific activation of additional immune response in vitro assay that detects antibody-dependent cellular cytotoxicity.</t>
  </si>
  <si>
    <t>biological activity assay measuring epitope specific activation of additional immune response in vitro' and (has_specified_output some ('information content entity' and ('is about' some ('antibody-dependent cellular cytotoxicity' and ('process is result of' some 'immunoglobulin binding to epitope')))))</t>
  </si>
  <si>
    <t>biological activity assay measuring epitope specific immunoglobulin-mediated neutralization</t>
  </si>
  <si>
    <t>A B cell epitope dependent biological activity determination assay that detects neutralization of the antigen.</t>
  </si>
  <si>
    <t>assay measuring B cell epitope specific biological activity' and (has_specified_output some ('information content entity' and ('is about' some ('immunoglobulin-mediated neutralization' and ('process is result of' some 'immunoglobulin binding to epitope')))))</t>
  </si>
  <si>
    <t>biological activity assay measuring epitope specific opsonization</t>
  </si>
  <si>
    <t>A B cell epitope specific activation of additional immune response in vitro assay that detects opsonization.</t>
  </si>
  <si>
    <t>biological activity assay measuring epitope specific activation of additional immune response in vitro' and (has_specified_output some ('information content entity' and ('is about' some (opsonization and ('process is result of' some 'immunoglobulin binding to epitope')))))</t>
  </si>
  <si>
    <t>calorimetry assay measuring binding of a B cell epitope:antibody complex</t>
  </si>
  <si>
    <t>A B cell epitope qualitative binding to antibody assay that uses a calorimetric binding assay.</t>
  </si>
  <si>
    <t>assay measuring qualitiative binding of a B cell epitope:antibody complex</t>
  </si>
  <si>
    <t>assay measuring qualitiative binding of a B cell epitope:antibody complex' and ('has part' some 'calorimetric binding assay')</t>
  </si>
  <si>
    <t>electron microscopy assay determining the 3D structure of a B cell epitope:antibody complex</t>
  </si>
  <si>
    <t>A B cell epitope 3D structure determination assay that uses an electron microscopy imaging assay.</t>
  </si>
  <si>
    <t>3D structure determining assay of a 3D B cell epitope:antibody complex</t>
  </si>
  <si>
    <t>3D structure determining assay of a 3D B cell epitope:antibody complex' and ('has part' some 'electron microscopy imaging assay') and (has_specified_output some '3D structural organization datum')</t>
  </si>
  <si>
    <t>NMR assay determining the 3D structure of a B cell epitope:antibody complex</t>
  </si>
  <si>
    <t>A B cell epitope 3D structure determination assay that uses a nuclear magnetic resonance assay.</t>
  </si>
  <si>
    <t>3D structure determining assay of a 3D B cell epitope:antibody complex' and ('has part' some 'nuclear magnetic resonance 3D structure determination assay') and (has_specified_output some '3D structural organization datum')</t>
  </si>
  <si>
    <t>cross blocking assay measuring binding of a B cell epitope:antibody complex</t>
  </si>
  <si>
    <t>A B cell epitope qualitative binding to antibody assay that uses an antibody cross-blocking assay.</t>
  </si>
  <si>
    <t>assay measuring qualitiative binding of a B cell epitope:antibody complex' and ('has part' some 'antibody cross-blocking assay')</t>
  </si>
  <si>
    <t>RIA measuring binding of a B cell epitope:antibody complex</t>
  </si>
  <si>
    <t>A B cell epitope qualitative binding to antibody assay that uses a radio immuno assay.</t>
  </si>
  <si>
    <t>radioactivity detection binding assay, assay measuring qualitiative binding of a B cell epitope:antibody complex</t>
  </si>
  <si>
    <t>assay measuring qualitiative binding of a B cell epitope:antibody complex' and ('has part' some 'radio immuno assay')</t>
  </si>
  <si>
    <t>immunoblot assay measuring binding of a B cell epitope:antibody complex</t>
  </si>
  <si>
    <t>A B cell epitope qualitative binding to antibody assay that uses an immunoblot assay.</t>
  </si>
  <si>
    <t>assay measuring qualitiative binding of a B cell epitope:antibody complex' and ('has part' some 'immunoblot assay')</t>
  </si>
  <si>
    <t>plasmon resonance assay measuring binding of a B cell epitope:antibody complex</t>
  </si>
  <si>
    <t>A B cell epitope qualitative binding to antibody assay that uses a surface plasmon resonance assay.</t>
  </si>
  <si>
    <t>assay measuring qualitiative binding of a B cell epitope:antibody complex' and ('has part' some 'surface plasmon resonance binding assay')</t>
  </si>
  <si>
    <t>immuno staining assay measuring binding of a B cell epitope:antibody complex</t>
  </si>
  <si>
    <t>A B cell epitope qualitative binding to antibody assay that uses an immuno staining assay.</t>
  </si>
  <si>
    <t>assay measuring qualitiative binding of a B cell epitope:antibody complex' and ('has part' some 'immuno staining assay')</t>
  </si>
  <si>
    <t>immunoprecipitation assay measuring binding of a B cell epitope:antibody complex</t>
  </si>
  <si>
    <t>A B cell epitope qualitative binding to antibody assay that uses an immunoprecipitation assay.</t>
  </si>
  <si>
    <t>assay measuring qualitiative binding of a B cell epitope:antibody complex' and ('has part' some 'immunoprecipitation assay')</t>
  </si>
  <si>
    <t>mass spectrometry assay measuring binding of a B cell epitope:antibody complex</t>
  </si>
  <si>
    <t>A B cell epitope qualitative binding to antibody assay that uses a mass spectrometry assay.</t>
  </si>
  <si>
    <t>assay measuring qualitiative binding of a B cell epitope:antibody complex' and ('has part' some 'mass spectrometry assay')</t>
  </si>
  <si>
    <t>phage display assay measuring binding of a B cell epitope:antibody complex</t>
  </si>
  <si>
    <t>A B cell epitope qualitative binding to antibody assay that uses a phage display binding assay.</t>
  </si>
  <si>
    <t>assay measuring qualitiative binding of a B cell epitope:antibody complex' and ('has part' some 'phage display binding assay')</t>
  </si>
  <si>
    <t>electron microscopy assay measuring binding of a B cell epitope:antibody complex</t>
  </si>
  <si>
    <t>A B cell epitope qualitative binding to antibody assay that uses an electron microscopy imaging assay.</t>
  </si>
  <si>
    <t>assay measuring qualitiative binding of a B cell epitope:antibody complex' and ('has part' some 'electron microscopy imaging assay')</t>
  </si>
  <si>
    <t>ELISA measuring binding of a B cell epitope:antibody complex</t>
  </si>
  <si>
    <t>A B cell epitope qualitative binding to antibody assay that uses an enzyme-linked immunosorbent assay.</t>
  </si>
  <si>
    <t>assay measuring qualitiative binding of a B cell epitope:antibody complex' and ('has part' some 'enzyme-linked immunosorbent assay')</t>
  </si>
  <si>
    <t>ELISPOT assay measuring binding of a B cell epitope:antibody complex</t>
  </si>
  <si>
    <t>A B cell epitope qualitative binding to antibody assay that uses an enzyme-linked immunospot assay.</t>
  </si>
  <si>
    <t>assay measuring qualitiative binding of a B cell epitope:antibody complex' and ('has part' some 'enzyme-linked immunospot assay')</t>
  </si>
  <si>
    <t>flow cytometry assay measuring binding of a B cell epitope:antibody complex</t>
  </si>
  <si>
    <t>A B cell epitope qualitative binding to antibody assay that uses a flow cytometry assay.</t>
  </si>
  <si>
    <t>fluorescence detection binding assay, assay measuring qualitiative binding of a B cell epitope:antibody complex</t>
  </si>
  <si>
    <t>assay measuring qualitiative binding of a B cell epitope:antibody complex' and ('has part' some 'flow cytometry assay')</t>
  </si>
  <si>
    <t>intracellular material detection assay measuring epitope specific granzyme A release by T cells</t>
  </si>
  <si>
    <t>A T cell epitope specific granzyme A release assay that uses an intracellular material detection by flow cytometry assay.</t>
  </si>
  <si>
    <t>biological activity assay measuring epitope specific granzyme A release by T cells</t>
  </si>
  <si>
    <t>biological activity assay measuring epitope specific granzyme A release by T cells' and ('has part' some 'flow cytometry assay')</t>
  </si>
  <si>
    <t>chromatography assay measuring binding of a B cell epitope:antibody complex</t>
  </si>
  <si>
    <t>A B cell epitope qualitative binding to antibody assay that uses an analytical chromatography assay.</t>
  </si>
  <si>
    <t>assay measuring qualitiative binding of a B cell epitope:antibody complex' and ('has part' some 'analytical chromatography')</t>
  </si>
  <si>
    <t>NMR assay measuring binding of a B cell epitope:antibody complex</t>
  </si>
  <si>
    <t>A B cell epitope qualitative binding to antibody assay that uses a nuclear magnetic resonance assay.</t>
  </si>
  <si>
    <t>assay measuring qualitiative binding of a B cell epitope:antibody complex' and ('has part' some 'nuclear magnetic resonance 3D structure determination assay')</t>
  </si>
  <si>
    <t>ELISA measuring epitope specific granulysin release by T cells</t>
  </si>
  <si>
    <t>A T cell epitope specific granulysin release assay that uses an ELISA.</t>
  </si>
  <si>
    <t>biological activity assay measuring epitope specific granulysin release by T cells</t>
  </si>
  <si>
    <t>biological activity assay measuring epitope specific granulysin release by T cells' and ('has part' some 'enzyme-linked immunosorbent assay')</t>
  </si>
  <si>
    <t>intracellular material detection assay measuring epitope specific granulysin release by T cells</t>
  </si>
  <si>
    <t>A T cell epitope specific granulysin release assay that uses an intracellular material detection by flow cytometry assay.</t>
  </si>
  <si>
    <t>biological activity assay measuring epitope specific granulysin release by T cells' and ('has part' some 'flow cytometry assay')</t>
  </si>
  <si>
    <t>cell bound MHC direct binding assay measuring the off rate [koff] of a MHC:ligand complex using fluorescence detection</t>
  </si>
  <si>
    <t>A cell bound MHC ligand binding off rate measurement (koff) determination assay that uses fluorescence detection to measure direct ligand binding.</t>
  </si>
  <si>
    <t>assay measuring the off rate measurement [koff] of a MHC:ligand complex' and ('has part' some 'fluorescence detection assay') and (has_specified_input some (cell and ('has part' some 'MHC protein complex'))) and (has_specified_output some ('has measurement unit label' value UO_0000106))</t>
  </si>
  <si>
    <t>cell bound MHC direct binding assay measuring binding on rate [kon] of a MHC:ligand complex using fluorescence detection</t>
  </si>
  <si>
    <t>A cell bound MHC ligand binding on rate (kon) determination assay that uses fluorescence detection to measure direct ligand binding.</t>
  </si>
  <si>
    <t>assay measuring the MHC ligand binding on rate [kon] of a MHC:ligand complex' and ('has part' some 'fluorescence detection assay') and (has_specified_input some (cell and ('has part' some 'MHC protein complex'))) and (has_specified_output some ('has measurement unit label' value UO_0000281))</t>
  </si>
  <si>
    <t>purified MHC competitive binding assay measuring equilibrium dissociation constant [KD] of a MHC:ligand complex approximated by IC50 using fluorescence detection</t>
  </si>
  <si>
    <t>A purified MHC ligand binding equilibrium dissociation constant (KD) determination assay that uses fluorescence detection to detect loss of binding of a known reference ligand due to competition by the ligand under investigation and provides IC50 values determined under assay conditions where the IC50 approximates a KD value.</t>
  </si>
  <si>
    <t>ELISA measuring epitope specific interleukin-17A production by T cells</t>
  </si>
  <si>
    <t>A T cell epitope specific interleukin-17A production assay that uses an ELISA.</t>
  </si>
  <si>
    <t>biological activity assay measuring epitope specific interleukin-17A production by T cells, ELISA measuring epitope specific interleukin-17 production by T cells</t>
  </si>
  <si>
    <t>biological activity assay measuring epitope specific interleukin-17A production by T cells' and ('has part' some 'enzyme-linked immunosorbent assay')</t>
  </si>
  <si>
    <t>detection of specific nucleic acids with complementary probes assay measuring epitope specific interleukin-7 production by T cells</t>
  </si>
  <si>
    <t>An assay of epitope specific interleukin-7 production by T cells that uses a detection of specific nucleic acids with complementary probes assay.</t>
  </si>
  <si>
    <t>biological activity assay measuring epitope specific interleukin-7 production by T cells' and ('has part' some 'detection of specific nucleic acid polymers with complementary probes')</t>
  </si>
  <si>
    <t>in vivo assay measuring B cell epitope specific protection from fertility</t>
  </si>
  <si>
    <t>An efficacy of B cell epitope intervention experiment that uses a protection from challenge in vivo intervention experiment based on reduction of fertility.</t>
  </si>
  <si>
    <t>PERSON:Randi Vita, James Overton, Bjoern Peters</t>
  </si>
  <si>
    <t>biological activity assay measuring B cell epitope specific in vivo activity</t>
  </si>
  <si>
    <t>has part' some 'in vivo intervention experiment'</t>
  </si>
  <si>
    <t>in vivo assay measuring B cell epitope specific tolerance induction</t>
  </si>
  <si>
    <t>An efficacy of B cell epitope intervention experiment that uses a tolerance induction intervention experiment.</t>
  </si>
  <si>
    <t>biological activity assay measuring B cell epitope specific in vivo activity' and ('has part' some 'tolerance induction intervention experiment') and (has_specified_output some ('information content entity' and ('is about' some ('B cell tolerance induction' and ('process is result of' some 'immunoglobulin binding to epitope')))))</t>
  </si>
  <si>
    <t>in vivo assay measuring B cell epitope specific induction of hypersensitivity</t>
  </si>
  <si>
    <t>An efficacy of B cell epitope intervention experiment that detects a hypersensitivity response by monitoring skin reactions.</t>
  </si>
  <si>
    <t>biological activity assay measuring B cell epitope specific in vivo activity' and ('has part' some 'in vivo intervention experiment') and (has_specified_output some ('information content entity' and ('is about' some (hypersensitivity and ('process is result of' some 'immunoglobulin binding to epitope')))))</t>
  </si>
  <si>
    <t>biological activity assay measuring epitope specific immune complex formation</t>
  </si>
  <si>
    <t>A B cell epitope specific activation of additional immune response in vitro assay that detects agglutination.</t>
  </si>
  <si>
    <t>biological activity assay measuring epitope specific activation of additional immune response in vitro' and (has_specified_output some ('information content entity' and ('is about' some ('immune complex formation' and ('process is result of' some 'immunoglobulin binding to epitope')))))</t>
  </si>
  <si>
    <t>in vivo assay measuring B cell epitope specific protection based on survival</t>
  </si>
  <si>
    <t>A B cell epitope in vivo intervention experiment that uses a protection from challenge in vivo intervention experiment based on survival.</t>
  </si>
  <si>
    <t>in vivo assay measuring B cell epitope specific protection from challenge</t>
  </si>
  <si>
    <t>has part' some 'protection from challenge in vivo intervention experiment'</t>
  </si>
  <si>
    <t>in vivo assay measuring B cell epitope specific treatment of disease</t>
  </si>
  <si>
    <t>An efficacy of B cell epitope intervention experiment that detects a decrease in disease.</t>
  </si>
  <si>
    <t>biological activity assay measuring B cell epitope specific in vivo activity' and ('has part' some 'treatment intervention experiment')</t>
  </si>
  <si>
    <t>A B cell epitope dependent biological activity determination assay that uses an in vivo intervention experiment.</t>
  </si>
  <si>
    <t>assay measuring B cell epitope specific biological activity' and ('has part' some 'in vivo intervention experiment') and (has_specified_input some organism)</t>
  </si>
  <si>
    <t>antibody cross-blocking assay</t>
  </si>
  <si>
    <t>A competitive inhibition of binding assay in which two antibodies that are known to bind the same antigen are tested for the ability of one antibody to inhibit binding of the other antibody to the antigen, thereby determining if they have overlapping binding sites.</t>
  </si>
  <si>
    <t>(realizes some ('evaluant role' and ('inheres in' some 'immunoglobulin complex, circulating'))) and (has_specified_input some 'immunoglobulin complex, circulating'), has_specified_input some ('immunoglobulin complex, circulating' and ('has role' some 'positive reference substance role'))</t>
  </si>
  <si>
    <t>An analyte assay in which an input material is mixed with antibodies and bound antigen:antibody complexes are separated out using immunoprecipitation. Either the antibody has known specificy, and the antigen mixture is tested for the presence of a specific antigen, or the antigen solution is well defined and the antibody solution is tested for the presence of antigen specific antibodies.</t>
  </si>
  <si>
    <t>analyte assay' and ((realizes some ('reagent role' and ('inheres in' some 'immunoglobulin complex, circulating'))) and (has_specified_input some 'immunoglobulin complex, circulating')) and ('has part' some immunoprecipitation)</t>
  </si>
  <si>
    <t>antigen inhibition assay measuring binding of a B cell epitope:antibody complex</t>
  </si>
  <si>
    <t>A B cell epitope qualitative binding to antibody assay that measures the ability of an antigen to inhibit antibody binding to a known ligand.</t>
  </si>
  <si>
    <t>A B cell epitope recognition assay that detects qualitative binding.</t>
  </si>
  <si>
    <t>binding assay, assay measuring binding of a B cell epitope:antibody complex</t>
  </si>
  <si>
    <t>assay measuring binding of a B cell epitope:antibody complex' and (has_specified_output some ('information content entity' and ('is about' some 'immunoglobulin binding to epitope')))</t>
  </si>
  <si>
    <t>A B cell epitope dependent biological activity determination assay that detects secondary in vitro activity.</t>
  </si>
  <si>
    <t>has_specified_output some ('information content entity' and ('is about' some ('process is result of' some 'immunoglobulin binding to epitope')))</t>
  </si>
  <si>
    <t>biological activity assay measuring epitope specific antigen inhibition of antibody activity</t>
  </si>
  <si>
    <t>A B cell epitope dependent biological activity determination assay that detects inhibition of the antibody's activity by the antigen.</t>
  </si>
  <si>
    <t>A B cell epitope recognition assay that detects biological activity.</t>
  </si>
  <si>
    <t>assay measuring binding of a B cell epitope:antibody complex</t>
  </si>
  <si>
    <t>assay measuring binding of a B cell epitope:antibody complex' and (has_specified_output some ('information content entity' and ('is about' some ('process is result of' some 'immunoglobulin binding to epitope'))))</t>
  </si>
  <si>
    <t>A B cell epitope binding constant determination assay that measures the dissociation constant KD.</t>
  </si>
  <si>
    <t>assay measuring a binding constant of a B cell epitope:antibody complex</t>
  </si>
  <si>
    <t>assay measuring a binding constant of a B cell epitope:antibody complex' and (has_specified_output some 'equilibrium dissociation constant (KD)')</t>
  </si>
  <si>
    <t>A B cell epitope recognition assay that quantitavely characterizes the binding of an antibody / BCR with a ligand by determining a binding constant.</t>
  </si>
  <si>
    <t>binding constant determination assay, assay measuring binding of a B cell epitope:antibody complex</t>
  </si>
  <si>
    <t>assay measuring binding of a B cell epitope:antibody complex' and (has_specified_output some 'binding constant')</t>
  </si>
  <si>
    <t>An efficacy of B cell epitope intervention experiment that uses a protection from challenge in vivo intervention experiment.</t>
  </si>
  <si>
    <t>biological activity assay measuring B cell epitope specific in vivo activity' and ('has part' some 'protection from challenge in vivo intervention experiment')</t>
  </si>
  <si>
    <t>in vivo assay measuring B cell epitope specific disease exacerbation</t>
  </si>
  <si>
    <t>An efficacy of B cell epitope intervention experiment that uses a disease exacerbation in vivo intervention experiment.</t>
  </si>
  <si>
    <t>biological activity assay measuring B cell epitope specific in vivo activity' and ('has part' some 'disease exacerbation in vivo intervention experiment')</t>
  </si>
  <si>
    <t>assay measuring the on rate [kon] of a B cell epitope:antibody complex</t>
  </si>
  <si>
    <t>A B cell epitope binding constant determination assay that measures the on rate.</t>
  </si>
  <si>
    <t>assay measuring a binding constant of a B cell epitope:antibody complex' and (has_specified_output some 'binding on rate measurement datum (kon)')</t>
  </si>
  <si>
    <t>assay measuring the association constant [KA] of a B cell epitope:antibody complex</t>
  </si>
  <si>
    <t>A B cell epitope binding constant determination assay that measures the association constant KA.</t>
  </si>
  <si>
    <t>assay measuring a binding constant of a B cell epitope:antibody complex' and (has_specified_output some 'equilibrium association constant (KA)')</t>
  </si>
  <si>
    <t>A B cell epitope recognition assay that characterizes the 3D structure of an antibody / BCR with a ligand.</t>
  </si>
  <si>
    <t>3D structure determination assay, assay measuring binding of a B cell epitope:antibody complex</t>
  </si>
  <si>
    <t>assay measuring binding of a B cell epitope:antibody complex' and ('has part' some '3D structure determination of bound complex assay') and (has_specified_output some '3D structural organization datum')</t>
  </si>
  <si>
    <t>assay measuring the off rate [koff] of a B cell epitope:antibody complex</t>
  </si>
  <si>
    <t>A B cell epitope binding constant determination assay that measures the off rate.</t>
  </si>
  <si>
    <t>assay measuring a binding constant of a B cell epitope:antibody complex' and (has_specified_output some 'binding off rate measurement datum (koff)')</t>
  </si>
  <si>
    <t>biological activity assay measuring epitope specific hemagglutination inhibition</t>
  </si>
  <si>
    <t>A B cell epitope qualitative binding to antibody assay that uses a viral hemagglutination inhibition assay.</t>
  </si>
  <si>
    <t>assay measuring qualitiative binding of a B cell epitope:antibody complex' and ('has part' some 'viral hemagglutination inhibition assay')</t>
  </si>
  <si>
    <t>quenching assay measuring binding of a B cell epitope:antibody complex</t>
  </si>
  <si>
    <t>A B cell epitope qualitative binding to antibody assay that uses an antibody binding detection by fluorescence quenching.</t>
  </si>
  <si>
    <t>assay measuring qualitiative binding of a B cell epitope:antibody complex' and ('has part' some 'antibody binding detection by fluorescence quenching')</t>
  </si>
  <si>
    <t>RIA measuring the dissociation constant [KD] of a B cell epitope:antibody complex</t>
  </si>
  <si>
    <t>A B cell epitope equilibrium dissociation constant (KD) determination assay that uses a radio immuno assay.</t>
  </si>
  <si>
    <t>radioactivity detection binding assay, assay measuring the dissociation constant [KD] of a B cell epitope:antibody complex</t>
  </si>
  <si>
    <t>assay measuring the dissociation constant [KD] of a B cell epitope:antibody complex' and ('has part' some 'radio immuno assay') and (has_specified_output some ('has measurement unit label' value UO_0000065))</t>
  </si>
  <si>
    <t>ELISA measuring the dissociation constant [KD] of a B cell epitope:antibody complex</t>
  </si>
  <si>
    <t>A B cell epitope equilibrium dissociation constant (KD) determination assay that uses an enzyme-linked immunosorbent assay.</t>
  </si>
  <si>
    <t>assay measuring the dissociation constant [KD] of a B cell epitope:antibody complex' and ('has part' some 'enzyme-linked immunosorbent assay') and (has_specified_output some ('has measurement unit label' value UO_0000065))</t>
  </si>
  <si>
    <t>quenching assay measuring the dissociation constant [KD] of a B cell epitope:antibody complex</t>
  </si>
  <si>
    <t>A B cell epitope equilibrium dissociation constant (KD) determination assay that uses an antibody binding detection by fluorescence quenching assay.</t>
  </si>
  <si>
    <t>fluorescence detection binding assay, assay measuring the dissociation constant [KD] of a B cell epitope:antibody complex</t>
  </si>
  <si>
    <t>assay measuring the dissociation constant [KD] of a B cell epitope:antibody complex' and ('has part' some 'antibody binding detection by fluorescence quenching') and (has_specified_output some ('has measurement unit label' value UO_0000065))</t>
  </si>
  <si>
    <t>surface plasmon resonance assay measuring the association constant [KA] of a B cell epitope:antibody complex</t>
  </si>
  <si>
    <t>A B cell epitope equilibrium association constant (KA) determination assay that uses a surface plasmon resonance assay.</t>
  </si>
  <si>
    <t>assay measuring the association constant [KA] of a B cell epitope:antibody complex' and ('has part' some 'surface plasmon resonance binding assay') and (has_specified_output some ('has measurement unit label' value UO_0000284))</t>
  </si>
  <si>
    <t>surface plasmon resonance assay measuring the dissociation constant [KD] of a B cell epitope:antibody complex</t>
  </si>
  <si>
    <t>A B cell epitope equilibrium dissociation constant (KD) determination assay that uses a surface plasmon resonance assay.</t>
  </si>
  <si>
    <t>assay measuring the dissociation constant [KD] of a B cell epitope:antibody complex' and ('has part' some 'surface plasmon resonance binding assay') and (has_specified_output some ('has measurement unit label' value UO_0000065))</t>
  </si>
  <si>
    <t>quenching assay measuring the association constant [KA] of a B cell epitope:antibody complex</t>
  </si>
  <si>
    <t>A B cell epitope equilibrium association constant (KA) determination assay that uses an antibody binding detection by fluorescence quenching assay.</t>
  </si>
  <si>
    <t>fluorescence detection binding assay, assay measuring the association constant [KA] of a B cell epitope:antibody complex</t>
  </si>
  <si>
    <t>assay measuring the association constant [KA] of a B cell epitope:antibody complex' and ('has part' some 'antibody binding detection by fluorescence quenching') and (has_specified_output some ('has measurement unit label' value UO_0000284))</t>
  </si>
  <si>
    <t>calorimetry assay measuring the association constant [KA] of a B cell epitope:antibody complex</t>
  </si>
  <si>
    <t>A B cell epitope equilibrium association constant (KA) determination assay that uses a calorimetric binding assay.</t>
  </si>
  <si>
    <t>assay measuring the association constant [KA] of a B cell epitope:antibody complex' and ('has part' some 'calorimetric binding assay') and (has_specified_output some ('has measurement unit label' value UO_0000284))</t>
  </si>
  <si>
    <t>calorimetry assay measuring the dissociation constant [KD] of a B cell epitope:antibody complex</t>
  </si>
  <si>
    <t>A B cell epitope equilibrium dissociation constant (KD) determination assay that uses a calorimetric binding assay.</t>
  </si>
  <si>
    <t>assay measuring the dissociation constant [KD] of a B cell epitope:antibody complex' and ('has part' some 'calorimetric binding assay') and (has_specified_output some ('has measurement unit label' value UO_0000065))</t>
  </si>
  <si>
    <t>ELISA measuring the association constant [KA] of a B cell epitope:antibody complex</t>
  </si>
  <si>
    <t>A B cell epitope equilibrium association constant (KA) determination assay that uses an enzyme-linked immunosorbent assay.</t>
  </si>
  <si>
    <t>assay measuring the association constant [KA] of a B cell epitope:antibody complex' and ('has part' some 'enzyme-linked immunosorbent assay') and (has_specified_output some ('has measurement unit label' value UO_0000284))</t>
  </si>
  <si>
    <t>RIA measuring the association constant [KA] of a B cell epitope:antibody complex</t>
  </si>
  <si>
    <t>A B cell epitope equilibrium association constant (KA) determination assay that uses a radio immuno assay.</t>
  </si>
  <si>
    <t>radioactivity detection binding assay, assay measuring the association constant [KA] of a B cell epitope:antibody complex</t>
  </si>
  <si>
    <t>assay measuring the association constant [KA] of a B cell epitope:antibody complex' and ('has part' some 'radio immuno assay') and (has_specified_output some ('has measurement unit label' value UO_0000284))</t>
  </si>
  <si>
    <t>X-ray crystallography assay determining the 3D structure of a B cell epitope:antibody complex</t>
  </si>
  <si>
    <t>A B cell epitope 3D structure determination assay that uses an X-ray crystallography assay.</t>
  </si>
  <si>
    <t>3D structure determining assay of a 3D B cell epitope:antibody complex' and ('has part' some 'X-ray crystallography assay') and (has_specified_output some '3D structural organization datum') and (has_specified_output some ('has measurement unit label' value UO_0000019))</t>
  </si>
  <si>
    <t>surface plasmon resonance assay measuring the off rate [koff] of a B cell epitope:antibody complex</t>
  </si>
  <si>
    <t>A B cell epitope binding off rate measurement (koff) determination assay that uses a surface plasmon resonance assay.</t>
  </si>
  <si>
    <t>assay measuring the off rate [koff] of a B cell epitope:antibody complex' and ('has part' some 'surface plasmon resonance binding assay') and (has_specified_output some ('has measurement unit label' value UO_0000106))</t>
  </si>
  <si>
    <t>quenching assay measuring the off rate [koff] of a B cell epitope:antibody complex</t>
  </si>
  <si>
    <t>A B cell epitope binding off rate measurement (koff) determination assay that uses an antibody binding detection by fluorescence quenching assay.</t>
  </si>
  <si>
    <t>fluorescence detection binding assay, assay measuring the off rate [koff] of a B cell epitope:antibody complex</t>
  </si>
  <si>
    <t>assay measuring the off rate [koff] of a B cell epitope:antibody complex' and ('has part' some 'antibody binding detection by fluorescence quenching') and (has_specified_output some ('has measurement unit label' value UO_0000106))</t>
  </si>
  <si>
    <t>surface plasmon resonance assay measuring the on rate [kon] of a B cell epitope:antibody complex</t>
  </si>
  <si>
    <t>A B cell epitope on rate measurement (kon) determination assay that uses a surface plasmon resonance assay.</t>
  </si>
  <si>
    <t>assay measuring the on rate [kon] of a B cell epitope:antibody complex' and ('has part' some 'surface plasmon resonance binding assay') and (has_specified_output some ('has measurement unit label' value UO_0000282))</t>
  </si>
  <si>
    <t>quenching assay measuring the on rate [kon] of a B cell epitope:antibody complex</t>
  </si>
  <si>
    <t>A B cell epitope on rate measurement (kon) determination assay that uses an antibody binding detection by fluorescence quenching assay.</t>
  </si>
  <si>
    <t>fluorescence detection binding assay, assay measuring the on rate [kon] of a B cell epitope:antibody complex</t>
  </si>
  <si>
    <t>assay measuring the on rate [kon] of a B cell epitope:antibody complex' and ('has part' some 'antibody binding detection by fluorescence quenching') and (has_specified_output some ('has measurement unit label' value UO_0000282))</t>
  </si>
  <si>
    <t>detection of specific nucleic acids with complementary probes assay measuring epitope specific interleukin-1 beta production by T cells</t>
  </si>
  <si>
    <t>An assay of epitope specific interleukin-1 beta production by T cells that uses a detection of specific nucleic acids with complementary probes assay.</t>
  </si>
  <si>
    <t>biological activity assay measuring epitope specific interleukin-1 beta production by T cells' and ('has part' some 'detection of specific nucleic acid polymers with complementary probes')</t>
  </si>
  <si>
    <t>intracellular cytokine staining assay measuring epitope specific interleukin-1 alpha production by T cells</t>
  </si>
  <si>
    <t>An assay of epitope specific interleukin-1 alpha production by T cells that uses an intracellular cytokine staining assay.</t>
  </si>
  <si>
    <t>biological activity assay measuring epitope specific interleukin-1 alpha production by T cells' and ('has part' some 'flow cytometry assay')</t>
  </si>
  <si>
    <t>ELISPOT assay measuring epitope specific interleukin-1 alpha production by T cells</t>
  </si>
  <si>
    <t>An assay of epitope specific interleukin-1 alpha production by T cells that uses an ELISPOT assay.</t>
  </si>
  <si>
    <t>biological activity assay measuring epitope specific interleukin-1 alpha production by T cells' and ('has part' some 'enzyme-linked immunospot assay')</t>
  </si>
  <si>
    <t>detection of specific nucleic acids with complementary probes assay measuring epitope specific interleukin-1 alpha production by T cells</t>
  </si>
  <si>
    <t>An assay of epitope specific interleukin-1 alpha production by T cells that uses a detection of specific nucleic acids with complementary probes assay.</t>
  </si>
  <si>
    <t>biological activity assay measuring epitope specific interleukin-1 alpha production by T cells' and ('has part' some 'detection of specific nucleic acid polymers with complementary probes')</t>
  </si>
  <si>
    <t>cytometric bead array assay measuring epitope specific interleukin-1 alpha production by T cells</t>
  </si>
  <si>
    <t>An assay of epitope specific interleukin-1 alpha production by T cells that uses a cytometric bead array assay.</t>
  </si>
  <si>
    <t>biological activity assay measuring epitope specific interleukin-1 alpha production by T cells' and ('has part' some 'cytometric bead array assay')</t>
  </si>
  <si>
    <t>ELISPOT assay measuring epitope specific interferon-beta production by T cells</t>
  </si>
  <si>
    <t>An assay of epitope specific interferon-beta production by T cells that uses an ELISPOT assay.</t>
  </si>
  <si>
    <t>biological activity assay measuring epitope specific interferon-beta production by T cells' and ('has part' some 'enzyme-linked immunospot assay')</t>
  </si>
  <si>
    <t>intracellular cytokine staining assay measuring epitope specific interferon-beta production by T cells</t>
  </si>
  <si>
    <t>An assay of epitope specific interferon-beta production by T cells that uses an intracellular cytokine staining assay.</t>
  </si>
  <si>
    <t>biological activity assay measuring epitope specific interferon-beta production by T cells' and ('has part' some 'flow cytometry assay')</t>
  </si>
  <si>
    <t>intracellular cytokine staining assay measuring epitope specific granulocyte colony stimulating factor production by T cells</t>
  </si>
  <si>
    <t>An assay of epitope specific granulocyte colony stimulating factor production by T cells that uses an intracellular cytokine staining assay.</t>
  </si>
  <si>
    <t>biological activity assay measuring epitope specific granulocyte colony stimulating factor production by T cells' and ('has part' some 'flow cytometry assay')</t>
  </si>
  <si>
    <t>ELISA measuring epitope specific interferon-beta production by T cells</t>
  </si>
  <si>
    <t>An assay of epitope specific interferon-beta production by T cells that uses an ELISA.</t>
  </si>
  <si>
    <t>biological activity assay measuring epitope specific interferon-beta production by T cells' and ('has part' some 'enzyme-linked immunosorbent assay')</t>
  </si>
  <si>
    <t>detection of specific nucleic acids with complementary probes assay measuring epitope specific granulocyte colony stimulating factor production by T cells</t>
  </si>
  <si>
    <t>An assay of epitope specific granulocyte colony stimulating factor production by T cells that uses a detection of specific nucleic acids with complementary probes assay.</t>
  </si>
  <si>
    <t>biological activity assay measuring epitope specific granulocyte colony stimulating factor production by T cells' and ('has part' some 'detection of specific nucleic acid polymers with complementary probes')</t>
  </si>
  <si>
    <t>ELISPOT assay measuring epitope specific granulocyte colony stimulating factor production by T cells</t>
  </si>
  <si>
    <t>An assay of epitope specific granulocyte colony stimulating factor production by T cells that uses an ELISPOT assay.</t>
  </si>
  <si>
    <t>biological activity assay measuring epitope specific granulocyte colony stimulating factor production by T cells' and ('has part' some 'enzyme-linked immunospot assay')</t>
  </si>
  <si>
    <t>cytometric bead array assay measuring epitope specific chemokine (C-X-C motif) ligand 9 production by T cells</t>
  </si>
  <si>
    <t>An assay of epitope specific chemokine (C-X-C motif) ligand 9 production by T cells that uses a cytometric bead array assay.</t>
  </si>
  <si>
    <t>biological activity assay measuring epitope specific chemokine (C-X-C motif) ligand 9 production by T cells' and ('has part' some 'cytometric bead array assay')</t>
  </si>
  <si>
    <t>ELISPOT assay measuring epitope specific chemokine (C-X-C motif) ligand 9 production by T cells</t>
  </si>
  <si>
    <t>An assay of epitope specific chemokine (C-X-C motif) ligand 9 production by T cells that uses an ELISPOT assay.</t>
  </si>
  <si>
    <t>biological activity assay measuring epitope specific chemokine (C-X-C motif) ligand 9 production by T cells' and ('has part' some 'enzyme-linked immunospot assay')</t>
  </si>
  <si>
    <t>detection of specific nucleic acids with complementary probes assay measuring epitope specific chemokine (C-X-C motif) ligand 9 production by T cells</t>
  </si>
  <si>
    <t>An assay of epitope specific chemokine (C-X-C motif) ligand 9 production by T cells that uses a detection of specific nucleic acids with complementary probes assay.</t>
  </si>
  <si>
    <t>biological activity assay measuring epitope specific chemokine (C-X-C motif) ligand 9 production by T cells' and ('has part' some 'detection of specific nucleic acid polymers with complementary probes')</t>
  </si>
  <si>
    <t>ELISPOT assay measuring epitope specific chemokine (C-C motif) ligand 4 production by T cells</t>
  </si>
  <si>
    <t>An assay of epitope specific chemokine (C-C motif) ligand 4 production by T cells that uses an ELISPOT assay.</t>
  </si>
  <si>
    <t>biological activity assay measuring epitope specific chemokine (C-C motif) ligand 4 production by T cells' and ('has part' some 'enzyme-linked immunospot assay')</t>
  </si>
  <si>
    <t>detection of specific nucleic acids with complementary probes assay measuring epitope specific chemokine (C-X-C motif) ligand 12 production by T cells</t>
  </si>
  <si>
    <t>An assay of epitope specific chemokine (C-X-C motif) ligand 12 production by T cells that uses a detection of specific nucleic acids with complementary probes assay.</t>
  </si>
  <si>
    <t>biological activity assay measuring epitope specific chemokine (C-X-C motif) ligand 12 production by T cells</t>
  </si>
  <si>
    <t>biological activity assay measuring epitope specific chemokine (C-X-C motif) ligand 12 production by T cells' and ('has part' some 'detection of specific nucleic acid polymers with complementary probes')</t>
  </si>
  <si>
    <t>detection of specific nucleic acids with complementary probes assay measuring epitope specific chemokine (C-X-C motif) ligand 13 production by T cells</t>
  </si>
  <si>
    <t>An assay of epitope specific chemokine (C-X-C motif) ligand 13 production by T cells that uses a detection of specific nucleic acids with complementary probes assay.</t>
  </si>
  <si>
    <t>biological activity assay measuring epitope specific chemokine (C-X-C motif) ligand 13 production by T cells</t>
  </si>
  <si>
    <t>biological activity assay measuring epitope specific chemokine (C-X-C motif) ligand 13 production by T cells' and ('has part' some 'detection of specific nucleic acid polymers with complementary probes')</t>
  </si>
  <si>
    <t>detection of specific nucleic acids with complementary probes assay measuring epitope specific chemokine (C-X-C motif) ligand 16 production by T cells</t>
  </si>
  <si>
    <t>An assay of epitope specific chemokine (C-X-C motif) ligand 16 production by T cells that uses a detection of specific nucleic acids with complementary probes assay.</t>
  </si>
  <si>
    <t>biological activity assay measuring epitope specific chemokine (C-X-C motif) ligand 16 production by T cells</t>
  </si>
  <si>
    <t>biological activity assay measuring epitope specific chemokine (C-X-C motif) ligand 16 production by T cells' and ('has part' some 'detection of specific nucleic acid polymers with complementary probes')</t>
  </si>
  <si>
    <t>detection of specific nucleic acids with complementary probes assay measuring epitope specific chemokine (C-C motif) ligand 21 production by T cells</t>
  </si>
  <si>
    <t>An assay of epitope specific chemokine (C-C motif) ligand 21 production by T cells that uses a detection of specific nucleic acids with complementary probes assay.</t>
  </si>
  <si>
    <t>biological activity assay measuring epitope specific chemokine (C-C motif) ligand 21 production by T cells</t>
  </si>
  <si>
    <t>biological activity assay measuring epitope specific chemokine (C-C motif) ligand 21 production by T cells' and ('has part' some 'detection of specific nucleic acid polymers with complementary probes')</t>
  </si>
  <si>
    <t>detection of specific nucleic acids with complementary probes assay measuring epitope specific chemokine (C-C motif) ligand 22 production by T cells</t>
  </si>
  <si>
    <t>An assay of epitope specific chemokine (C-C motif) ligand 22 production by T cells that uses a detection of specific nucleic acids with complementary probes assay.</t>
  </si>
  <si>
    <t>biological activity assay measuring epitope specific chemokine (C-C motif) ligand 22 production by T cells</t>
  </si>
  <si>
    <t>biological activity assay measuring epitope specific chemokine (C-C motif) ligand 22 production by T cells' and ('has part' some 'detection of specific nucleic acid polymers with complementary probes')</t>
  </si>
  <si>
    <t>cytometric bead array assay measuring epitope specific chemokine (C-C motif) ligand 4 production by T cells</t>
  </si>
  <si>
    <t>An assay of epitope specific chemokine (C-C motif) ligand 4 production by T cells that uses a cytometric bead array assay.</t>
  </si>
  <si>
    <t>biological activity assay measuring epitope specific chemokine (C-C motif) ligand 4 production by T cells' and ('has part' some 'cytometric bead array assay')</t>
  </si>
  <si>
    <t>detection of specific nucleic acids with complementary probes assay measuring epitope specific chemokine (C-C motif) ligand 4 production by T cells</t>
  </si>
  <si>
    <t>An assay of epitope specific chemokine (C-C motif) ligand 4 production by T cells that uses a detection of specific nucleic acids with complementary probes assay.</t>
  </si>
  <si>
    <t>biological activity assay measuring epitope specific chemokine (C-C motif) ligand 4 production by T cells' and ('has part' some 'detection of specific nucleic acid polymers with complementary probes')</t>
  </si>
  <si>
    <t>detection of specific nucleic acids with complementary probes assay measuring epitope specific vascular endothelial growth factor production by T cells</t>
  </si>
  <si>
    <t>An assay of epitope specific vascular endothelial growth factor production by T cells that uses a detection of specific nucleic acids with complementary probes assay.</t>
  </si>
  <si>
    <t>biological activity assay measuring epitope specific vascular endothelial growth factor production by T cells' and ('has part' some 'detection of specific nucleic acid polymers with complementary probes')</t>
  </si>
  <si>
    <t>detection of specific nucleic acids with complementary probes assay measuring epitope specific chemokine (C-C motif) ligand 19 production by T cells</t>
  </si>
  <si>
    <t>An assay of epitope specific chemokine (C-C motif) ligand 19 production by T cells that uses a detection of specific nucleic acids with complementary probes assay.</t>
  </si>
  <si>
    <t>biological activity assay measuring epitope specific chemokine (C-C motif) ligand 19 production by T cells</t>
  </si>
  <si>
    <t>biological activity assay measuring epitope specific chemokine (C-C motif) ligand 19 production by T cells' and ('has part' some 'detection of specific nucleic acid polymers with complementary probes')</t>
  </si>
  <si>
    <t>intracellular cytokine staining assay measuring epitope specific chemokine (C-C motif) ligand 1 production by T cells</t>
  </si>
  <si>
    <t>An assay of epitope specific chemokine (C-C motif) ligand 1 production by T cells that uses an intracellular cytokine staining assay.</t>
  </si>
  <si>
    <t>biological activity assay measuring epitope specific chemokine (C-C motif) ligand 1 production by T cells' and ('has part' some 'flow cytometry assay')</t>
  </si>
  <si>
    <t>intracellular cytokine staining assay measuring epitope specific vascular endothelial growth factor production by T cells</t>
  </si>
  <si>
    <t>An assay of epitope specific vascular endothelial growth factor production by T cells that uses an intracellular cytokine staining assay.</t>
  </si>
  <si>
    <t>biological activity assay measuring epitope specific vascular endothelial growth factor production by T cells' and ('has part' some 'flow cytometry assay')</t>
  </si>
  <si>
    <t>ELISPOT assay measuring epitope specific vascular endothelial growth factor production by T cells</t>
  </si>
  <si>
    <t>An assay of epitope specific vascular endothelial growth factor production by T cells that uses an ELISPOT assay.</t>
  </si>
  <si>
    <t>biological activity assay measuring epitope specific vascular endothelial growth factor production by T cells' and ('has part' some 'enzyme-linked immunospot assay')</t>
  </si>
  <si>
    <t>biological activity assay measuring epitope specific interleukin-17F production by T cells</t>
  </si>
  <si>
    <t>An assay of epitope specific interleukin-17 production by T cells that detects interleukin-17F production.</t>
  </si>
  <si>
    <t>biological activity assay measuring epitope specific interleukin-17 production by T cells' and (has_specified_output some ('information content entity' and ('is about' some 'interleukin-17F production')))</t>
  </si>
  <si>
    <t>biological activity assay measuring epitope specific interleukin-17A production by T cells</t>
  </si>
  <si>
    <t>An assay of epitope specific interleukin-17 production by T cells that detects interleukin-17A production.</t>
  </si>
  <si>
    <t>biological activity assay measuring epitope specific interleukin-17 production by T cells' and (has_specified_output some ('information content entity' and ('is about' some 'interleukin-17A production')))</t>
  </si>
  <si>
    <t>A T cell epitope specific cytokine production assay that detects chemokine (C-C motif) ligand 21 production by T cells.</t>
  </si>
  <si>
    <t>biological activity assay measuring epitope specific cytokine production by T cells' and (has_specified_output some ('information content entity' and ('is about' some 'chemokine (C-C motif) ligand 21 production')))</t>
  </si>
  <si>
    <t>A T cell epitope specific cytokine production assay that detects chemokine (C-C motif) ligand 19 production by T cells.</t>
  </si>
  <si>
    <t>biological activity assay measuring epitope specific cytokine production by T cells' and (has_specified_output some ('information content entity' and ('is about' some 'chemokine (C-C motif) ligand 19 production')))</t>
  </si>
  <si>
    <t>A T cell epitope specific cytokine production assay that detects chemokine (C-X-C motif) ligand 12 production by T cells.</t>
  </si>
  <si>
    <t>biological activity assay measuring epitope specific cytokine production by T cells' and (has_specified_output some ('information content entity' and ('is about' some 'chemokine (C-X-C motif) ligand 12 production')))</t>
  </si>
  <si>
    <t>A T cell epitope specific cytokine production assay that detects chemokine (C-C motif) ligand 22 production by T cells.</t>
  </si>
  <si>
    <t>biological activity assay measuring epitope specific cytokine production by T cells' and (has_specified_output some ('information content entity' and ('is about' some 'chemokine (C-C motif) ligand 22 production')))</t>
  </si>
  <si>
    <t>A T cell epitope specific cytokine production assay that detects chemokine (C-X-C motif) ligand 16 production by T cells.</t>
  </si>
  <si>
    <t>biological activity assay measuring epitope specific cytokine production by T cells' and (has_specified_output some ('information content entity' and ('is about' some 'chemokine (C-X-C motif) ligand 16 production')))</t>
  </si>
  <si>
    <t>A T cell epitope specific cytokine production assay that detects chemokine (C-X-C motif) ligand 13 production by T cells.</t>
  </si>
  <si>
    <t>biological activity assay measuring epitope specific cytokine production by T cells' and (has_specified_output some ('information content entity' and ('is about' some 'chemokine (C-X-C motif) ligand 13 production')))</t>
  </si>
  <si>
    <t>ELISPOT assay measuring epitope specific macrophage inflammatory protein-1 alpha production by T cells</t>
  </si>
  <si>
    <t>An assay of epitope specific macrophage inflammatory protein-1 alpha production by T cells that uses an ELISPOT assay.</t>
  </si>
  <si>
    <t>biological activity assay measuring epitope specific macrophage inflammatory protein-1 alpha production by T cells' and ('has part' some 'enzyme-linked immunospot assay')</t>
  </si>
  <si>
    <t>cytometric bead array assay measuring epitope specific macrophage inflammatory protein-1 gamma production by T cells</t>
  </si>
  <si>
    <t>An assay of epitope specific macrophage inflammatory protein-1 gamma production by T cells that uses a cytometric bead array assay.</t>
  </si>
  <si>
    <t>biological activity assay measuring epitope specific macrophage inflammatory protein-1 gamma production by T cells' and ('has part' some 'cytometric bead array assay')</t>
  </si>
  <si>
    <t>detection of specific nucleic acids with complementary probes assay measuring epitope specific macrophage inflammatory protein-1 gamma production by T cells</t>
  </si>
  <si>
    <t>An assay of epitope specific macrophage inflammatory protein-1 gamma production by T cells that uses a detection of specific nucleic acids with complementary probes assay.</t>
  </si>
  <si>
    <t>biological activity assay measuring epitope specific macrophage inflammatory protein-1 gamma production by T cells' and ('has part' some 'detection of specific nucleic acid polymers with complementary probes')</t>
  </si>
  <si>
    <t>intracellular cytokine staining assay measuring epitope specific monocyte chemotactic protein-1 production by T cells</t>
  </si>
  <si>
    <t>An assay of epitope specific monocyte chemotactic protein-1 production by T cells that uses an intracellular cytokine staining assay.</t>
  </si>
  <si>
    <t>biological activity assay measuring epitope specific monocyte chemotactic protein-1 production by T cells' and ('has part' some 'flow cytometry assay')</t>
  </si>
  <si>
    <t>ELISPOT assay measuring epitope specific monocyte chemotactic protein-1 production by T cells</t>
  </si>
  <si>
    <t>An assay of epitope specific monocyte chemotactic protein-1 production by T cells that uses an ELISPOT assay.</t>
  </si>
  <si>
    <t>biological activity assay measuring epitope specific monocyte chemotactic protein-1 production by T cells' and ('has part' some 'enzyme-linked immunospot assay')</t>
  </si>
  <si>
    <t>intracellular cytokine staining assay measuring epitope specific macrophage inflammatory protein-1 gamma production by T cells</t>
  </si>
  <si>
    <t>An assay of epitope specific macrophage inflammatory protein-1 gamma production by T cells that uses an intracellular cytokine staining assay.</t>
  </si>
  <si>
    <t>biological activity assay measuring epitope specific macrophage inflammatory protein-1 gamma production by T cells' and ('has part' some 'flow cytometry assay')</t>
  </si>
  <si>
    <t>ELISPOT assay measuring epitope specific macrophage inflammatory protein-1 gamma production by T cells</t>
  </si>
  <si>
    <t>An assay of epitope specific macrophage inflammatory protein-1 gamma production by T cells that uses an ELISPOT assay.</t>
  </si>
  <si>
    <t>biological activity assay measuring epitope specific macrophage inflammatory protein-1 gamma production by T cells' and ('has part' some 'enzyme-linked immunospot assay')</t>
  </si>
  <si>
    <t>cytometric bead array assay measuring epitope specific vascular endothelial growth factor production by T cells</t>
  </si>
  <si>
    <t>An assay of epitope specific vascular endothelial growth factor production by T cells that uses a cytometric bead array assay.</t>
  </si>
  <si>
    <t>biological activity assay measuring epitope specific vascular endothelial growth factor production by T cells' and ('has part' some 'cytometric bead array assay')</t>
  </si>
  <si>
    <t>detection of specific nucleic acids with complementary probes assay measuring epitope specific tumor necrosis factor superfamily cytokine production by T cells</t>
  </si>
  <si>
    <t>An assay of epitope specific tumor necrosis factor superfamily cytokine production by T cells that uses a detection of specific nucleic acids with complementary probes assay.</t>
  </si>
  <si>
    <t>biological activity assay measuring epitope specific tumor necrosis factor superfamily cytokine production by T cells' and ('has part' some 'detection of specific nucleic acid polymers with complementary probes')</t>
  </si>
  <si>
    <t>intracellular cytokine staining assay measuring epitope specific RANTES production by T cells</t>
  </si>
  <si>
    <t>An assay of epitope specific RANTES production by T cells that uses an intracellular cytokine staining assay.</t>
  </si>
  <si>
    <t>biological activity assay measuring epitope specific RANTES production by T cells' and ('has part' some 'flow cytometry assay')</t>
  </si>
  <si>
    <t>ELISPOT assay measuring epitope specific RANTES production by T cells</t>
  </si>
  <si>
    <t>An assay of epitope specific RANTES production by T cells that uses an ELISPOT assay.</t>
  </si>
  <si>
    <t>biological activity assay measuring epitope specific RANTES production by T cells' and ('has part' some 'enzyme-linked immunospot assay')</t>
  </si>
  <si>
    <t>ELISPOT assay measuring epitope specific lymphotoxin A production by T cells</t>
  </si>
  <si>
    <t>An assay of epitope specific lymphotoxin A production by T cells that uses an ELISPOT assay.</t>
  </si>
  <si>
    <t>ELISPOT assay measuring epitope specific tumor necrosis factor superfamily cytokine production by T cells, biological activity assay measuring epitope specific lymphotoxin A production by T cells</t>
  </si>
  <si>
    <t>biological activity assay measuring epitope specific lymphotoxin A production by T cells' and ('has part' some 'enzyme-linked immunospot assay')</t>
  </si>
  <si>
    <t>detection of specific nucleic acids with complementary probes assay measuring epitope specific macrophage inflammatory protein-1 alpha production by T cells</t>
  </si>
  <si>
    <t>An assay of epitope specific macrophage inflammatory protein-1 alpha production by T cells that uses a detection of specific nucleic acids with complementary probes assay.</t>
  </si>
  <si>
    <t>biological activity assay measuring epitope specific macrophage inflammatory protein-1 alpha production by T cells' and ('has part' some 'detection of specific nucleic acid polymers with complementary probes')</t>
  </si>
  <si>
    <t>cytometric bead array assay measuring epitope specific lymphotoxin A production by T cells</t>
  </si>
  <si>
    <t>An assay of epitope specific lymphotoxin A production by T cells that uses a cytometric bead array assay.</t>
  </si>
  <si>
    <t>biological activity assay measuring epitope specific lymphotoxin A production by T cells, cytometric bead array assay measuring epitope specific tumor necrosis factor superfamily cytokine production by T cells</t>
  </si>
  <si>
    <t>biological activity assay measuring epitope specific lymphotoxin A production by T cells' and ('has part' some 'cytometric bead array assay')</t>
  </si>
  <si>
    <t>detection of specific nucleic acids with complementary probes assay measuring epitope specific lymphotoxin A production by T cells</t>
  </si>
  <si>
    <t>An assay of epitope specific lymphotoxin A production by T cells that uses a detection of specific nucleic acids with complementary probes assay.</t>
  </si>
  <si>
    <t>biological activity assay measuring epitope specific lymphotoxin A production by T cells, detection of specific nucleic acids with complementary probes assay measuring epitope specific tumor necrosis factor superfamily cytokine production by T cells</t>
  </si>
  <si>
    <t>biological activity assay measuring epitope specific lymphotoxin A production by T cells' and ('has part' some 'detection of specific nucleic acid polymers with complementary probes')</t>
  </si>
  <si>
    <t>ELISPOT assay measuring epitope specific IP-10 production by T cells</t>
  </si>
  <si>
    <t>An assay of epitope specific IP-10 production by T cells that uses an ELISPOT assay.</t>
  </si>
  <si>
    <t>biological activity assay measuring epitope specific IP-10 production by T cells' and ('has part' some 'enzyme-linked immunospot assay')</t>
  </si>
  <si>
    <t>intracellular cytokine staining assay measuring epitope specific IP-10 production by T cells</t>
  </si>
  <si>
    <t>An assay of epitope specific IP-10 production by T cells that uses an intracellular cytokine staining assay.</t>
  </si>
  <si>
    <t>biological activity assay measuring epitope specific IP-10 production by T cells' and ('has part' some 'flow cytometry assay')</t>
  </si>
  <si>
    <t>ELISPOT assay measuring epitope specific interleukin-9 production by T cells</t>
  </si>
  <si>
    <t>An assay of epitope specific interleukin-9 production by T cells that uses an ELISPOT assay.</t>
  </si>
  <si>
    <t>biological activity assay measuring interleukin-9 production by T cells' and ('has part' some 'enzyme-linked immunospot assay')</t>
  </si>
  <si>
    <t>intracellular cytokine staining assay measuring epitope specific interleukin-9 production by T cells</t>
  </si>
  <si>
    <t>An assay of epitope specific interleukin-9 production by T cells that uses an intracellular cytokine staining assay.</t>
  </si>
  <si>
    <t>biological activity assay measuring interleukin-9 production by T cells' and ('has part' some 'flow cytometry assay')</t>
  </si>
  <si>
    <t>detection of specific nucleic acids with complementary probes assay measuring epitope specific interleukin-9 production by T cells</t>
  </si>
  <si>
    <t>An assay of epitope specific interleukin-9 production by T cells that uses a detection of specific nucleic acids with complementary probes assay.</t>
  </si>
  <si>
    <t>biological activity assay measuring interleukin-9 production by T cells' and ('has part' some 'detection of specific nucleic acid polymers with complementary probes')</t>
  </si>
  <si>
    <t>ELISPOT assay measuring epitope specific interleukin-8 production by T cells</t>
  </si>
  <si>
    <t>An assay of epitope specific interleukin-8 production by T cells that uses an ELISPOT assay.</t>
  </si>
  <si>
    <t>biological activity assay measuring epitope specific interleukin-8 production by T cells' and ('has part' some 'enzyme-linked immunospot assay')</t>
  </si>
  <si>
    <t>detection of specific nucleic acids with complementary probes assay measuring epitope specific interleukin-8 production by T cells</t>
  </si>
  <si>
    <t>An assay of epitope specific interleukin-8 production by T cells that uses a detection of specific nucleic acids with complementary probes assay.</t>
  </si>
  <si>
    <t>biological activity assay measuring epitope specific interleukin-8 production by T cells' and ('has part' some 'detection of specific nucleic acid polymers with complementary probes')</t>
  </si>
  <si>
    <t>ELISPOT assay measuring epitope specific interleukin-3 production by T cells</t>
  </si>
  <si>
    <t>An assay of epitope specific interleukin-3 production by T cells that uses an ELISPOT assay.</t>
  </si>
  <si>
    <t>biological activity assay measuring epitope specific interleukin-3 production by T cells' and ('has part' some 'enzyme-linked immunospot assay')</t>
  </si>
  <si>
    <t>ELISA measuring epitope specific interleukin-7 production by T cells</t>
  </si>
  <si>
    <t>An assay of epitope specific interleukin-7 production by T cells that uses an ELISA.</t>
  </si>
  <si>
    <t>biological activity assay measuring epitope specific interleukin-7 production by T cells' and ('has part' some 'enzyme-linked immunosorbent assay')</t>
  </si>
  <si>
    <t>ELISPOT assay measuring epitope specific interleukin-7 production by T cells</t>
  </si>
  <si>
    <t>An assay of epitope specific interleukin-7 production by T cells that uses an ELISPOT assay.</t>
  </si>
  <si>
    <t>biological activity assay measuring epitope specific interleukin-7 production by T cells' and ('has part' some 'enzyme-linked immunospot assay')</t>
  </si>
  <si>
    <t>intracellular cytokine staining assay measuring epitope specific interleukin-7 production by T cells</t>
  </si>
  <si>
    <t>An assay of epitope specific interleukin-7 production by T cells that uses an intracellular cytokine staining assay.</t>
  </si>
  <si>
    <t>biological activity assay measuring epitope specific interleukin-7 production by T cells' and ('has part' some 'flow cytometry assay')</t>
  </si>
  <si>
    <t>intracellular cytokine staining assay measuring epitope specific interleukin-27 production by T cells</t>
  </si>
  <si>
    <t>An assay of epitope specific interleukin-27 production by T cells that uses an intracellular cytokine staining assay.</t>
  </si>
  <si>
    <t>biological activity assay measuring epitope specific interleukin-27 production by T cells' and ('has part' some 'flow cytometry assay')</t>
  </si>
  <si>
    <t>cytometric bead array assay measuring epitope specific interleukin-3 production by T cells</t>
  </si>
  <si>
    <t>An assay of epitope specific interleukin-3 production by T cells that uses a cytometric bead array assay.</t>
  </si>
  <si>
    <t>biological activity assay measuring epitope specific interleukin-3 production by T cells' and ('has part' some 'cytometric bead array assay')</t>
  </si>
  <si>
    <t>detection of specific nucleic acids with complementary probes assay measuring epitope specific interleukin-3 production by T cells</t>
  </si>
  <si>
    <t>An assay of epitope specific interleukin-3 production by T cells that uses a detection of specific nucleic acids with complementary probes assay.</t>
  </si>
  <si>
    <t>biological activity assay measuring epitope specific interleukin-3 production by T cells' and ('has part' some 'detection of specific nucleic acid polymers with complementary probes')</t>
  </si>
  <si>
    <t>A T cell epitope specific cytotoxic T cell degranulation assay that detects granzyme A release by T cells.</t>
  </si>
  <si>
    <t>biological activity assay measuring epitope specific cytotoxic T cell degranulation' and (has_specified_output some ('information content entity' and ('is about' some 'granzyme A production')))</t>
  </si>
  <si>
    <t>A T cell epitope specific cytotoxic T cell degranulation assay that detects granulysin release by T cells.</t>
  </si>
  <si>
    <t>biological activity assay measuring epitope specific cytotoxic T cell degranulation' and (has_specified_output some ('information content entity' and ('is about' some 'granulysin production')))</t>
  </si>
  <si>
    <t>cytometric bead array assay measuring epitope specific interleukin-27 production by T cells</t>
  </si>
  <si>
    <t>An assay of epitope specific interleukin-27 production by T cells that uses a cytometric bead array assay.</t>
  </si>
  <si>
    <t>biological activity assay measuring epitope specific interleukin-27 production by T cells' and ('has part' some 'cytometric bead array assay')</t>
  </si>
  <si>
    <t>intracellular cytokine staining assay measuring epitope specific interleukin-23 production by T cells</t>
  </si>
  <si>
    <t>An assay of epitope specific interleukin-23 production by T cells that uses an intracellular cytokine staining assay.</t>
  </si>
  <si>
    <t>biological activity assay measuring epitope specific interleukin-23 production by T cells' and ('has part' some 'flow cytometry assay')</t>
  </si>
  <si>
    <t>ELISPOT assay measuring epitope specific interleukin-27 production by T cells</t>
  </si>
  <si>
    <t>An assay of epitope specific interleukin-27 production by T cells that uses an ELISPOT assay.</t>
  </si>
  <si>
    <t>biological activity assay measuring epitope specific interleukin-27 production by T cells' and ('has part' some 'enzyme-linked immunospot assay')</t>
  </si>
  <si>
    <t>ELISA measuring epitope specific interleukin-27 production by T cells</t>
  </si>
  <si>
    <t>An assay of epitope specific interleukin-27 production by T cells that uses an ELISA.</t>
  </si>
  <si>
    <t>biological activity assay measuring epitope specific interleukin-27 production by T cells' and ('has part' some 'enzyme-linked immunosorbent assay')</t>
  </si>
  <si>
    <t>detection of specific nucleic acids with complementary probes assay measuring epitope specific interleukin-18 production by T cells</t>
  </si>
  <si>
    <t>An assay of epitope specific interleukin-18 production by T cells that uses a detection of specific nucleic acids with complementary probes assay.</t>
  </si>
  <si>
    <t>biological activity assay measuring epitope specific interleukin-18 production by T cells' and ('has part' some 'detection of specific nucleic acid polymers with complementary probes')</t>
  </si>
  <si>
    <t>ELISPOT assay measuring epitope specific interleukin-18 production by T cells</t>
  </si>
  <si>
    <t>An assay of epitope specific interleukin-18 production by T cells that uses an ELISPOT assay.</t>
  </si>
  <si>
    <t>biological activity assay measuring epitope specific interleukin-18 production by T cells' and ('has part' some 'enzyme-linked immunospot assay')</t>
  </si>
  <si>
    <t>ELISPOT assay measuring epitope specific interleukin-22 production by T cells</t>
  </si>
  <si>
    <t>An assay of epitope specific interleukin-22 production by T cells that uses an ELISPOT assay.</t>
  </si>
  <si>
    <t>biological activity assay measuring epitope specific interleukin-22 production by T cells' and ('has part' some 'enzyme-linked immunospot assay')</t>
  </si>
  <si>
    <t>ELISPOT assay measuring epitope specific interleukin-23 production by T cells</t>
  </si>
  <si>
    <t>An assay of epitope specific interleukin-23 production by T cells that uses an ELISPOT assay.</t>
  </si>
  <si>
    <t>biological activity assay measuring epitope specific interleukin-23 production by T cells' and ('has part' some 'enzyme-linked immunospot assay')</t>
  </si>
  <si>
    <t>intracellular cytokine staining assay measuring epitope specific interleukin-18 production by T cells</t>
  </si>
  <si>
    <t>An assay of epitope specific interleukin-18 production by T cells that uses an intracellular cytokine staining assay.</t>
  </si>
  <si>
    <t>biological activity assay measuring epitope specific interleukin-18 production by T cells' and ('has part' some 'flow cytometry assay')</t>
  </si>
  <si>
    <t>ELISPOT assay measuring epitope specific interleukin-21 production by T cells</t>
  </si>
  <si>
    <t>An assay of epitope specific interleukin-21 production by T cells that uses an ELISPOT assay.</t>
  </si>
  <si>
    <t>biological activity assay measuring epitope specific interleukin-21 production by T cells' and ('has part' some 'enzyme-linked immunospot assay')</t>
  </si>
  <si>
    <t>detection of specific nucleic acids with complementary probes assay measuring epitope specific chemokine (C-C motif) ligand 1 production by T cells</t>
  </si>
  <si>
    <t>An assay of epitope specific chemokine (C-C motif) ligand 1 production by T cells that uses a detection of specific nucleic acids with complementary probes assay.</t>
  </si>
  <si>
    <t>biological activity assay measuring epitope specific chemokine (C-C motif) ligand 1 production by T cells' and ('has part' some 'detection of specific nucleic acid polymers with complementary probes')</t>
  </si>
  <si>
    <t>cytometric bead array assay measuring epitope specific chemokine (C-C motif) ligand 1 production by T cells</t>
  </si>
  <si>
    <t>An assay of epitope specific chemokine (C-C motif) ligand 1 production by T cells that uses a cytometric bead array assay.</t>
  </si>
  <si>
    <t>biological activity assay measuring epitope specific chemokine (C-C motif) ligand 1 production by T cells' and ('has part' some 'cytometric bead array assay')</t>
  </si>
  <si>
    <t>ELISPOT assay measuring epitope specific chemokine (C-C motif) ligand 1 production by T cells</t>
  </si>
  <si>
    <t>An assay of epitope specific chemokine (C-C motif) ligand 1 production by T cells that uses an ELISPOT assay.</t>
  </si>
  <si>
    <t>biological activity assay measuring epitope specific chemokine (C-C motif) ligand 1 production by T cells' and ('has part' some 'enzyme-linked immunospot assay')</t>
  </si>
  <si>
    <t>ELISPOT assay measuring epitope specific interleukin-17F production by T cells</t>
  </si>
  <si>
    <t>A T cell epitope specific interleukin-17F production assay that uses an ELISPOT.</t>
  </si>
  <si>
    <t>ELISPOT assay measuring epitope specific interleukin-17 production by T cells, biological activity assay measuring epitope specific interleukin-17F production by T cells</t>
  </si>
  <si>
    <t>biological activity assay measuring epitope specific interleukin-17F production by T cells' and ('has part' some 'enzyme-linked immunospot assay')</t>
  </si>
  <si>
    <t>ELISA measuring epitope specific interleukin-17F production by T cells</t>
  </si>
  <si>
    <t>A T cell epitope specific interleukin-17F production assay that uses an ELISA.</t>
  </si>
  <si>
    <t>biological activity assay measuring epitope specific interleukin-17F production by T cells, ELISA measuring epitope specific interleukin-17 production by T cells</t>
  </si>
  <si>
    <t>biological activity assay measuring epitope specific interleukin-17F production by T cells' and ('has part' some 'enzyme-linked immunosorbent assay')</t>
  </si>
  <si>
    <t>detection of specific nucleic acids with complementary probes assay measuring epitope specific interleukin-17F production by T cells</t>
  </si>
  <si>
    <t>A T cell epitope specific interleukin-17F production assay that uses a detection of specific nucleic acids with complementary probes assay.</t>
  </si>
  <si>
    <t>detection of specific nucleic acids with complementary probes assay measuring epitope specific interleukin-17 production by T cells, biological activity assay measuring epitope specific interleukin-17F production by T cells</t>
  </si>
  <si>
    <t>biological activity assay measuring epitope specific interleukin-17F production by T cells' and ('has part' some 'detection of specific nucleic acid polymers with complementary probes')</t>
  </si>
  <si>
    <t>ELISPOT assay measuring epitope specific interleukin-17A production by T cells</t>
  </si>
  <si>
    <t>A T cell epitope specific interleukin-17A production assay that uses an ELISPOT.</t>
  </si>
  <si>
    <t>ELISPOT assay measuring epitope specific interleukin-17 production by T cells, biological activity assay measuring epitope specific interleukin-17A production by T cells</t>
  </si>
  <si>
    <t>biological activity assay measuring epitope specific interleukin-17A production by T cells' and ('has part' some 'enzyme-linked immunospot assay')</t>
  </si>
  <si>
    <t>cytometric bead array assay measuring epitope specific interleukin-18 production by T cells</t>
  </si>
  <si>
    <t>An assay of epitope specific interleukin-18 production by T cells that uses a cytometric bead array assay.</t>
  </si>
  <si>
    <t>biological activity assay measuring epitope specific interleukin-18 production by T cells' and ('has part' some 'cytometric bead array assay')</t>
  </si>
  <si>
    <t>detection of specific nucleic acids with complementary probes assay measuring epitope specific interleukin-16 production by T cells</t>
  </si>
  <si>
    <t>An assay of epitope specific interleukin-16 production by T cells that uses a detection of specific nucleic acids with complementary probes assay.</t>
  </si>
  <si>
    <t>biological activity assay measuring epitope specific interleukin-16 production by T cells' and ('has part' some 'detection of specific nucleic acid polymers with complementary probes')</t>
  </si>
  <si>
    <t>ELISA measuring epitope specific interleukin-16 production by T cells</t>
  </si>
  <si>
    <t>An assay of epitope specific interleukin-16 production by T cells that uses an ELISA.</t>
  </si>
  <si>
    <t>biological activity assay measuring epitope specific interleukin-16 production by T cells' and ('has part' some 'enzyme-linked immunosorbent assay')</t>
  </si>
  <si>
    <t>ELISPOT assay measuring epitope specific interleukin-16 production by T cells</t>
  </si>
  <si>
    <t>An assay of epitope specific interleukin-16 production by T cells that uses an ELISPOT assay.</t>
  </si>
  <si>
    <t>biological activity assay measuring epitope specific interleukin-16 production by T cells' and ('has part' some 'enzyme-linked immunospot assay')</t>
  </si>
  <si>
    <t>intracellular cytokine staining assay measuring epitope specific interleukin-16 production by T cells</t>
  </si>
  <si>
    <t>An assay of epitope specific interleukin-16 production by T cells that uses an intracellular cytokine staining assay.</t>
  </si>
  <si>
    <t>biological activity assay measuring epitope specific interleukin-16 production by T cells' and ('has part' some 'flow cytometry assay')</t>
  </si>
  <si>
    <t>detection of specific nucleic acids with complementary probes assay measuring epitope specific interleukin-17A production by T cells</t>
  </si>
  <si>
    <t>A T cell epitope specific interleukin-17A production assay that uses a detection of specific nucleic acids with complementary probes assay.</t>
  </si>
  <si>
    <t>detection of specific nucleic acids with complementary probes assay measuring epitope specific interleukin-17 production by T cells, biological activity assay measuring epitope specific interleukin-17A production by T cells</t>
  </si>
  <si>
    <t>biological activity assay measuring epitope specific interleukin-17A production by T cells' and ('has part' some 'detection of specific nucleic acid polymers with complementary probes')</t>
  </si>
  <si>
    <t>intracellular cytokine staining assay measuring epitope specific interleukin-1 beta production by T cells</t>
  </si>
  <si>
    <t>An assay of epitope specific interleukin-1 beta production by T cells that uses an intracellular cytokine staining assay.</t>
  </si>
  <si>
    <t>biological activity assay measuring epitope specific interleukin-1 beta production by T cells' and ('has part' some 'flow cytometry assay')</t>
  </si>
  <si>
    <t>ELISPOT assay measuring epitope specific interleukin-1 beta production by T cells</t>
  </si>
  <si>
    <t>An assay of epitope specific interleukin-1 beta production by T cells that uses an ELISPOT assay.</t>
  </si>
  <si>
    <t>biological activity assay measuring epitope specific interleukin-1 beta production by T cells' and ('has part' some 'enzyme-linked immunospot assay')</t>
  </si>
  <si>
    <t>detection of specific nucleic acids with complementary probes measuring epitope specific interleukin-15 production by T cells</t>
  </si>
  <si>
    <t>An assay of epitope specific interleukin-15 production by T cells that uses a detection of specific nucleic acids with complementary probes assay.</t>
  </si>
  <si>
    <t>biological activity assay measuring epitope specific interleukin-15 production by T cells' and ('has part' some 'detection of specific nucleic acid polymers with complementary probes')</t>
  </si>
  <si>
    <t>ELISPOT assay measuring epitope specific interleukin-12 production by T cells</t>
  </si>
  <si>
    <t>An assay of epitope specific interleukin-12 production by T cells that uses an ELISPOT assay.</t>
  </si>
  <si>
    <t>biological activity assay measuring epitope specific interleukin-12 production by T cells' and ('has part' some 'enzyme-linked immunospot assay')</t>
  </si>
  <si>
    <t>intracellular cytokine staining assay measuring epitope specific interleukin-15 production by T cells</t>
  </si>
  <si>
    <t>An assay of epitope specific interleukin-15 production by T cells that uses an intracellular cytokine staining assay.</t>
  </si>
  <si>
    <t>biological activity assay measuring epitope specific interleukin-15 production by T cells' and ('has part' some 'flow cytometry assay')</t>
  </si>
  <si>
    <t>ELISPOT assay measuring epitope specific interleukin-15 production by T cells</t>
  </si>
  <si>
    <t>An assay of epitope specific interleukin-15 production by T cells that uses an ELISPOT assay.</t>
  </si>
  <si>
    <t>biological activity assay measuring epitope specific interleukin-15 production by T cells' and ('has part' some 'enzyme-linked immunospot assay')</t>
  </si>
  <si>
    <t>hydrogen/deuterium exchange assay</t>
  </si>
  <si>
    <t>An assay that uses a chemical reaction whereby a covalently bonded hydrogen atom is replaced by a deuterium atom, or vice versa in order to gather information about the solvent accessibility of parts of a molecule and thus its tertiary structure.</t>
  </si>
  <si>
    <t>(realizes some ('reagent role' and ('inheres in' some 'deuterium atom'))) and (has_specified_input some 'deuterium atom')</t>
  </si>
  <si>
    <t>An assay that measures properties of cells.</t>
  </si>
  <si>
    <t>assay and ((realizes some ('evaluant role' and ('inheres in' some cell))) and (has_specified_input some cell))</t>
  </si>
  <si>
    <t>An analyte assay that detects specific molecules in an input material by separating it using gel electrophoresis, transfering the separated molecules to a membrane, and staining them with  antibodies specific to the analyte molecules.</t>
  </si>
  <si>
    <t>(realizes some (function and ('inheres in' some 'gel electrophoresis system'))) and (has_specified_input some 'gel electrophoresis system'), (realizes some ('analyte role' and ('inheres in' some 'molecular entity'))) and (has_specified_input some 'molecular entity')</t>
  </si>
  <si>
    <t>has part' some electrophoresis</t>
  </si>
  <si>
    <t>(realizes some ('analyte role' and ('inheres in' some 'molecular entity'))) and (has_specified_input some 'molecular entity')</t>
  </si>
  <si>
    <t>A binding assay in which the proximity of two entities is monitored by measuring a fluorescent signal of one of the entities that gets reduced if the two entities are cliose to each other.</t>
  </si>
  <si>
    <t>in vivo intervention experiment</t>
  </si>
  <si>
    <t>An assay in which the effect of a targeted process (the intervention) on an organism is tested.</t>
  </si>
  <si>
    <t>(realizes some ('evaluant role' and ('inheres in' some organism))) and (has_specified_input some organism)</t>
  </si>
  <si>
    <t>disease exacerbation in vivo intervention experiment</t>
  </si>
  <si>
    <t>An in vivo intervention experiment that tests the ability of the intervention to increase the severity of a disease in the host.</t>
  </si>
  <si>
    <t>protection from challenge in vivo intervention experiment</t>
  </si>
  <si>
    <t>An in vivo intervention experiment that tests the ability of the intervention to prevent occurrence of a disease in a host.</t>
  </si>
  <si>
    <t>tolerance induction intervention experiment</t>
  </si>
  <si>
    <t>An in vivo intervention experiment that tests the ability of the intervention to decrease an immune response.</t>
  </si>
  <si>
    <t>treatment intervention experiment</t>
  </si>
  <si>
    <t>An in vivo intervention experiment in which the ability of the intervention to reduce or cure the effects of a disease are tested.</t>
  </si>
  <si>
    <t>microarray assay</t>
  </si>
  <si>
    <t>An analyte assay where binding of the analyte to immobilized matrix is measured.</t>
  </si>
  <si>
    <t>analyte assay' and ((realizes some (function and ('inheres in' some microarray))) and (has_specified_input some microarray))</t>
  </si>
  <si>
    <t>immunohistochemistry</t>
  </si>
  <si>
    <t>An immunostaining assay to detect and potentially localize antigens within the cells of a tissue section.</t>
  </si>
  <si>
    <t>immuno staining assay' and ((realizes some ('evaluant role' and ('inheres in' some 'tissue specimen'))) and (has_specified_input some 'tissue specimen')) and ((realizes some ('molecular label role' and ('inheres in' some 'material entity'))) and (has_specified_input some 'material entity'))</t>
  </si>
  <si>
    <t>assay measuring the association constant [KA] of a MHC:ligand complex</t>
  </si>
  <si>
    <t>A MHC binding constant determination assay measuring equilibrium association constant (KA).</t>
  </si>
  <si>
    <t>assay measuring a binding constant of a MHC:ligand complex' and (has_specified_output some 'equilibrium association constant (KA)') and (has_specified_output some ('has measurement unit label' value UO_0000285))</t>
  </si>
  <si>
    <t>assay measuring the dissociation constant [KD] of a MHC:ligand complex</t>
  </si>
  <si>
    <t>A MHC binding constant determination assay measuring equilibrium dissociation constant (KD).</t>
  </si>
  <si>
    <t>assay measuring a binding constant of a MHC:ligand complex' and (has_specified_output some 'equilibrium dissociation constant (KD)') and (has_specified_output some ('has measurement unit label' value UO_0000065))</t>
  </si>
  <si>
    <t>A purified MHC ligand binding equilibrium dissociation constant (KD) determination assay that uses radioactivity detection to detect loss of binding of a known reference ligand due to competition by the ligand under investigation.</t>
  </si>
  <si>
    <t>assay measuring the dissociation constant [KD] of a MHC:ligand complex' and ('has part' some 'radioactivity detection') and (has_specified_input some ('material entity' and ('has role' some 'competitive binding reference ligand role'))) and (has_specified_input some ('purified MHC molecule preparation' and ('has part' some 'MHC protein complex'))) and (has_specified_output some ('has measurement unit label' value UO_0000065))</t>
  </si>
  <si>
    <t>assay measuring the half life of a MHC:ligand complex</t>
  </si>
  <si>
    <t>A MHC binding constant determination assay measuring half life of binding.</t>
  </si>
  <si>
    <t>assay measuring a binding constant of a MHC:ligand complex' and (has_specified_output some 'half life of binding datum')</t>
  </si>
  <si>
    <t>assay measuring the half maximal effective concentration [EC50] of a MHC:ligand complex</t>
  </si>
  <si>
    <t>A MHC binding constant determination assay measuring half maximal effective concentration (EC50).</t>
  </si>
  <si>
    <t>assay measuring a binding constant of a MHC:ligand complex' and (has_specified_output some 'half maximal effective concentration (EC50)') and (has_specified_output some ('has measurement unit label' value UO_0000065))</t>
  </si>
  <si>
    <t>A MHC binding constant determination assay measuring half maximal inhibitory concentration (IC50).</t>
  </si>
  <si>
    <t>assay measuring a binding constant of a MHC:ligand complex' and (has_specified_output some 'half maximal inhibitory concentration (IC50)')</t>
  </si>
  <si>
    <t>assay measuring the off rate measurement [koff] of a MHC:ligand complex</t>
  </si>
  <si>
    <t>A MHC binding constant determination assay measuring binding off rate measurement data item (koff).</t>
  </si>
  <si>
    <t>assay measuring a binding constant of a MHC:ligand complex' and (has_specified_output some 'binding off rate measurement datum (koff)') and (has_specified_output some ('has measurement unit label' value UO_0000106))</t>
  </si>
  <si>
    <t>assay measuring the MHC ligand binding on rate [kon] of a MHC:ligand complex</t>
  </si>
  <si>
    <t>A MHC binding constant determination assay measuring binding on rate (kon).</t>
  </si>
  <si>
    <t>assay measuring a binding constant of a MHC:ligand complex' and (has_specified_output some 'binding on rate measurement datum (kon)')</t>
  </si>
  <si>
    <t>chromatography assay measuring the association constant [KA] of a B cell epitope:antibody complex</t>
  </si>
  <si>
    <t>A B cell epitope equilibrium association constant (KA) determination assay that uses an analytical chromatography assay.</t>
  </si>
  <si>
    <t>assay measuring the association constant [KA] of a B cell epitope:antibody complex' and ('has part' some 'analytical chromatography') and (has_specified_output some ('has measurement unit label' value UO_0000284))</t>
  </si>
  <si>
    <t>chromatography assay measuring the dissociation constant [KD] of a B cell epitope:antibody complex</t>
  </si>
  <si>
    <t>A B cell epitope equilibrium dissociation constant (KD) determination assay that uses an analytical chromatography assay.</t>
  </si>
  <si>
    <t>assay measuring the dissociation constant [KD] of a B cell epitope:antibody complex' and ('has part' some 'analytical chromatography') and (has_specified_output some ('has measurement unit label' value UO_0000065))</t>
  </si>
  <si>
    <t>hydrogen/deuterium exchange assay measuring binding of a B cell epitope:antibody complex</t>
  </si>
  <si>
    <t>A B cell epitope qualitative binding to antibody assay that uses a hydrogen/deuterium exchange assay.</t>
  </si>
  <si>
    <t>assay measuring qualitiative binding of a B cell epitope:antibody complex' and ('has part' some 'hydrogen/deuterium exchange assay')</t>
  </si>
  <si>
    <t>immunohistochemistry assay measuring binding of a B cell epitope:antibody complex</t>
  </si>
  <si>
    <t>A B cell epitope qualitative binding to antibody assay that uses an immunohistochemistry assay.</t>
  </si>
  <si>
    <t>assay measuring qualitiative binding of a B cell epitope:antibody complex' and ('has part' some immunohistochemistry)</t>
  </si>
  <si>
    <t>A T cell epitope recognition assay that uses a 3D structure determination of bound complex assay.</t>
  </si>
  <si>
    <t>3D structure determination assay, assay measuring binding of a T cell epitope:MHC:TCR complex</t>
  </si>
  <si>
    <t>assay measuring binding of a T cell epitope:MHC:TCR complex' and ('has part' some '3D structure determination of bound complex assay') and (has_specified_output some '3D structural organization datum')</t>
  </si>
  <si>
    <t>A MHC:ligand binding assay that uses a 3D structure determination of bound complex assay.</t>
  </si>
  <si>
    <t>3D structure determination of bound complex assay, assay measuring binding of a MHC:ligand complex</t>
  </si>
  <si>
    <t>assay measuring binding of a MHC:ligand complex' and ('has part' some '3D structure determination of bound complex assay') and (has_specified_output some '3D structural organization datum')</t>
  </si>
  <si>
    <t>in vivo assay measuring B cell epitope specific protection from infectious challenge based on pathogen burden</t>
  </si>
  <si>
    <t>A B cell epitope in vivo intervention experiment that uses a protection from challenge in vivo intervention experiment based on pathogen burden.</t>
  </si>
  <si>
    <t>has_specified_input some ('material entity' and ('has role' some 'pathogen role'))</t>
  </si>
  <si>
    <t>in vivo assay measuring B cell epitope specific protection from tumor challenge</t>
  </si>
  <si>
    <t>A B cell epitope in vivo intervention experiment that uses a protection from challenge in vivo intervention experiment based on tumor burden.</t>
  </si>
  <si>
    <t>has_specified_input some 'cancer cell line'</t>
  </si>
  <si>
    <t>microarray assay measuring binding of a B cell epitope:antibody complex</t>
  </si>
  <si>
    <t>A B cell epitope qualitative binding to antibody assay that uses a microarray.</t>
  </si>
  <si>
    <t>assay measuring qualitiative binding of a B cell epitope:antibody complex' and ('has part' some microarray)</t>
  </si>
  <si>
    <t>NMR assay measuring the dissociation constant [KD] of a B cell epitope:antibody complex</t>
  </si>
  <si>
    <t>A B cell epitope equilibrium dissociation constant (KD) determination assay that uses a nuclear magnetic resonance assay.</t>
  </si>
  <si>
    <t>assay measuring the dissociation constant [KD] of a B cell epitope:antibody complex' and ('has part' some 'nuclear magnetic resonance 3D structure determination assay') and (has_specified_output some ('has measurement unit label' value UO_0000065))</t>
  </si>
  <si>
    <t>A T cell epitope recognition assay that detects biological activity.</t>
  </si>
  <si>
    <t>assay measuring binding of a T cell epitope:MHC:TCR complex</t>
  </si>
  <si>
    <t>assay measuring binding of a T cell epitope:MHC:TCR complex' and (has_specified_output some ('information content entity' and ('is about' some ('process is result of' some 'MHC:epitope complex binding to TCR'))))</t>
  </si>
  <si>
    <t>biological activity assay measuring epitope specific chemokine (C-C motif) ligand 17 production by T cells</t>
  </si>
  <si>
    <t>A T cell epitope specific cytokine production assay that detects production of chemokine (C-C motif) ligand 17 production by T cells.</t>
  </si>
  <si>
    <t>biological activity assay measuring epitope specific cytokine production by T cells' and (has_specified_output some ('information content entity' and ('is about' some 'chemokine (C-C motif) ligand 17 production')))</t>
  </si>
  <si>
    <t>biological activity assay measuring epitope specific macrophage migration inhibitory factor (MIF) production by T cells</t>
  </si>
  <si>
    <t>A T cell epitope specific cytokine production assay that detects macrophage migration inhibitory factor (MIF) production by T cells.</t>
  </si>
  <si>
    <t>biological activity assay measuring epitope specific cytokine production by T cells' and (has_specified_output some ('information content entity' and ('is about' some 'macrophage migration inhibitory factor production')))</t>
  </si>
  <si>
    <t>biological activity assay measuring epitope specific oncostatin M production by T cells</t>
  </si>
  <si>
    <t>A T cell epitope specific cytokine production assay that detects oncostatin M production by T cells.</t>
  </si>
  <si>
    <t>biological activity assay measuring epitope specific cytokine production by T cells' and (has_specified_output some ('information content entity' and ('is about' some 'Oncostatin M production')))</t>
  </si>
  <si>
    <t>A T cell epitope recognition assay that quantitavely characterizes the binding of a TCR with a ligand by determining a binding constant.</t>
  </si>
  <si>
    <t>binding constant determination assay, assay measuring binding of a T cell epitope:MHC:TCR complex</t>
  </si>
  <si>
    <t>has_specified_output some 'binding constant'</t>
  </si>
  <si>
    <t>detection of specific nucleic acids with complementary probes assay measuring epitope specific chemokine (C-C motif) ligand 17 production by T cells</t>
  </si>
  <si>
    <t>An assay of epitope specific chemokine (C-C motif) ligand 17 production by T cells that uses a detection of specific nucleic acids with complementary probes assay.</t>
  </si>
  <si>
    <t>biological activity assay measuring epitope specific chemokine (C-C motif) ligand 17 production by T cells' and ('has part' some 'detection of specific nucleic acid polymers with complementary probes')</t>
  </si>
  <si>
    <t>cytometric bead array assay measuring epitope specific chemokine (C-C motif) ligand 22 production by T cells</t>
  </si>
  <si>
    <t>An assay of epitope specific chemokine (C-C motif) ligand 22 production by T cells that uses a cytometric bead array assay.</t>
  </si>
  <si>
    <t>biological activity assay measuring epitope specific chemokine (C-C motif) ligand 22 production by T cells' and ('has part' some 'cytometric bead array assay')</t>
  </si>
  <si>
    <t>in vitro assay measuring epitope specific T cell killing</t>
  </si>
  <si>
    <t>A T cell epitope specific killing assay that uses an in vitro cell killing assay.</t>
  </si>
  <si>
    <t>biological activity assay measuring epitope specific T cell killing' and ('has part' some 'in vitro cell killing assay')</t>
  </si>
  <si>
    <t>cytometric bead array assay measuring epitope specific granzyme A release by T cells</t>
  </si>
  <si>
    <t>A T cell epitope specific granzyme A release assay that uses a cytometric bead array assay.</t>
  </si>
  <si>
    <t>biological activity assay measuring epitope specific granzyme A release by T cells' and ('has part' some 'cytometric bead array assay')</t>
  </si>
  <si>
    <t>detection of specific nucleic acids with complementary probes assay measuring epitope specific granzyme A release by T cells</t>
  </si>
  <si>
    <t>A T cell epitope specific granzyme A release assay that uses a detection of specific nucleic acids with complementary probes assay.</t>
  </si>
  <si>
    <t>biological activity assay measuring epitope specific granzyme A release by T cells' and ('has part' some 'detection of specific nucleic acid polymers with complementary probes')</t>
  </si>
  <si>
    <t>cytometric bead array assay measuring epitope specific granzyme B release by T cells</t>
  </si>
  <si>
    <t>A T cell epitope specific granzyme B release assay that uses a cytometric bead array assay.</t>
  </si>
  <si>
    <t>biological activity assay measuring epitope specific granzyme B release by T cells' and ('has part' some 'cytometric bead array assay')</t>
  </si>
  <si>
    <t>detection of specific nucleic acids with complementary probes assay measuring epitope specific granzyme B release by T cells</t>
  </si>
  <si>
    <t>A T cell epitope specific granzyme B release assay that uses a detection of specific nucleic acids with complementary probes assay.</t>
  </si>
  <si>
    <t>biological activity assay measuring epitope specific granzyme B release by T cells' and ('has part' some 'detection of specific nucleic acid polymers with complementary probes')</t>
  </si>
  <si>
    <t>cytometric bead array assay measuring epitope specific macrophage migration inhibitory factor (MIF) production by T cells</t>
  </si>
  <si>
    <t>An assay of epitope specific macrophage migration inhibitory factor (MIF) production by T cells that uses a cytometric bead array assay.</t>
  </si>
  <si>
    <t>biological activity assay measuring epitope specific macrophage migration inhibitory factor (MIF) production by T cells' and ('has part' some 'cytometric bead array assay')</t>
  </si>
  <si>
    <t>cytometric bead array assay measuring epitope specific oncostatin M production by T cells</t>
  </si>
  <si>
    <t>An assay of epitope specific oncostatin M production by T cells that uses a cytometric bead array assay.</t>
  </si>
  <si>
    <t>biological activity assay measuring epitope specific oncostatin M production by T cells' and ('has part' some 'cytometric bead array assay')</t>
  </si>
  <si>
    <t>ELISPOT assay measuring epitope specific perforin release by T cells</t>
  </si>
  <si>
    <t>A T cell epitope specific perforin release assay that uses an ELISPOT assay.</t>
  </si>
  <si>
    <t>biological activity assay measuring epitope specific perforin release by T cells' and ('has part' some 'enzyme-linked immunospot assay')</t>
  </si>
  <si>
    <t>in vivo assay measuring epitope specific proliferation of T cells</t>
  </si>
  <si>
    <t>A T cell epitope specific proliferation assay that is performed in vivo.</t>
  </si>
  <si>
    <t>biological activity assay measuring epitope specific proliferation of T cells</t>
  </si>
  <si>
    <t>in vitro assay measuring epitope specific proliferation of T cells</t>
  </si>
  <si>
    <t>A T cell epitope specific proliferation assay that is performed on cells in vitro.</t>
  </si>
  <si>
    <t>A MHC:ligand binding assay that detects qualitative binding.</t>
  </si>
  <si>
    <t>assay measuring binding of a MHC:ligand complex</t>
  </si>
  <si>
    <t>An efficacy of T cell epitope intervention experiment that uses a protection from challenge in vivo intervention experiment.</t>
  </si>
  <si>
    <t>biological activity assay measuring T cell epitope specific in vivo activity' and ('has part' some 'protection from challenge in vivo intervention experiment')</t>
  </si>
  <si>
    <t>in vitro assay measuring T cell epitope specific suppression</t>
  </si>
  <si>
    <t>T cell epitope dependent biological activity assay that detects suppression of an in vitro response.</t>
  </si>
  <si>
    <t>MHC ligand assay</t>
  </si>
  <si>
    <t>An immune epitope assay that detects either the processing and presentation of a ligand by an antigen presenting cell or the binding of a ligand to an MHC molecule.</t>
  </si>
  <si>
    <t>binding assay, immune epitope assay</t>
  </si>
  <si>
    <t>immune epitope assay' and (has_specified_output some ('information content entity' and ('is about' some 'MHC protein complex binding to ligand')))</t>
  </si>
  <si>
    <t>enzyme-linked immunospot assay</t>
  </si>
  <si>
    <t>A cytometry assay in which cells are cultured on a surface coated with a capture antibody binding a secretory material of interest which subsequently gets stained resulting in a spot for each cell producing the secretory material of interest.</t>
  </si>
  <si>
    <t>(realizes some ('evaluant role' and ('inheres in' some 'cultured cell population'))) and (has_specified_input some 'cultured cell population'), (realizes some ('reagent role' and ('inheres in' some 'immunoglobulin complex, circulating'))) and (has_specified_input some 'immunoglobulin complex, circulating')</t>
  </si>
  <si>
    <t>(realizes some ('evaluant role' and ('inheres in' some 'cultured cell population'))) and (has_specified_input some 'cultured cell population')</t>
  </si>
  <si>
    <t>An assay that determines the 3-dimensional configuration of an input material.</t>
  </si>
  <si>
    <t>assay and (has_specified_output some '3D structural organization datum')</t>
  </si>
  <si>
    <t>ELISPOT assay measuring epitope specific interleukin-2 production by T cells</t>
  </si>
  <si>
    <t>An assay of epitope specific interleukin-2 production by T cells that uses an ELISPOT assay.</t>
  </si>
  <si>
    <t>biological activity assay measuring epitope specific interleukin-2 production by T cells' and ('has part' some 'enzyme-linked immunospot assay')</t>
  </si>
  <si>
    <t>An immune epitope assay that detects T cell epitope recognition.</t>
  </si>
  <si>
    <t>immune epitope assay</t>
  </si>
  <si>
    <t>immune epitope assay' and (has_specified_output some ('information content entity' and ('is about' some ('MHC:epitope complex binding to TCR' or ('process is result of' some 'MHC:epitope complex binding to TCR')))))</t>
  </si>
  <si>
    <t>ELISPOT assay measuring epitope specific interferon-gamma production by T cells</t>
  </si>
  <si>
    <t>An assay of epitope specific interferon-gamma production by T cells that uses an ELISPOT assay.</t>
  </si>
  <si>
    <t>biological activity assay measuring epitope specific interferon-gamma production by T cells' and ('has part' some 'enzyme-linked immunospot assay')</t>
  </si>
  <si>
    <t>assay measuring qualitiative binding of a T cell epitope:MHC:TCR complex</t>
  </si>
  <si>
    <t>A T cell epitope recognition assay that qualitatively detects MHC:epitope complex binding to TCR.</t>
  </si>
  <si>
    <t>binding assay, assay measuring binding of a T cell epitope:MHC:TCR complex</t>
  </si>
  <si>
    <t>assay measuring binding of a T cell epitope:MHC:TCR complex' and (has_specified_output some ('information content entity' and ('is about' some 'MHC:epitope complex binding to TCR')))</t>
  </si>
  <si>
    <t>A MHC ligand assay that determines what ligands are processed and loaded onto MHC molecules by eluting ligands and identifying them.</t>
  </si>
  <si>
    <t>MHC ligand assay' and (has_specified_input some (cell and ('has part' some 'MHC protein complex'))) and (has_specified_output some ('information content entity' and ('is about' some ('MHC protein complex binding to ligand' and ('process is result of' some 'antigen processing and presentation')))))</t>
  </si>
  <si>
    <t>A MHC ligand assay that detects the binding of a ligand to an MHC molecule.</t>
  </si>
  <si>
    <t>MHC ligand assay' and (has_specified_output some ('information content entity' and ('is about' some ('MHC protein complex binding to ligand' and (not ('process is result of' some 'antigen processing and presentation'))))))</t>
  </si>
  <si>
    <t>An immune epitope assay that detects B cell epitope recognition.</t>
  </si>
  <si>
    <t>immune epitope assay' and (has_specified_output some ('information content entity' and ('is about' some ('immunoglobulin binding to epitope' or ('process is result of' some 'immunoglobulin binding to epitope')))))</t>
  </si>
  <si>
    <t>An assay that detects the binding of an epitope to an adaptive immune receptor or a immune response process resulting from such a binding event</t>
  </si>
  <si>
    <t>A T cell epitope dependent biological activity assay that detects cytokine production.</t>
  </si>
  <si>
    <t>has_specified_output some ('information content entity' and ('is about' some 'cytokine production'))</t>
  </si>
  <si>
    <t>A T cell epitope dependent biological activity assay that detects the killing of an antigen presenting cell (APC) by a T cell whose TCR recognizes an epitope presented by the APC.</t>
  </si>
  <si>
    <t>assay measuring T cell epitope specific biological activity' and ('has part' some 'cell-cell killing assay') and (has_specified_output some ('information content entity' and ('is about' some 'T cell mediated cytotoxicity')))</t>
  </si>
  <si>
    <t>A T cell epitope dependent biological activity assay that detects T cell proliferation.</t>
  </si>
  <si>
    <t>assay measuring T cell epitope specific biological activity' and ('has part' some 'cell proliferation assay') and (has_specified_output some ('information content entity' and ('is about' some 'T cell proliferation')))</t>
  </si>
  <si>
    <t>51 chromium assay measuring epitope specific T cell killing</t>
  </si>
  <si>
    <t>A T cell epitope specific killing assay performed in vitro that uses a chromium release assay.</t>
  </si>
  <si>
    <t>in vitro assay measuring epitope specific T cell killing' and ('has part' some 'chromium release assay')</t>
  </si>
  <si>
    <t>ELISA measuring epitope specific interferon-gamma production by T cells</t>
  </si>
  <si>
    <t>An assay of epitope specific interferon-gamma production by T cells that uses an ELISA.</t>
  </si>
  <si>
    <t>biological activity assay measuring epitope specific interferon-gamma production by T cells' and ('has part' some 'enzyme-linked immunosorbent assay')</t>
  </si>
  <si>
    <t>ELISA measuring epitope specific interleukin-2 production by T cells</t>
  </si>
  <si>
    <t>An assay of epitope specific interleukin-2 production by T cells that uses an ELISA.</t>
  </si>
  <si>
    <t>biological activity assay measuring epitope specific interleukin-2 production by T cells' and ('has part' some 'enzyme-linked immunosorbent assay')</t>
  </si>
  <si>
    <t>ELISA measuring epitope specific interleukin-4 production by T cells</t>
  </si>
  <si>
    <t>An assay of epitope specific interleukin-4 production by T cells that uses an ELISA.</t>
  </si>
  <si>
    <t>biological activity assay measuring epitope specific interleukin-4 production by T cells' and ('has part' some 'enzyme-linked immunosorbent assay')</t>
  </si>
  <si>
    <t>ELISA measuring epitope specific interleukin-5 production by T cells</t>
  </si>
  <si>
    <t>An assay of epitope specific interleukin-5 production by T cells that uses an ELISA.</t>
  </si>
  <si>
    <t>biological activity assay measuring epitope specific interleukin-5 production by T cells' and ('has part' some 'enzyme-linked immunosorbent assay')</t>
  </si>
  <si>
    <t>ELISA measuring epitope specific tumor necrosis factor production by T cells</t>
  </si>
  <si>
    <t>A T cell epitope specific tumor necrosis factor production assay that uses an ELISA.</t>
  </si>
  <si>
    <t>ELISA measuring epitope specific tumor necrosis factor superfamily cytokine production by T cells, biological activity assay measuring epitope specific tumor necrosis factor production by T cells</t>
  </si>
  <si>
    <t>biological activity assay measuring epitope specific tumor necrosis factor production by T cells' and ('has part' some 'enzyme-linked immunosorbent assay')</t>
  </si>
  <si>
    <t>ELISA measuring epitope specific interleukin-10 production by T cells</t>
  </si>
  <si>
    <t>An assay of epitope specific interleukin-10 production by T cells that uses an ELISA.</t>
  </si>
  <si>
    <t>biological activity assay measuring epitope specific interleukin-10 production by T cells' and ('has part' some 'enzyme-linked immunosorbent assay')</t>
  </si>
  <si>
    <t>ELISA measuring epitope specific granulocyte macrophage colony-stimulating factor production by T cells</t>
  </si>
  <si>
    <t>An assay of epitope specific granulocyte macrophage colony stimulating factor production by T cells that uses an ELISA.</t>
  </si>
  <si>
    <t>biological activity assay measuring epitope specific granulocyte macrophage colony stimulating factor production by T cells' and ('has part' some 'enzyme-linked immunosorbent assay')</t>
  </si>
  <si>
    <t>ELISA measuring epitope specific interleukin-6 production by T cells</t>
  </si>
  <si>
    <t>An assay of epitope specific interleukin-6 production by T cells that uses an ELISA.</t>
  </si>
  <si>
    <t>biological activity assay measuring epitope specific interleukin-6 production by T cells' and ('has part' some 'enzyme-linked immunosorbent assay')</t>
  </si>
  <si>
    <t>ELISA measuring epitope specific interleukin-13 production by T cells</t>
  </si>
  <si>
    <t>An assay of epitope specific interleukin-13 production by T cells that uses an ELISA.</t>
  </si>
  <si>
    <t>biological activity assay measuring epitope specific interleukin-13 production by T cells' and ('has part' some 'enzyme-linked immunosorbent assay')</t>
  </si>
  <si>
    <t>ELISA measuring epitope specific interleukin-12 production by T cells</t>
  </si>
  <si>
    <t>An assay of epitope specific interleukin-12 production by T cells that uses an ELISA.</t>
  </si>
  <si>
    <t>biological activity assay measuring epitope specific interleukin-12 production by T cells' and ('has part' some 'enzyme-linked immunosorbent assay')</t>
  </si>
  <si>
    <t>ELISA measuring epitope specific interleukin-1 beta production by T cells</t>
  </si>
  <si>
    <t>An assay of epitope specific interleukin-1 beta production by T cells that uses an ELISA.</t>
  </si>
  <si>
    <t>biological activity assay measuring epitope specific interleukin-1 beta production by T cells' and ('has part' some 'enzyme-linked immunosorbent assay')</t>
  </si>
  <si>
    <t>ELISA measuring epitope specific interleukin-17 production by T cells</t>
  </si>
  <si>
    <t>An assay of epitope specific interleukin-17 production by T cells that uses an ELISA.</t>
  </si>
  <si>
    <t>biological activity assay measuring epitope specific interleukin-17 production by T cells' and ('has part' some 'enzyme-linked immunosorbent assay')</t>
  </si>
  <si>
    <t>ELISA measuring epitope specific interleukin-18 production by T cells</t>
  </si>
  <si>
    <t>An assay of epitope specific interleukin-18 production by T cells that uses an ELISA.</t>
  </si>
  <si>
    <t>biological activity assay measuring epitope specific interleukin-18 production by T cells' and ('has part' some 'enzyme-linked immunosorbent assay')</t>
  </si>
  <si>
    <t>ELISPOT assay measuring epitope specific interleukin-4 production by T cells</t>
  </si>
  <si>
    <t>An assay of epitope specific interleukin-4 production by T cells that uses an ELISPOT assay.</t>
  </si>
  <si>
    <t>biological activity assay measuring epitope specific interleukin-4 production by T cells' and ('has part' some 'enzyme-linked immunospot assay')</t>
  </si>
  <si>
    <t>ELISPOT assay measuring epitope specific tumor necrosis factor production by T cells</t>
  </si>
  <si>
    <t>A T cell epitope specific tumor necrosis factor production assay that uses an ELISPOT assay.</t>
  </si>
  <si>
    <t>ELISPOT assay measuring epitope specific tumor necrosis factor superfamily cytokine production by T cells, biological activity assay measuring epitope specific tumor necrosis factor production by T cells</t>
  </si>
  <si>
    <t>biological activity assay measuring epitope specific tumor necrosis factor production by T cells' and ('has part' some 'enzyme-linked immunospot assay')</t>
  </si>
  <si>
    <t>ELISPOT assay measuring epitope specific interleukin-10 production by T cells</t>
  </si>
  <si>
    <t>An assay of epitope specific interleukin-10 production by T cells that uses an ELISPOT assay.</t>
  </si>
  <si>
    <t>biological activity assay measuring epitope specific interleukin-10 production by T cells' and ('has part' some 'enzyme-linked immunospot assay')</t>
  </si>
  <si>
    <t>ELISPOT assay measuring epitope specific interleukin-13 production by T cells</t>
  </si>
  <si>
    <t>An assay of epitope specific interleukin-13 production by T cells that uses an ELISPOT assay.</t>
  </si>
  <si>
    <t>biological activity assay measuring epitope specific interleukin-13 production by T cells' and ('has part' some 'enzyme-linked immunospot assay')</t>
  </si>
  <si>
    <t>intracellular cytokine staining assay measuring epitope specific interferon-gamma production by T cells</t>
  </si>
  <si>
    <t>An assay of epitope specific interferon-gamma production by T cells that uses an intracellular cytokine staining assay.</t>
  </si>
  <si>
    <t>biological activity assay measuring epitope specific interferon-gamma production by T cells' and ('has part' some 'flow cytometry assay')</t>
  </si>
  <si>
    <t>intracellular cytokine staining assay measuring epitope specific interleukin-2 production by T cells</t>
  </si>
  <si>
    <t>An assay of epitope specific interleukin-2 production by T cells that uses an intracellular cytokine staining assay.</t>
  </si>
  <si>
    <t>biological activity assay measuring epitope specific interleukin-2 production by T cells' and ('has part' some 'flow cytometry assay')</t>
  </si>
  <si>
    <t>intracellular cytokine staining assay measuring epitope specific tumor necrosis factor production by T cells</t>
  </si>
  <si>
    <t>A T cell epitope specific tumor necrosis factor production assay that uses an intracellular cytokine staining assay.</t>
  </si>
  <si>
    <t>intracellular cytokine staining assay measuring epitope specific tumor necrosis factor superfamily cytokine production by T cells, biological activity assay measuring epitope specific tumor necrosis factor production by T cells</t>
  </si>
  <si>
    <t>biological activity assay measuring epitope specific tumor necrosis factor production by T cells' and ('has part' some 'flow cytometry assay')</t>
  </si>
  <si>
    <t>intracellular cytokine staining assay measuring epitope specific interleukin-4 production by T cells</t>
  </si>
  <si>
    <t>An assay of epitope specific interleukin-4 production by T cells that uses an intracellular cytokine staining assay.</t>
  </si>
  <si>
    <t>biological activity assay measuring epitope specific interleukin-4 production by T cells' and ('has part' some 'flow cytometry assay')</t>
  </si>
  <si>
    <t>intracellular cytokine staining assay measuring epitope specific interleukin-10 production by T cells</t>
  </si>
  <si>
    <t>An assay of epitope specific interleukin-10 production by T cells that uses an intracellular cytokine staining assay.</t>
  </si>
  <si>
    <t>biological activity assay measuring epitope specific interleukin-10 production by T cells' and ('has part' some 'flow cytometry assay')</t>
  </si>
  <si>
    <t>intracellular cytokine staining assay measuring epitope specific interleukin-17 production by T cells</t>
  </si>
  <si>
    <t>An assay of epitope specific interleukin-17 production by T cells that uses an intracellular cytokine staining assay.</t>
  </si>
  <si>
    <t>biological activity assay measuring epitope specific interleukin-17 production by T cells' and ('has part' some 'flow cytometry assay')</t>
  </si>
  <si>
    <t>MHC tetramer/multimer assay measuring binding of a T cell epitope:MHC:TCR complex</t>
  </si>
  <si>
    <t>A T cell epitope qualitative binding assay that uses an MHC multimer staining assay.</t>
  </si>
  <si>
    <t>assay measuring qualitiative binding of a T cell epitope:MHC:TCR complex' and ((realizes some ('reagent role' and ('inheres in' some 'fluorescently labeled MHC multimer'))) and (has_specified_input some 'fluorescently labeled MHC multimer')) and ('has part' some 'flow cytometry assay')</t>
  </si>
  <si>
    <t>3H-thymidine assay measuring epitope specific proliferation of T cells</t>
  </si>
  <si>
    <t>A T cell epitope specific proliferation assay performed on cells in vitro that uses a tritiated thymidine incorporation assay.</t>
  </si>
  <si>
    <t>in vitro assay measuring epitope specific proliferation of T cells' and ('has part' some 'tritiated thymidine incorporation assay')</t>
  </si>
  <si>
    <t>BrdU assay measuring epitope specific proliferation of T cells</t>
  </si>
  <si>
    <t>A T cell epitope specific proliferation assay performed on cells in vitro that uses a BrdU incorporation assay.</t>
  </si>
  <si>
    <t>in vitro assay measuring epitope specific proliferation of T cells' and ('has part' some 'BrdU incorporation assay')</t>
  </si>
  <si>
    <t>assay detecting IFN-gamma production</t>
  </si>
  <si>
    <t>an assay that determines information about the production of the cytokine interferon gamma</t>
  </si>
  <si>
    <t>assay and (has_specified_output some ('measurement datum' and ('is about' some 'interferon-gamma production')))</t>
  </si>
  <si>
    <t>chromium release assay</t>
  </si>
  <si>
    <t>An in vitro cell killing assay in which radioactive chromium is absorbed by cells and released into supernatant when the cells die. The amount of radioactivity measured in the supernatant is a proxy for the number of cells that have died.</t>
  </si>
  <si>
    <t>(realizes some ('molecular label role' and ('inheres in' some chromium-51))) and (has_specified_input some chromium-51)</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</si>
</sst>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font>
    <font>
      <b/>
      <sz val="14.0"/>
      <name val="Calibri"/>
    </font>
    <font>
      <b/>
      <sz val="14.0"/>
      <color rgb="FF3C78D8"/>
      <name val="Calibri"/>
    </font>
    <font>
      <b/>
      <sz val="14.0"/>
      <color rgb="FF24A83B"/>
      <name val="Calibri"/>
    </font>
    <font>
      <b/>
      <sz val="14.0"/>
      <color rgb="FFFF9900"/>
      <name val="Calibri"/>
    </font>
    <font>
      <b/>
      <sz val="14.0"/>
      <color rgb="FFC00000"/>
      <name val="Calibri"/>
    </font>
    <font>
      <b/>
      <sz val="14.0"/>
      <name val="Arial"/>
    </font>
    <font>
      <sz val="11.0"/>
      <color rgb="FF000000"/>
      <name val="Calibri"/>
    </font>
    <font>
      <sz val="11.0"/>
      <color rgb="FF0070C0"/>
      <name val="Calibri"/>
    </font>
    <font>
      <sz val="11.0"/>
      <color rgb="FF00B050"/>
      <name val="Calibri"/>
    </font>
    <font>
      <sz val="11.0"/>
      <color rgb="FFE36C09"/>
      <name val="Calibri"/>
    </font>
    <font>
      <sz val="11.0"/>
      <color rgb="FFC00000"/>
      <name val="Calibri"/>
    </font>
    <font>
      <sz val="11.0"/>
      <name val="Arial"/>
    </font>
    <font>
      <u/>
      <sz val="11.0"/>
      <color rgb="FF0000FF"/>
      <name val="Calibri"/>
    </font>
    <font>
      <sz val="11.0"/>
      <color rgb="FF3C78D8"/>
      <name val="Calibri"/>
    </font>
    <font>
      <sz val="11.0"/>
      <name val="Calibri"/>
    </font>
    <font>
      <sz val="11.0"/>
      <color rgb="FF24A83B"/>
      <name val="Calibri"/>
    </font>
    <font>
      <sz val="11.0"/>
      <color rgb="FFFF9900"/>
      <name val="Calibri"/>
    </font>
    <font>
      <sz val="10.0"/>
      <name val="Arial"/>
    </font>
    <font>
      <u/>
      <sz val="11.0"/>
      <color rgb="FF0000FF"/>
      <name val="Calibri"/>
    </font>
    <font>
      <sz val="11.0"/>
      <color rgb="FF333333"/>
      <name val="Calibri"/>
    </font>
    <font>
      <sz val="13.0"/>
      <color rgb="FF000000"/>
      <name val="Arial"/>
    </font>
    <font/>
    <font>
      <sz val="10.0"/>
      <color rgb="FF000000"/>
      <name val="Calibri"/>
    </font>
    <font>
      <u/>
      <sz val="11.0"/>
      <color rgb="FF0000FF"/>
      <name val="Calibri"/>
    </font>
    <font>
      <b/>
      <sz val="18.0"/>
      <name val="Arial"/>
    </font>
    <font>
      <u/>
      <sz val="10.0"/>
      <color rgb="FF0000FF"/>
      <name val="Arial"/>
    </font>
  </fonts>
  <fills count="6">
    <fill>
      <patternFill patternType="none"/>
    </fill>
    <fill>
      <patternFill patternType="lightGray"/>
    </fill>
    <fill>
      <patternFill patternType="solid">
        <fgColor rgb="FFFFFFFF"/>
        <bgColor rgb="FFFFFFFF"/>
      </patternFill>
    </fill>
    <fill>
      <patternFill patternType="solid">
        <fgColor rgb="FFA5A5A5"/>
        <bgColor rgb="FFA5A5A5"/>
      </patternFill>
    </fill>
    <fill>
      <patternFill patternType="solid">
        <fgColor rgb="FFA4C2F4"/>
        <bgColor rgb="FFA4C2F4"/>
      </patternFill>
    </fill>
    <fill>
      <patternFill patternType="solid">
        <fgColor rgb="FFB4A7D6"/>
        <bgColor rgb="FFB4A7D6"/>
      </patternFill>
    </fill>
  </fills>
  <borders count="9">
    <border>
      <left/>
      <right/>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border>
    <border>
      <left/>
      <right style="thin">
        <color rgb="FF000000"/>
      </right>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99">
    <xf borderId="0" fillId="0" fontId="0" numFmtId="0" xfId="0" applyAlignment="1" applyFont="1">
      <alignment/>
    </xf>
    <xf borderId="0" fillId="0" fontId="1" numFmtId="0" xfId="0" applyAlignment="1" applyFont="1">
      <alignment horizontal="center" vertical="center" wrapText="1"/>
    </xf>
    <xf borderId="0" fillId="0" fontId="2" numFmtId="0" xfId="0" applyAlignment="1" applyFont="1">
      <alignment horizontal="center" vertical="center" wrapText="1"/>
    </xf>
    <xf borderId="0" fillId="2" fontId="2" numFmtId="0" xfId="0" applyAlignment="1" applyBorder="1" applyFill="1" applyFont="1">
      <alignment horizontal="center" vertical="center" wrapText="1"/>
    </xf>
    <xf borderId="0" fillId="0" fontId="3" numFmtId="0" xfId="0" applyAlignment="1" applyFont="1">
      <alignment horizontal="center" vertical="center" wrapText="1"/>
    </xf>
    <xf borderId="0" fillId="0" fontId="4" numFmtId="0" xfId="0" applyAlignment="1" applyFont="1">
      <alignment horizontal="center" vertical="center" wrapText="1"/>
    </xf>
    <xf borderId="0" fillId="2" fontId="4" numFmtId="0" xfId="0" applyAlignment="1" applyBorder="1" applyFont="1">
      <alignment vertical="center" wrapText="1"/>
    </xf>
    <xf borderId="0" fillId="0" fontId="5" numFmtId="0" xfId="0" applyAlignment="1" applyFont="1">
      <alignment vertical="center" wrapText="1"/>
    </xf>
    <xf borderId="0" fillId="0" fontId="6" numFmtId="0" xfId="0" applyAlignment="1" applyFont="1">
      <alignment horizontal="center"/>
    </xf>
    <xf borderId="0" fillId="3" fontId="7" numFmtId="0" xfId="0" applyAlignment="1" applyBorder="1" applyFill="1" applyFont="1">
      <alignment horizontal="left" vertical="center" wrapText="1"/>
    </xf>
    <xf borderId="0" fillId="3" fontId="8" numFmtId="0" xfId="0" applyAlignment="1" applyBorder="1" applyFont="1">
      <alignment horizontal="left" vertical="center" wrapText="1"/>
    </xf>
    <xf borderId="0" fillId="3" fontId="8" numFmtId="0" xfId="0" applyAlignment="1" applyBorder="1" applyFont="1">
      <alignment vertical="center" wrapText="1"/>
    </xf>
    <xf borderId="0" fillId="3" fontId="7" numFmtId="0" xfId="0" applyAlignment="1" applyBorder="1" applyFont="1">
      <alignment vertical="center" wrapText="1"/>
    </xf>
    <xf borderId="0" fillId="3" fontId="9" numFmtId="0" xfId="0" applyAlignment="1" applyBorder="1" applyFont="1">
      <alignment vertical="center" wrapText="1"/>
    </xf>
    <xf borderId="0" fillId="3" fontId="10" numFmtId="0" xfId="0" applyAlignment="1" applyBorder="1" applyFont="1">
      <alignment vertical="center" wrapText="1"/>
    </xf>
    <xf borderId="0" fillId="3" fontId="11" numFmtId="0" xfId="0" applyAlignment="1" applyBorder="1" applyFont="1">
      <alignment vertical="center" wrapText="1"/>
    </xf>
    <xf borderId="0" fillId="3" fontId="12" numFmtId="0" xfId="0" applyBorder="1" applyFont="1"/>
    <xf borderId="1" fillId="0" fontId="13" numFmtId="0" xfId="0" applyAlignment="1" applyBorder="1" applyFont="1">
      <alignment vertical="center" wrapText="1"/>
    </xf>
    <xf borderId="2" fillId="0" fontId="14" numFmtId="0" xfId="0" applyAlignment="1" applyBorder="1" applyFont="1">
      <alignment vertical="center" wrapText="1"/>
    </xf>
    <xf borderId="2" fillId="4" fontId="15" numFmtId="0" xfId="0" applyAlignment="1" applyBorder="1" applyFill="1" applyFont="1">
      <alignment vertical="center" wrapText="1"/>
    </xf>
    <xf borderId="2" fillId="0" fontId="15" numFmtId="0" xfId="0" applyAlignment="1" applyBorder="1" applyFont="1">
      <alignment vertical="center" wrapText="1"/>
    </xf>
    <xf borderId="2" fillId="0" fontId="16" numFmtId="0" xfId="0" applyAlignment="1" applyBorder="1" applyFont="1">
      <alignment vertical="center" wrapText="1"/>
    </xf>
    <xf borderId="2" fillId="0" fontId="17" numFmtId="0" xfId="0" applyAlignment="1" applyBorder="1" applyFont="1">
      <alignment vertical="center" wrapText="1"/>
    </xf>
    <xf borderId="2" fillId="0" fontId="11" numFmtId="0" xfId="0" applyAlignment="1" applyBorder="1" applyFont="1">
      <alignment vertical="center" wrapText="1"/>
    </xf>
    <xf borderId="2" fillId="0" fontId="18" numFmtId="0" xfId="0" applyBorder="1" applyFont="1"/>
    <xf borderId="3" fillId="0" fontId="18" numFmtId="0" xfId="0" applyBorder="1" applyFont="1"/>
    <xf borderId="4" fillId="0" fontId="19" numFmtId="0" xfId="0" applyAlignment="1" applyBorder="1" applyFont="1">
      <alignment vertical="center" wrapText="1"/>
    </xf>
    <xf borderId="0" fillId="0" fontId="15" numFmtId="0" xfId="0" applyAlignment="1" applyFont="1">
      <alignment vertical="center" wrapText="1"/>
    </xf>
    <xf borderId="0" fillId="0" fontId="14" numFmtId="0" xfId="0" applyAlignment="1" applyFont="1">
      <alignment vertical="center" wrapText="1"/>
    </xf>
    <xf borderId="0" fillId="0" fontId="16" numFmtId="0" xfId="0" applyAlignment="1" applyFont="1">
      <alignment vertical="center" wrapText="1"/>
    </xf>
    <xf borderId="0" fillId="0" fontId="17" numFmtId="0" xfId="0" applyAlignment="1" applyFont="1">
      <alignment vertical="center" wrapText="1"/>
    </xf>
    <xf borderId="0" fillId="0" fontId="11" numFmtId="0" xfId="0" applyAlignment="1" applyFont="1">
      <alignment vertical="center" wrapText="1"/>
    </xf>
    <xf borderId="0" fillId="0" fontId="12" numFmtId="0" xfId="0" applyFont="1"/>
    <xf borderId="5" fillId="0" fontId="12" numFmtId="0" xfId="0" applyBorder="1" applyFont="1"/>
    <xf borderId="6" fillId="5" fontId="7" numFmtId="0" xfId="0" applyAlignment="1" applyBorder="1" applyFill="1" applyFont="1">
      <alignment vertical="center" wrapText="1"/>
    </xf>
    <xf borderId="7" fillId="5" fontId="8" numFmtId="0" xfId="0" applyAlignment="1" applyBorder="1" applyFont="1">
      <alignment vertical="center" wrapText="1"/>
    </xf>
    <xf borderId="7" fillId="5" fontId="7" numFmtId="0" xfId="0" applyAlignment="1" applyBorder="1" applyFont="1">
      <alignment vertical="center" wrapText="1"/>
    </xf>
    <xf borderId="7" fillId="5" fontId="9" numFmtId="0" xfId="0" applyAlignment="1" applyBorder="1" applyFont="1">
      <alignment vertical="center" wrapText="1"/>
    </xf>
    <xf borderId="7" fillId="5" fontId="10" numFmtId="0" xfId="0" applyAlignment="1" applyBorder="1" applyFont="1">
      <alignment vertical="center" wrapText="1"/>
    </xf>
    <xf borderId="7" fillId="5" fontId="11" numFmtId="0" xfId="0" applyAlignment="1" applyBorder="1" applyFont="1">
      <alignment vertical="center" wrapText="1"/>
    </xf>
    <xf borderId="7" fillId="0" fontId="18" numFmtId="0" xfId="0" applyBorder="1" applyFont="1"/>
    <xf borderId="8" fillId="0" fontId="18" numFmtId="0" xfId="0" applyBorder="1" applyFont="1"/>
    <xf borderId="0" fillId="0" fontId="15" numFmtId="0" xfId="0" applyAlignment="1" applyFont="1">
      <alignment vertical="center" wrapText="1"/>
    </xf>
    <xf borderId="2" fillId="0" fontId="12" numFmtId="0" xfId="0" applyBorder="1" applyFont="1"/>
    <xf borderId="3" fillId="0" fontId="12" numFmtId="0" xfId="0" applyBorder="1" applyFont="1"/>
    <xf borderId="0" fillId="0" fontId="18" numFmtId="0" xfId="0" applyFont="1"/>
    <xf borderId="5" fillId="0" fontId="18" numFmtId="0" xfId="0" applyBorder="1" applyFont="1"/>
    <xf borderId="7" fillId="0" fontId="12" numFmtId="0" xfId="0" applyBorder="1" applyFont="1"/>
    <xf borderId="8" fillId="0" fontId="12" numFmtId="0" xfId="0" applyBorder="1" applyFont="1"/>
    <xf borderId="0" fillId="0" fontId="7" numFmtId="0" xfId="0" applyAlignment="1" applyFont="1">
      <alignment vertical="center" wrapText="1"/>
    </xf>
    <xf borderId="0" fillId="0" fontId="10" numFmtId="0" xfId="0" applyAlignment="1" applyFont="1">
      <alignment vertical="center" wrapText="1"/>
    </xf>
    <xf borderId="0" fillId="2" fontId="7" numFmtId="0" xfId="0" applyAlignment="1" applyFont="1">
      <alignment vertical="center" wrapText="1"/>
    </xf>
    <xf borderId="0" fillId="0" fontId="14" numFmtId="0" xfId="0" applyAlignment="1" applyFont="1">
      <alignment horizontal="left" vertical="center" wrapText="1"/>
    </xf>
    <xf borderId="0" fillId="0" fontId="7" numFmtId="0" xfId="0" applyAlignment="1" applyFont="1">
      <alignment horizontal="left" vertical="center" wrapText="1"/>
    </xf>
    <xf borderId="6" fillId="5" fontId="7" numFmtId="0" xfId="0" applyAlignment="1" applyBorder="1" applyFont="1">
      <alignment horizontal="left" vertical="center" wrapText="1"/>
    </xf>
    <xf borderId="7" fillId="5" fontId="8" numFmtId="0" xfId="0" applyAlignment="1" applyBorder="1" applyFont="1">
      <alignment horizontal="left" vertical="center" wrapText="1"/>
    </xf>
    <xf borderId="7" fillId="5" fontId="7" numFmtId="0" xfId="0" applyAlignment="1" applyBorder="1" applyFont="1">
      <alignment horizontal="left" vertical="center" wrapText="1"/>
    </xf>
    <xf borderId="0" fillId="2" fontId="14" numFmtId="0" xfId="0" applyAlignment="1" applyBorder="1" applyFont="1">
      <alignment vertical="center" wrapText="1"/>
    </xf>
    <xf borderId="0" fillId="0" fontId="7" numFmtId="0" xfId="0" applyAlignment="1" applyFont="1">
      <alignment horizontal="left" vertical="center" wrapText="1"/>
    </xf>
    <xf borderId="0" fillId="2" fontId="11" numFmtId="0" xfId="0" applyAlignment="1" applyBorder="1" applyFont="1">
      <alignment vertical="center" wrapText="1"/>
    </xf>
    <xf borderId="7" fillId="5" fontId="20" numFmtId="0" xfId="0" applyAlignment="1" applyBorder="1" applyFont="1">
      <alignment horizontal="left" vertical="center" wrapText="1"/>
    </xf>
    <xf borderId="7" fillId="5" fontId="15" numFmtId="0" xfId="0" applyAlignment="1" applyBorder="1" applyFont="1">
      <alignment vertical="center" wrapText="1"/>
    </xf>
    <xf borderId="0" fillId="0" fontId="14" numFmtId="0" xfId="0" applyAlignment="1" applyFont="1">
      <alignment vertical="center" wrapText="1"/>
    </xf>
    <xf borderId="0" fillId="0" fontId="16" numFmtId="0" xfId="0" applyAlignment="1" applyFont="1">
      <alignment vertical="center" wrapText="1"/>
    </xf>
    <xf borderId="0" fillId="0" fontId="7" numFmtId="0" xfId="0" applyAlignment="1" applyFont="1">
      <alignment vertical="center" wrapText="1"/>
    </xf>
    <xf borderId="7" fillId="5" fontId="7" numFmtId="0" xfId="0" applyAlignment="1" applyBorder="1" applyFont="1">
      <alignment vertical="center" wrapText="1"/>
    </xf>
    <xf borderId="7" fillId="0" fontId="21" numFmtId="0" xfId="0" applyBorder="1" applyFont="1"/>
    <xf borderId="8" fillId="0" fontId="21" numFmtId="0" xfId="0" applyBorder="1" applyFont="1"/>
    <xf borderId="2" fillId="0" fontId="15" numFmtId="0" xfId="0" applyAlignment="1" applyBorder="1" applyFont="1">
      <alignment vertical="center" wrapText="1"/>
    </xf>
    <xf borderId="2" fillId="0" fontId="22" numFmtId="0" xfId="0" applyBorder="1" applyFont="1"/>
    <xf borderId="3" fillId="0" fontId="22" numFmtId="0" xfId="0" applyBorder="1" applyFont="1"/>
    <xf borderId="0" fillId="0" fontId="21" numFmtId="0" xfId="0" applyFont="1"/>
    <xf borderId="5" fillId="0" fontId="22" numFmtId="0" xfId="0" applyBorder="1" applyFont="1"/>
    <xf borderId="7" fillId="5" fontId="0" numFmtId="0" xfId="0" applyAlignment="1" applyBorder="1" applyFont="1">
      <alignment vertical="center" wrapText="1"/>
    </xf>
    <xf borderId="8" fillId="5" fontId="0" numFmtId="0" xfId="0" applyAlignment="1" applyBorder="1" applyFont="1">
      <alignment vertical="center" wrapText="1"/>
    </xf>
    <xf borderId="2" fillId="5" fontId="0" numFmtId="0" xfId="0" applyAlignment="1" applyBorder="1" applyFont="1">
      <alignment vertical="center" wrapText="1"/>
    </xf>
    <xf borderId="3" fillId="5" fontId="0" numFmtId="0" xfId="0" applyAlignment="1" applyBorder="1" applyFont="1">
      <alignment vertical="center" wrapText="1"/>
    </xf>
    <xf borderId="0" fillId="5" fontId="0" numFmtId="0" xfId="0" applyAlignment="1" applyBorder="1" applyFont="1">
      <alignment vertical="center" wrapText="1"/>
    </xf>
    <xf borderId="5" fillId="5" fontId="0" numFmtId="0" xfId="0" applyAlignment="1" applyBorder="1" applyFont="1">
      <alignment vertical="center" wrapText="1"/>
    </xf>
    <xf borderId="7" fillId="5" fontId="23" numFmtId="0" xfId="0" applyAlignment="1" applyBorder="1" applyFont="1">
      <alignment vertical="center" wrapText="1"/>
    </xf>
    <xf borderId="8" fillId="5" fontId="23" numFmtId="0" xfId="0" applyAlignment="1" applyBorder="1" applyFont="1">
      <alignment vertical="center" wrapText="1"/>
    </xf>
    <xf borderId="2" fillId="5" fontId="23" numFmtId="0" xfId="0" applyAlignment="1" applyBorder="1" applyFont="1">
      <alignment vertical="center" wrapText="1"/>
    </xf>
    <xf borderId="3" fillId="5" fontId="23" numFmtId="0" xfId="0" applyAlignment="1" applyBorder="1" applyFont="1">
      <alignment vertical="center" wrapText="1"/>
    </xf>
    <xf borderId="0" fillId="5" fontId="23" numFmtId="0" xfId="0" applyAlignment="1" applyBorder="1" applyFont="1">
      <alignment vertical="center" wrapText="1"/>
    </xf>
    <xf borderId="5" fillId="5" fontId="23" numFmtId="0" xfId="0" applyAlignment="1" applyBorder="1" applyFont="1">
      <alignment vertical="center" wrapText="1"/>
    </xf>
    <xf borderId="2" fillId="0" fontId="7" numFmtId="0" xfId="0" applyAlignment="1" applyBorder="1" applyFont="1">
      <alignment vertical="center" wrapText="1"/>
    </xf>
    <xf borderId="6" fillId="0" fontId="24" numFmtId="0" xfId="0" applyAlignment="1" applyBorder="1" applyFont="1">
      <alignment vertical="center" wrapText="1"/>
    </xf>
    <xf borderId="7" fillId="0" fontId="7" numFmtId="0" xfId="0" applyAlignment="1" applyBorder="1" applyFont="1">
      <alignment vertical="center" wrapText="1"/>
    </xf>
    <xf borderId="7" fillId="0" fontId="14" numFmtId="0" xfId="0" applyAlignment="1" applyBorder="1" applyFont="1">
      <alignment vertical="center" wrapText="1"/>
    </xf>
    <xf borderId="7" fillId="0" fontId="15" numFmtId="0" xfId="0" applyAlignment="1" applyBorder="1" applyFont="1">
      <alignment vertical="center" wrapText="1"/>
    </xf>
    <xf borderId="7" fillId="0" fontId="16" numFmtId="0" xfId="0" applyAlignment="1" applyBorder="1" applyFont="1">
      <alignment vertical="center" wrapText="1"/>
    </xf>
    <xf borderId="7" fillId="0" fontId="17" numFmtId="0" xfId="0" applyAlignment="1" applyBorder="1" applyFont="1">
      <alignment vertical="center" wrapText="1"/>
    </xf>
    <xf borderId="7" fillId="0" fontId="11" numFmtId="0" xfId="0" applyAlignment="1" applyBorder="1" applyFont="1">
      <alignment vertical="center" wrapText="1"/>
    </xf>
    <xf borderId="7" fillId="0" fontId="15" numFmtId="0" xfId="0" applyAlignment="1" applyBorder="1" applyFont="1">
      <alignment vertical="center" wrapText="1"/>
    </xf>
    <xf borderId="0" fillId="0" fontId="25" numFmtId="0" xfId="0" applyAlignment="1" applyFont="1">
      <alignment horizontal="center" vertical="center" wrapText="1"/>
    </xf>
    <xf borderId="0" fillId="0" fontId="25" numFmtId="0" xfId="0" applyAlignment="1" applyFont="1">
      <alignment horizontal="center"/>
    </xf>
    <xf borderId="0" fillId="0" fontId="26" numFmtId="0" xfId="0" applyAlignment="1" applyFont="1">
      <alignment vertical="center" wrapText="1"/>
    </xf>
    <xf borderId="0" fillId="0" fontId="18" numFmtId="0" xfId="0" applyAlignment="1" applyFont="1">
      <alignment vertical="center" wrapText="1"/>
    </xf>
    <xf borderId="0" fillId="0" fontId="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purl.obolibrary.org/obo/OBI_0000626" TargetMode="External"/><Relationship Id="rId190" Type="http://schemas.openxmlformats.org/officeDocument/2006/relationships/hyperlink" Target="http://purl.obolibrary.org/obo/OBI_0001274" TargetMode="External"/><Relationship Id="rId42" Type="http://schemas.openxmlformats.org/officeDocument/2006/relationships/hyperlink" Target="http://purl.obolibrary.org/obo/OBI_0000630" TargetMode="External"/><Relationship Id="rId41" Type="http://schemas.openxmlformats.org/officeDocument/2006/relationships/hyperlink" Target="http://purl.obolibrary.org/obo/OBI_0000626" TargetMode="External"/><Relationship Id="rId44" Type="http://schemas.openxmlformats.org/officeDocument/2006/relationships/hyperlink" Target="http://purl.obolibrary.org/obo/OBI_0000634" TargetMode="External"/><Relationship Id="rId194" Type="http://schemas.openxmlformats.org/officeDocument/2006/relationships/hyperlink" Target="http://purl.obolibrary.org/obo/OBI_0001304" TargetMode="External"/><Relationship Id="rId43" Type="http://schemas.openxmlformats.org/officeDocument/2006/relationships/hyperlink" Target="http://purl.obolibrary.org/obo/OBI_0000630" TargetMode="External"/><Relationship Id="rId193" Type="http://schemas.openxmlformats.org/officeDocument/2006/relationships/hyperlink" Target="http://purl.obolibrary.org/obo/OBI_0001304" TargetMode="External"/><Relationship Id="rId46" Type="http://schemas.openxmlformats.org/officeDocument/2006/relationships/hyperlink" Target="http://purl.obolibrary.org/obo/OBI_0000693" TargetMode="External"/><Relationship Id="rId192" Type="http://schemas.openxmlformats.org/officeDocument/2006/relationships/hyperlink" Target="http://purl.obolibrary.org/obo/OBI_0001282" TargetMode="External"/><Relationship Id="rId45" Type="http://schemas.openxmlformats.org/officeDocument/2006/relationships/hyperlink" Target="http://purl.obolibrary.org/obo/OBI_0000634" TargetMode="External"/><Relationship Id="rId191" Type="http://schemas.openxmlformats.org/officeDocument/2006/relationships/hyperlink" Target="http://purl.obolibrary.org/obo/OBI_0001282" TargetMode="External"/><Relationship Id="rId48" Type="http://schemas.openxmlformats.org/officeDocument/2006/relationships/hyperlink" Target="http://purl.obolibrary.org/obo/OBI_0000695" TargetMode="External"/><Relationship Id="rId187" Type="http://schemas.openxmlformats.org/officeDocument/2006/relationships/hyperlink" Target="http://purl.obolibrary.org/obo/OBI_0001271" TargetMode="External"/><Relationship Id="rId47" Type="http://schemas.openxmlformats.org/officeDocument/2006/relationships/hyperlink" Target="http://purl.obolibrary.org/obo/OBI_0000693" TargetMode="External"/><Relationship Id="rId186" Type="http://schemas.openxmlformats.org/officeDocument/2006/relationships/hyperlink" Target="http://purl.obolibrary.org/obo/OBI_0001266" TargetMode="External"/><Relationship Id="rId185" Type="http://schemas.openxmlformats.org/officeDocument/2006/relationships/hyperlink" Target="http://purl.obolibrary.org/obo/OBI_0001266" TargetMode="External"/><Relationship Id="rId49" Type="http://schemas.openxmlformats.org/officeDocument/2006/relationships/hyperlink" Target="http://purl.obolibrary.org/obo/OBI_0000695" TargetMode="External"/><Relationship Id="rId184" Type="http://schemas.openxmlformats.org/officeDocument/2006/relationships/hyperlink" Target="http://purl.obolibrary.org/obo/OBI_0001248" TargetMode="External"/><Relationship Id="rId189" Type="http://schemas.openxmlformats.org/officeDocument/2006/relationships/hyperlink" Target="http://purl.obolibrary.org/obo/OBI_0001274" TargetMode="External"/><Relationship Id="rId188" Type="http://schemas.openxmlformats.org/officeDocument/2006/relationships/hyperlink" Target="http://purl.obolibrary.org/obo/OBI_0001271" TargetMode="External"/><Relationship Id="rId31" Type="http://schemas.openxmlformats.org/officeDocument/2006/relationships/hyperlink" Target="http://purl.obolibrary.org/obo/OBI_0000470" TargetMode="External"/><Relationship Id="rId30" Type="http://schemas.openxmlformats.org/officeDocument/2006/relationships/hyperlink" Target="http://purl.obolibrary.org/obo/OBI_0000470" TargetMode="External"/><Relationship Id="rId33" Type="http://schemas.openxmlformats.org/officeDocument/2006/relationships/hyperlink" Target="http://purl.obolibrary.org/obo/OBI_0000520" TargetMode="External"/><Relationship Id="rId183" Type="http://schemas.openxmlformats.org/officeDocument/2006/relationships/hyperlink" Target="http://purl.obolibrary.org/obo/OBI_0001248" TargetMode="External"/><Relationship Id="rId32" Type="http://schemas.openxmlformats.org/officeDocument/2006/relationships/hyperlink" Target="http://purl.obolibrary.org/obo/OBI_0000520" TargetMode="External"/><Relationship Id="rId182" Type="http://schemas.openxmlformats.org/officeDocument/2006/relationships/hyperlink" Target="http://purl.obolibrary.org/obo/OBI_0001247" TargetMode="External"/><Relationship Id="rId35" Type="http://schemas.openxmlformats.org/officeDocument/2006/relationships/hyperlink" Target="http://purl.obolibrary.org/obo/OBI_0000537" TargetMode="External"/><Relationship Id="rId181" Type="http://schemas.openxmlformats.org/officeDocument/2006/relationships/hyperlink" Target="http://purl.obolibrary.org/obo/OBI_0001247" TargetMode="External"/><Relationship Id="rId34" Type="http://schemas.openxmlformats.org/officeDocument/2006/relationships/hyperlink" Target="http://purl.obolibrary.org/obo/OBI_0000537" TargetMode="External"/><Relationship Id="rId180" Type="http://schemas.openxmlformats.org/officeDocument/2006/relationships/hyperlink" Target="http://purl.obolibrary.org/obo/OBI_0001235" TargetMode="External"/><Relationship Id="rId37" Type="http://schemas.openxmlformats.org/officeDocument/2006/relationships/hyperlink" Target="http://purl.obolibrary.org/obo/OBI_0000615" TargetMode="External"/><Relationship Id="rId176" Type="http://schemas.openxmlformats.org/officeDocument/2006/relationships/hyperlink" Target="http://purl.obolibrary.org/obo/OBI_0001187" TargetMode="External"/><Relationship Id="rId297" Type="http://schemas.openxmlformats.org/officeDocument/2006/relationships/hyperlink" Target="http://purl.obolibrary.org/obo/OBI_0002014" TargetMode="External"/><Relationship Id="rId36" Type="http://schemas.openxmlformats.org/officeDocument/2006/relationships/hyperlink" Target="http://purl.obolibrary.org/obo/OBI_0000615" TargetMode="External"/><Relationship Id="rId175" Type="http://schemas.openxmlformats.org/officeDocument/2006/relationships/hyperlink" Target="http://purl.obolibrary.org/obo/OBI_0001187" TargetMode="External"/><Relationship Id="rId296" Type="http://schemas.openxmlformats.org/officeDocument/2006/relationships/hyperlink" Target="http://purl.obolibrary.org/obo/OBI_0001960" TargetMode="External"/><Relationship Id="rId39" Type="http://schemas.openxmlformats.org/officeDocument/2006/relationships/hyperlink" Target="http://purl.obolibrary.org/obo/OBI_0000623" TargetMode="External"/><Relationship Id="rId174" Type="http://schemas.openxmlformats.org/officeDocument/2006/relationships/hyperlink" Target="http://purl.obolibrary.org/obo/OBI_0001177" TargetMode="External"/><Relationship Id="rId295" Type="http://schemas.openxmlformats.org/officeDocument/2006/relationships/hyperlink" Target="http://purl.obolibrary.org/obo/OBI_0001960" TargetMode="External"/><Relationship Id="rId38" Type="http://schemas.openxmlformats.org/officeDocument/2006/relationships/hyperlink" Target="http://purl.obolibrary.org/obo/OBI_0000623" TargetMode="External"/><Relationship Id="rId173" Type="http://schemas.openxmlformats.org/officeDocument/2006/relationships/hyperlink" Target="http://purl.obolibrary.org/obo/OBI_0001177" TargetMode="External"/><Relationship Id="rId294" Type="http://schemas.openxmlformats.org/officeDocument/2006/relationships/hyperlink" Target="http://purl.obolibrary.org/obo/OBI_0001956" TargetMode="External"/><Relationship Id="rId179" Type="http://schemas.openxmlformats.org/officeDocument/2006/relationships/hyperlink" Target="http://purl.obolibrary.org/obo/OBI_0001235" TargetMode="External"/><Relationship Id="rId178" Type="http://schemas.openxmlformats.org/officeDocument/2006/relationships/hyperlink" Target="http://purl.obolibrary.org/obo/OBI_0001221" TargetMode="External"/><Relationship Id="rId299" Type="http://schemas.openxmlformats.org/officeDocument/2006/relationships/hyperlink" Target="http://purl.obolibrary.org/obo/OBI_0002015" TargetMode="External"/><Relationship Id="rId177" Type="http://schemas.openxmlformats.org/officeDocument/2006/relationships/hyperlink" Target="http://purl.obolibrary.org/obo/OBI_0001221" TargetMode="External"/><Relationship Id="rId298" Type="http://schemas.openxmlformats.org/officeDocument/2006/relationships/hyperlink" Target="http://purl.obolibrary.org/obo/OBI_0002014" TargetMode="External"/><Relationship Id="rId20" Type="http://schemas.openxmlformats.org/officeDocument/2006/relationships/hyperlink" Target="http://purl.obolibrary.org/obo/OBI_0000438" TargetMode="External"/><Relationship Id="rId22" Type="http://schemas.openxmlformats.org/officeDocument/2006/relationships/hyperlink" Target="http://purl.obolibrary.org/obo/OBI_0000443" TargetMode="External"/><Relationship Id="rId21" Type="http://schemas.openxmlformats.org/officeDocument/2006/relationships/hyperlink" Target="http://purl.obolibrary.org/obo/OBI_0000438" TargetMode="External"/><Relationship Id="rId24" Type="http://schemas.openxmlformats.org/officeDocument/2006/relationships/hyperlink" Target="http://purl.obolibrary.org/obo/OBI_0000445" TargetMode="External"/><Relationship Id="rId23" Type="http://schemas.openxmlformats.org/officeDocument/2006/relationships/hyperlink" Target="http://purl.obolibrary.org/obo/OBI_0000443" TargetMode="External"/><Relationship Id="rId26" Type="http://schemas.openxmlformats.org/officeDocument/2006/relationships/hyperlink" Target="http://purl.obolibrary.org/obo/OBI_0000447" TargetMode="External"/><Relationship Id="rId25" Type="http://schemas.openxmlformats.org/officeDocument/2006/relationships/hyperlink" Target="http://purl.obolibrary.org/obo/OBI_0000445" TargetMode="External"/><Relationship Id="rId28" Type="http://schemas.openxmlformats.org/officeDocument/2006/relationships/hyperlink" Target="http://purl.obolibrary.org/obo/OBI_0000454" TargetMode="External"/><Relationship Id="rId27" Type="http://schemas.openxmlformats.org/officeDocument/2006/relationships/hyperlink" Target="http://purl.obolibrary.org/obo/OBI_0000447" TargetMode="External"/><Relationship Id="rId29" Type="http://schemas.openxmlformats.org/officeDocument/2006/relationships/hyperlink" Target="http://purl.obolibrary.org/obo/OBI_0000454" TargetMode="External"/><Relationship Id="rId11" Type="http://schemas.openxmlformats.org/officeDocument/2006/relationships/hyperlink" Target="http://purl.obolibrary.org/obo/OBI_0000366" TargetMode="External"/><Relationship Id="rId10" Type="http://schemas.openxmlformats.org/officeDocument/2006/relationships/hyperlink" Target="http://purl.obolibrary.org/obo/OBI_0000366" TargetMode="External"/><Relationship Id="rId13" Type="http://schemas.openxmlformats.org/officeDocument/2006/relationships/hyperlink" Target="http://purl.obolibrary.org/obo/OBI_0000418" TargetMode="External"/><Relationship Id="rId12" Type="http://schemas.openxmlformats.org/officeDocument/2006/relationships/hyperlink" Target="http://purl.obolibrary.org/obo/OBI_0000418" TargetMode="External"/><Relationship Id="rId15" Type="http://schemas.openxmlformats.org/officeDocument/2006/relationships/hyperlink" Target="http://purl.obolibrary.org/obo/OBI_0000424" TargetMode="External"/><Relationship Id="rId198" Type="http://schemas.openxmlformats.org/officeDocument/2006/relationships/hyperlink" Target="http://purl.obolibrary.org/obo/OBI_0001332" TargetMode="External"/><Relationship Id="rId14" Type="http://schemas.openxmlformats.org/officeDocument/2006/relationships/hyperlink" Target="http://purl.obolibrary.org/obo/OBI_0000424" TargetMode="External"/><Relationship Id="rId197" Type="http://schemas.openxmlformats.org/officeDocument/2006/relationships/hyperlink" Target="http://purl.obolibrary.org/obo/OBI_0001332" TargetMode="External"/><Relationship Id="rId17" Type="http://schemas.openxmlformats.org/officeDocument/2006/relationships/hyperlink" Target="http://purl.obolibrary.org/obo/OBI_0000433" TargetMode="External"/><Relationship Id="rId196" Type="http://schemas.openxmlformats.org/officeDocument/2006/relationships/hyperlink" Target="http://purl.obolibrary.org/obo/OBI_0001318" TargetMode="External"/><Relationship Id="rId16" Type="http://schemas.openxmlformats.org/officeDocument/2006/relationships/hyperlink" Target="http://purl.obolibrary.org/obo/OBI_0000433" TargetMode="External"/><Relationship Id="rId195" Type="http://schemas.openxmlformats.org/officeDocument/2006/relationships/hyperlink" Target="http://purl.obolibrary.org/obo/OBI_0001318" TargetMode="External"/><Relationship Id="rId19" Type="http://schemas.openxmlformats.org/officeDocument/2006/relationships/hyperlink" Target="http://purl.obolibrary.org/obo/OBI_0000435" TargetMode="External"/><Relationship Id="rId18" Type="http://schemas.openxmlformats.org/officeDocument/2006/relationships/hyperlink" Target="http://purl.obolibrary.org/obo/OBI_0000435" TargetMode="External"/><Relationship Id="rId199" Type="http://schemas.openxmlformats.org/officeDocument/2006/relationships/hyperlink" Target="http://purl.obolibrary.org/obo/OBI_0001335" TargetMode="External"/><Relationship Id="rId84" Type="http://schemas.openxmlformats.org/officeDocument/2006/relationships/hyperlink" Target="http://purl.obolibrary.org/obo/OBI_0000823" TargetMode="External"/><Relationship Id="rId83" Type="http://schemas.openxmlformats.org/officeDocument/2006/relationships/hyperlink" Target="http://purl.obolibrary.org/obo/OBI_0000820" TargetMode="External"/><Relationship Id="rId86" Type="http://schemas.openxmlformats.org/officeDocument/2006/relationships/hyperlink" Target="http://purl.obolibrary.org/obo/OBI_0000860" TargetMode="External"/><Relationship Id="rId85" Type="http://schemas.openxmlformats.org/officeDocument/2006/relationships/hyperlink" Target="http://purl.obolibrary.org/obo/OBI_0000823" TargetMode="External"/><Relationship Id="rId88" Type="http://schemas.openxmlformats.org/officeDocument/2006/relationships/hyperlink" Target="http://purl.obolibrary.org/obo/OBI_0000865" TargetMode="External"/><Relationship Id="rId150" Type="http://schemas.openxmlformats.org/officeDocument/2006/relationships/hyperlink" Target="http://purl.obolibrary.org/obo/OBI_0001024" TargetMode="External"/><Relationship Id="rId271" Type="http://schemas.openxmlformats.org/officeDocument/2006/relationships/hyperlink" Target="http://purl.obolibrary.org/obo/OBI_0001915" TargetMode="External"/><Relationship Id="rId87" Type="http://schemas.openxmlformats.org/officeDocument/2006/relationships/hyperlink" Target="http://purl.obolibrary.org/obo/OBI_0000860" TargetMode="External"/><Relationship Id="rId270" Type="http://schemas.openxmlformats.org/officeDocument/2006/relationships/hyperlink" Target="http://purl.obolibrary.org/obo/OBI_0001864" TargetMode="External"/><Relationship Id="rId89" Type="http://schemas.openxmlformats.org/officeDocument/2006/relationships/hyperlink" Target="http://purl.obolibrary.org/obo/OBI_0000865" TargetMode="External"/><Relationship Id="rId80" Type="http://schemas.openxmlformats.org/officeDocument/2006/relationships/hyperlink" Target="http://purl.obolibrary.org/obo/OBI_0000812" TargetMode="External"/><Relationship Id="rId82" Type="http://schemas.openxmlformats.org/officeDocument/2006/relationships/hyperlink" Target="http://purl.obolibrary.org/obo/OBI_0000820" TargetMode="External"/><Relationship Id="rId81" Type="http://schemas.openxmlformats.org/officeDocument/2006/relationships/hyperlink" Target="http://purl.obolibrary.org/obo/OBI_0000812" TargetMode="External"/><Relationship Id="rId1" Type="http://schemas.openxmlformats.org/officeDocument/2006/relationships/comments" Target="../comments1.xml"/><Relationship Id="rId2" Type="http://schemas.openxmlformats.org/officeDocument/2006/relationships/hyperlink" Target="http://purl.obolibrary.org/obo/OBI_0000117" TargetMode="External"/><Relationship Id="rId3" Type="http://schemas.openxmlformats.org/officeDocument/2006/relationships/hyperlink" Target="http://purl.obolibrary.org/obo/OBI_0000117" TargetMode="External"/><Relationship Id="rId149" Type="http://schemas.openxmlformats.org/officeDocument/2006/relationships/hyperlink" Target="http://purl.obolibrary.org/obo/OBI_0001023" TargetMode="External"/><Relationship Id="rId4" Type="http://schemas.openxmlformats.org/officeDocument/2006/relationships/hyperlink" Target="http://purl.obolibrary.org/obo/OBI_0000185" TargetMode="External"/><Relationship Id="rId148" Type="http://schemas.openxmlformats.org/officeDocument/2006/relationships/hyperlink" Target="http://purl.obolibrary.org/obo/OBI_0001023" TargetMode="External"/><Relationship Id="rId269" Type="http://schemas.openxmlformats.org/officeDocument/2006/relationships/hyperlink" Target="http://purl.obolibrary.org/obo/OBI_0001864" TargetMode="External"/><Relationship Id="rId9" Type="http://schemas.openxmlformats.org/officeDocument/2006/relationships/hyperlink" Target="http://purl.obolibrary.org/obo/OBI_0000291" TargetMode="External"/><Relationship Id="rId143" Type="http://schemas.openxmlformats.org/officeDocument/2006/relationships/hyperlink" Target="http://purl.obolibrary.org/obo/OBI_0001020" TargetMode="External"/><Relationship Id="rId264" Type="http://schemas.openxmlformats.org/officeDocument/2006/relationships/hyperlink" Target="http://purl.obolibrary.org/obo/OBI_0001861" TargetMode="External"/><Relationship Id="rId142" Type="http://schemas.openxmlformats.org/officeDocument/2006/relationships/hyperlink" Target="http://purl.obolibrary.org/obo/OBI_0001020" TargetMode="External"/><Relationship Id="rId263" Type="http://schemas.openxmlformats.org/officeDocument/2006/relationships/hyperlink" Target="http://purl.obolibrary.org/obo/OBI_0001861" TargetMode="External"/><Relationship Id="rId141" Type="http://schemas.openxmlformats.org/officeDocument/2006/relationships/hyperlink" Target="http://purl.obolibrary.org/obo/OBI_0001019" TargetMode="External"/><Relationship Id="rId262" Type="http://schemas.openxmlformats.org/officeDocument/2006/relationships/hyperlink" Target="http://purl.obolibrary.org/obo/OBI_0001859" TargetMode="External"/><Relationship Id="rId140" Type="http://schemas.openxmlformats.org/officeDocument/2006/relationships/hyperlink" Target="http://purl.obolibrary.org/obo/OBI_0001019" TargetMode="External"/><Relationship Id="rId261" Type="http://schemas.openxmlformats.org/officeDocument/2006/relationships/hyperlink" Target="http://purl.obolibrary.org/obo/OBI_0001859" TargetMode="External"/><Relationship Id="rId5" Type="http://schemas.openxmlformats.org/officeDocument/2006/relationships/hyperlink" Target="http://purl.obolibrary.org/obo/OBI_0000185" TargetMode="External"/><Relationship Id="rId147" Type="http://schemas.openxmlformats.org/officeDocument/2006/relationships/hyperlink" Target="http://purl.obolibrary.org/obo/OBI_0001022" TargetMode="External"/><Relationship Id="rId268" Type="http://schemas.openxmlformats.org/officeDocument/2006/relationships/hyperlink" Target="http://purl.obolibrary.org/obo/OBI_0001863" TargetMode="External"/><Relationship Id="rId6" Type="http://schemas.openxmlformats.org/officeDocument/2006/relationships/hyperlink" Target="http://purl.obolibrary.org/obo/OBI_0000288" TargetMode="External"/><Relationship Id="rId146" Type="http://schemas.openxmlformats.org/officeDocument/2006/relationships/hyperlink" Target="http://purl.obolibrary.org/obo/OBI_0001022" TargetMode="External"/><Relationship Id="rId267" Type="http://schemas.openxmlformats.org/officeDocument/2006/relationships/hyperlink" Target="http://purl.obolibrary.org/obo/OBI_0001863" TargetMode="External"/><Relationship Id="rId7" Type="http://schemas.openxmlformats.org/officeDocument/2006/relationships/hyperlink" Target="http://purl.obolibrary.org/obo/OBI_0000288" TargetMode="External"/><Relationship Id="rId145" Type="http://schemas.openxmlformats.org/officeDocument/2006/relationships/hyperlink" Target="http://purl.obolibrary.org/obo/OBI_0001021" TargetMode="External"/><Relationship Id="rId266" Type="http://schemas.openxmlformats.org/officeDocument/2006/relationships/hyperlink" Target="http://purl.obolibrary.org/obo/OBI_0001862" TargetMode="External"/><Relationship Id="rId8" Type="http://schemas.openxmlformats.org/officeDocument/2006/relationships/hyperlink" Target="http://purl.obolibrary.org/obo/OBI_0000291" TargetMode="External"/><Relationship Id="rId144" Type="http://schemas.openxmlformats.org/officeDocument/2006/relationships/hyperlink" Target="http://purl.obolibrary.org/obo/OBI_0001021" TargetMode="External"/><Relationship Id="rId265" Type="http://schemas.openxmlformats.org/officeDocument/2006/relationships/hyperlink" Target="http://purl.obolibrary.org/obo/OBI_0001862" TargetMode="External"/><Relationship Id="rId73" Type="http://schemas.openxmlformats.org/officeDocument/2006/relationships/hyperlink" Target="http://purl.obolibrary.org/obo/OBI_0000787" TargetMode="External"/><Relationship Id="rId72" Type="http://schemas.openxmlformats.org/officeDocument/2006/relationships/hyperlink" Target="http://purl.obolibrary.org/obo/OBI_0000787" TargetMode="External"/><Relationship Id="rId75" Type="http://schemas.openxmlformats.org/officeDocument/2006/relationships/hyperlink" Target="http://purl.obolibrary.org/obo/OBI_0000802" TargetMode="External"/><Relationship Id="rId74" Type="http://schemas.openxmlformats.org/officeDocument/2006/relationships/hyperlink" Target="http://purl.obolibrary.org/obo/OBI_0000802" TargetMode="External"/><Relationship Id="rId77" Type="http://schemas.openxmlformats.org/officeDocument/2006/relationships/hyperlink" Target="http://purl.obolibrary.org/obo/OBI_0000805" TargetMode="External"/><Relationship Id="rId260" Type="http://schemas.openxmlformats.org/officeDocument/2006/relationships/hyperlink" Target="http://purl.obolibrary.org/obo/OBI_0001858" TargetMode="External"/><Relationship Id="rId76" Type="http://schemas.openxmlformats.org/officeDocument/2006/relationships/hyperlink" Target="http://purl.obolibrary.org/obo/OBI_0000805" TargetMode="External"/><Relationship Id="rId79" Type="http://schemas.openxmlformats.org/officeDocument/2006/relationships/hyperlink" Target="http://purl.obolibrary.org/obo/OBI_0000808" TargetMode="External"/><Relationship Id="rId78" Type="http://schemas.openxmlformats.org/officeDocument/2006/relationships/hyperlink" Target="http://purl.obolibrary.org/obo/OBI_0000808" TargetMode="External"/><Relationship Id="rId71" Type="http://schemas.openxmlformats.org/officeDocument/2006/relationships/hyperlink" Target="http://purl.obolibrary.org/obo/OBI_0000748" TargetMode="External"/><Relationship Id="rId70" Type="http://schemas.openxmlformats.org/officeDocument/2006/relationships/hyperlink" Target="http://purl.obolibrary.org/obo/OBI_0000748" TargetMode="External"/><Relationship Id="rId139" Type="http://schemas.openxmlformats.org/officeDocument/2006/relationships/hyperlink" Target="http://purl.obolibrary.org/obo/OBI_0001018" TargetMode="External"/><Relationship Id="rId138" Type="http://schemas.openxmlformats.org/officeDocument/2006/relationships/hyperlink" Target="http://purl.obolibrary.org/obo/OBI_0001018" TargetMode="External"/><Relationship Id="rId259" Type="http://schemas.openxmlformats.org/officeDocument/2006/relationships/hyperlink" Target="http://purl.obolibrary.org/obo/OBI_0001858" TargetMode="External"/><Relationship Id="rId137" Type="http://schemas.openxmlformats.org/officeDocument/2006/relationships/hyperlink" Target="http://purl.obolibrary.org/obo/OBI_0001017" TargetMode="External"/><Relationship Id="rId258" Type="http://schemas.openxmlformats.org/officeDocument/2006/relationships/hyperlink" Target="http://purl.obolibrary.org/obo/OBI_0001857" TargetMode="External"/><Relationship Id="rId132" Type="http://schemas.openxmlformats.org/officeDocument/2006/relationships/hyperlink" Target="http://purl.obolibrary.org/obo/OBI_0001015" TargetMode="External"/><Relationship Id="rId253" Type="http://schemas.openxmlformats.org/officeDocument/2006/relationships/hyperlink" Target="http://purl.obolibrary.org/obo/OBI_0001850" TargetMode="External"/><Relationship Id="rId131" Type="http://schemas.openxmlformats.org/officeDocument/2006/relationships/hyperlink" Target="http://purl.obolibrary.org/obo/OBI_0001014" TargetMode="External"/><Relationship Id="rId252" Type="http://schemas.openxmlformats.org/officeDocument/2006/relationships/hyperlink" Target="http://purl.obolibrary.org/obo/OBI_0001849" TargetMode="External"/><Relationship Id="rId130" Type="http://schemas.openxmlformats.org/officeDocument/2006/relationships/hyperlink" Target="http://purl.obolibrary.org/obo/OBI_0001014" TargetMode="External"/><Relationship Id="rId251" Type="http://schemas.openxmlformats.org/officeDocument/2006/relationships/hyperlink" Target="http://purl.obolibrary.org/obo/OBI_0001849" TargetMode="External"/><Relationship Id="rId372" Type="http://schemas.openxmlformats.org/officeDocument/2006/relationships/vmlDrawing" Target="../drawings/vmlDrawing1.vml"/><Relationship Id="rId250" Type="http://schemas.openxmlformats.org/officeDocument/2006/relationships/hyperlink" Target="http://purl.obolibrary.org/obo/OBI_0001848" TargetMode="External"/><Relationship Id="rId371" Type="http://schemas.openxmlformats.org/officeDocument/2006/relationships/drawing" Target="../drawings/worksheetdrawing1.xml"/><Relationship Id="rId136" Type="http://schemas.openxmlformats.org/officeDocument/2006/relationships/hyperlink" Target="http://purl.obolibrary.org/obo/OBI_0001017" TargetMode="External"/><Relationship Id="rId257" Type="http://schemas.openxmlformats.org/officeDocument/2006/relationships/hyperlink" Target="http://purl.obolibrary.org/obo/OBI_0001857" TargetMode="External"/><Relationship Id="rId135" Type="http://schemas.openxmlformats.org/officeDocument/2006/relationships/hyperlink" Target="http://purl.obolibrary.org/obo/OBI_0001016" TargetMode="External"/><Relationship Id="rId256" Type="http://schemas.openxmlformats.org/officeDocument/2006/relationships/hyperlink" Target="http://purl.obolibrary.org/obo/OBI_0001853" TargetMode="External"/><Relationship Id="rId134" Type="http://schemas.openxmlformats.org/officeDocument/2006/relationships/hyperlink" Target="http://purl.obolibrary.org/obo/OBI_0001016" TargetMode="External"/><Relationship Id="rId255" Type="http://schemas.openxmlformats.org/officeDocument/2006/relationships/hyperlink" Target="http://purl.obolibrary.org/obo/OBI_0001853" TargetMode="External"/><Relationship Id="rId133" Type="http://schemas.openxmlformats.org/officeDocument/2006/relationships/hyperlink" Target="http://purl.obolibrary.org/obo/OBI_0001015" TargetMode="External"/><Relationship Id="rId254" Type="http://schemas.openxmlformats.org/officeDocument/2006/relationships/hyperlink" Target="http://purl.obolibrary.org/obo/OBI_0001850" TargetMode="External"/><Relationship Id="rId62" Type="http://schemas.openxmlformats.org/officeDocument/2006/relationships/hyperlink" Target="http://purl.obolibrary.org/obo/OBI_0000724" TargetMode="External"/><Relationship Id="rId61" Type="http://schemas.openxmlformats.org/officeDocument/2006/relationships/hyperlink" Target="http://purl.obolibrary.org/obo/OBI_0000723" TargetMode="External"/><Relationship Id="rId64" Type="http://schemas.openxmlformats.org/officeDocument/2006/relationships/hyperlink" Target="http://purl.obolibrary.org/obo/OBI_0000730" TargetMode="External"/><Relationship Id="rId63" Type="http://schemas.openxmlformats.org/officeDocument/2006/relationships/hyperlink" Target="http://purl.obolibrary.org/obo/OBI_0000724" TargetMode="External"/><Relationship Id="rId66" Type="http://schemas.openxmlformats.org/officeDocument/2006/relationships/hyperlink" Target="http://purl.obolibrary.org/obo/OBI_0000734" TargetMode="External"/><Relationship Id="rId172" Type="http://schemas.openxmlformats.org/officeDocument/2006/relationships/hyperlink" Target="http://purl.obolibrary.org/obo/OBI_0001170" TargetMode="External"/><Relationship Id="rId293" Type="http://schemas.openxmlformats.org/officeDocument/2006/relationships/hyperlink" Target="http://purl.obolibrary.org/obo/OBI_0001956" TargetMode="External"/><Relationship Id="rId65" Type="http://schemas.openxmlformats.org/officeDocument/2006/relationships/hyperlink" Target="http://purl.obolibrary.org/obo/OBI_0000730" TargetMode="External"/><Relationship Id="rId171" Type="http://schemas.openxmlformats.org/officeDocument/2006/relationships/hyperlink" Target="http://purl.obolibrary.org/obo/OBI_0001158" TargetMode="External"/><Relationship Id="rId292" Type="http://schemas.openxmlformats.org/officeDocument/2006/relationships/hyperlink" Target="http://purl.obolibrary.org/obo/OBI_0001954" TargetMode="External"/><Relationship Id="rId68" Type="http://schemas.openxmlformats.org/officeDocument/2006/relationships/hyperlink" Target="http://purl.obolibrary.org/obo/OBI_0000743" TargetMode="External"/><Relationship Id="rId170" Type="http://schemas.openxmlformats.org/officeDocument/2006/relationships/hyperlink" Target="http://purl.obolibrary.org/obo/OBI_0001158" TargetMode="External"/><Relationship Id="rId291" Type="http://schemas.openxmlformats.org/officeDocument/2006/relationships/hyperlink" Target="http://purl.obolibrary.org/obo/OBI_0001954" TargetMode="External"/><Relationship Id="rId67" Type="http://schemas.openxmlformats.org/officeDocument/2006/relationships/hyperlink" Target="http://purl.obolibrary.org/obo/OBI_0000734" TargetMode="External"/><Relationship Id="rId290" Type="http://schemas.openxmlformats.org/officeDocument/2006/relationships/hyperlink" Target="http://purl.obolibrary.org/obo/OBI_0001926" TargetMode="External"/><Relationship Id="rId60" Type="http://schemas.openxmlformats.org/officeDocument/2006/relationships/hyperlink" Target="http://purl.obolibrary.org/obo/OBI_0000723" TargetMode="External"/><Relationship Id="rId165" Type="http://schemas.openxmlformats.org/officeDocument/2006/relationships/hyperlink" Target="http://purl.obolibrary.org/obo/OBI_0001038" TargetMode="External"/><Relationship Id="rId286" Type="http://schemas.openxmlformats.org/officeDocument/2006/relationships/hyperlink" Target="http://purl.obolibrary.org/obo/OBI_0001924" TargetMode="External"/><Relationship Id="rId69" Type="http://schemas.openxmlformats.org/officeDocument/2006/relationships/hyperlink" Target="http://purl.obolibrary.org/obo/OBI_0000743" TargetMode="External"/><Relationship Id="rId164" Type="http://schemas.openxmlformats.org/officeDocument/2006/relationships/hyperlink" Target="http://purl.obolibrary.org/obo/OBI_0001038" TargetMode="External"/><Relationship Id="rId285" Type="http://schemas.openxmlformats.org/officeDocument/2006/relationships/hyperlink" Target="http://purl.obolibrary.org/obo/OBI_0001924" TargetMode="External"/><Relationship Id="rId163" Type="http://schemas.openxmlformats.org/officeDocument/2006/relationships/hyperlink" Target="http://purl.obolibrary.org/obo/OBI_0001035" TargetMode="External"/><Relationship Id="rId284" Type="http://schemas.openxmlformats.org/officeDocument/2006/relationships/hyperlink" Target="http://purl.obolibrary.org/obo/OBI_0001923" TargetMode="External"/><Relationship Id="rId162" Type="http://schemas.openxmlformats.org/officeDocument/2006/relationships/hyperlink" Target="http://purl.obolibrary.org/obo/OBI_0001035" TargetMode="External"/><Relationship Id="rId283" Type="http://schemas.openxmlformats.org/officeDocument/2006/relationships/hyperlink" Target="http://purl.obolibrary.org/obo/OBI_0001923" TargetMode="External"/><Relationship Id="rId169" Type="http://schemas.openxmlformats.org/officeDocument/2006/relationships/hyperlink" Target="http://purl.obolibrary.org/obo/OBI_0001146" TargetMode="External"/><Relationship Id="rId168" Type="http://schemas.openxmlformats.org/officeDocument/2006/relationships/hyperlink" Target="http://purl.obolibrary.org/obo/OBI_0001146" TargetMode="External"/><Relationship Id="rId289" Type="http://schemas.openxmlformats.org/officeDocument/2006/relationships/hyperlink" Target="http://purl.obolibrary.org/obo/OBI_0001926" TargetMode="External"/><Relationship Id="rId167" Type="http://schemas.openxmlformats.org/officeDocument/2006/relationships/hyperlink" Target="http://purl.obolibrary.org/obo/OBI_0001039" TargetMode="External"/><Relationship Id="rId288" Type="http://schemas.openxmlformats.org/officeDocument/2006/relationships/hyperlink" Target="http://purl.obolibrary.org/obo/OBI_0001925" TargetMode="External"/><Relationship Id="rId166" Type="http://schemas.openxmlformats.org/officeDocument/2006/relationships/hyperlink" Target="http://purl.obolibrary.org/obo/OBI_0001039" TargetMode="External"/><Relationship Id="rId287" Type="http://schemas.openxmlformats.org/officeDocument/2006/relationships/hyperlink" Target="http://purl.obolibrary.org/obo/OBI_0001925" TargetMode="External"/><Relationship Id="rId51" Type="http://schemas.openxmlformats.org/officeDocument/2006/relationships/hyperlink" Target="http://purl.obolibrary.org/obo/OBI_0000697" TargetMode="External"/><Relationship Id="rId50" Type="http://schemas.openxmlformats.org/officeDocument/2006/relationships/hyperlink" Target="http://purl.obolibrary.org/obo/OBI_0000697" TargetMode="External"/><Relationship Id="rId53" Type="http://schemas.openxmlformats.org/officeDocument/2006/relationships/hyperlink" Target="http://purl.obolibrary.org/obo/OBI_0000699" TargetMode="External"/><Relationship Id="rId52" Type="http://schemas.openxmlformats.org/officeDocument/2006/relationships/hyperlink" Target="http://purl.obolibrary.org/obo/OBI_0000699" TargetMode="External"/><Relationship Id="rId55" Type="http://schemas.openxmlformats.org/officeDocument/2006/relationships/hyperlink" Target="http://purl.obolibrary.org/obo/OBI_0000706" TargetMode="External"/><Relationship Id="rId161" Type="http://schemas.openxmlformats.org/officeDocument/2006/relationships/hyperlink" Target="http://purl.obolibrary.org/obo/OBI_0001030" TargetMode="External"/><Relationship Id="rId282" Type="http://schemas.openxmlformats.org/officeDocument/2006/relationships/hyperlink" Target="http://purl.obolibrary.org/obo/OBI_0001922" TargetMode="External"/><Relationship Id="rId54" Type="http://schemas.openxmlformats.org/officeDocument/2006/relationships/hyperlink" Target="http://purl.obolibrary.org/obo/OBI_0000706" TargetMode="External"/><Relationship Id="rId160" Type="http://schemas.openxmlformats.org/officeDocument/2006/relationships/hyperlink" Target="http://purl.obolibrary.org/obo/OBI_0001030" TargetMode="External"/><Relationship Id="rId281" Type="http://schemas.openxmlformats.org/officeDocument/2006/relationships/hyperlink" Target="http://purl.obolibrary.org/obo/OBI_0001922" TargetMode="External"/><Relationship Id="rId57" Type="http://schemas.openxmlformats.org/officeDocument/2006/relationships/hyperlink" Target="http://purl.obolibrary.org/obo/OBI_0000716" TargetMode="External"/><Relationship Id="rId280" Type="http://schemas.openxmlformats.org/officeDocument/2006/relationships/hyperlink" Target="http://purl.obolibrary.org/obo/OBI_0001921" TargetMode="External"/><Relationship Id="rId56" Type="http://schemas.openxmlformats.org/officeDocument/2006/relationships/hyperlink" Target="http://purl.obolibrary.org/obo/OBI_0000716" TargetMode="External"/><Relationship Id="rId159" Type="http://schemas.openxmlformats.org/officeDocument/2006/relationships/hyperlink" Target="http://purl.obolibrary.org/obo/OBI_0001029" TargetMode="External"/><Relationship Id="rId59" Type="http://schemas.openxmlformats.org/officeDocument/2006/relationships/hyperlink" Target="http://purl.obolibrary.org/obo/OBI_0000721" TargetMode="External"/><Relationship Id="rId154" Type="http://schemas.openxmlformats.org/officeDocument/2006/relationships/hyperlink" Target="http://purl.obolibrary.org/obo/OBI_0001026" TargetMode="External"/><Relationship Id="rId275" Type="http://schemas.openxmlformats.org/officeDocument/2006/relationships/hyperlink" Target="http://purl.obolibrary.org/obo/OBI_0001919" TargetMode="External"/><Relationship Id="rId58" Type="http://schemas.openxmlformats.org/officeDocument/2006/relationships/hyperlink" Target="http://purl.obolibrary.org/obo/OBI_0000721" TargetMode="External"/><Relationship Id="rId153" Type="http://schemas.openxmlformats.org/officeDocument/2006/relationships/hyperlink" Target="http://purl.obolibrary.org/obo/OBI_0001025" TargetMode="External"/><Relationship Id="rId274" Type="http://schemas.openxmlformats.org/officeDocument/2006/relationships/hyperlink" Target="http://purl.obolibrary.org/obo/OBI_0001918" TargetMode="External"/><Relationship Id="rId152" Type="http://schemas.openxmlformats.org/officeDocument/2006/relationships/hyperlink" Target="http://purl.obolibrary.org/obo/OBI_0001025" TargetMode="External"/><Relationship Id="rId273" Type="http://schemas.openxmlformats.org/officeDocument/2006/relationships/hyperlink" Target="http://purl.obolibrary.org/obo/OBI_0001918" TargetMode="External"/><Relationship Id="rId151" Type="http://schemas.openxmlformats.org/officeDocument/2006/relationships/hyperlink" Target="http://purl.obolibrary.org/obo/OBI_0001024" TargetMode="External"/><Relationship Id="rId272" Type="http://schemas.openxmlformats.org/officeDocument/2006/relationships/hyperlink" Target="http://purl.obolibrary.org/obo/OBI_0001915" TargetMode="External"/><Relationship Id="rId158" Type="http://schemas.openxmlformats.org/officeDocument/2006/relationships/hyperlink" Target="http://purl.obolibrary.org/obo/OBI_0001029" TargetMode="External"/><Relationship Id="rId279" Type="http://schemas.openxmlformats.org/officeDocument/2006/relationships/hyperlink" Target="http://purl.obolibrary.org/obo/OBI_0001921" TargetMode="External"/><Relationship Id="rId157" Type="http://schemas.openxmlformats.org/officeDocument/2006/relationships/hyperlink" Target="http://purl.obolibrary.org/obo/OBI_0001027" TargetMode="External"/><Relationship Id="rId278" Type="http://schemas.openxmlformats.org/officeDocument/2006/relationships/hyperlink" Target="http://purl.obolibrary.org/obo/OBI_0001920" TargetMode="External"/><Relationship Id="rId156" Type="http://schemas.openxmlformats.org/officeDocument/2006/relationships/hyperlink" Target="http://purl.obolibrary.org/obo/OBI_0001027" TargetMode="External"/><Relationship Id="rId277" Type="http://schemas.openxmlformats.org/officeDocument/2006/relationships/hyperlink" Target="http://purl.obolibrary.org/obo/OBI_0001920" TargetMode="External"/><Relationship Id="rId155" Type="http://schemas.openxmlformats.org/officeDocument/2006/relationships/hyperlink" Target="http://purl.obolibrary.org/obo/OBI_0001026" TargetMode="External"/><Relationship Id="rId276" Type="http://schemas.openxmlformats.org/officeDocument/2006/relationships/hyperlink" Target="http://purl.obolibrary.org/obo/OBI_0001919" TargetMode="External"/><Relationship Id="rId107" Type="http://schemas.openxmlformats.org/officeDocument/2006/relationships/hyperlink" Target="http://purl.obolibrary.org/obo/OBI_0000944" TargetMode="External"/><Relationship Id="rId228" Type="http://schemas.openxmlformats.org/officeDocument/2006/relationships/hyperlink" Target="http://purl.obolibrary.org/obo/OBI_0001673" TargetMode="External"/><Relationship Id="rId349" Type="http://schemas.openxmlformats.org/officeDocument/2006/relationships/hyperlink" Target="http://purl.obolibrary.org/obo/OBI_0002084" TargetMode="External"/><Relationship Id="rId106" Type="http://schemas.openxmlformats.org/officeDocument/2006/relationships/hyperlink" Target="http://purl.obolibrary.org/obo/OBI_0000944" TargetMode="External"/><Relationship Id="rId227" Type="http://schemas.openxmlformats.org/officeDocument/2006/relationships/hyperlink" Target="http://purl.obolibrary.org/obo/OBI_0001673" TargetMode="External"/><Relationship Id="rId348" Type="http://schemas.openxmlformats.org/officeDocument/2006/relationships/hyperlink" Target="http://purl.obolibrary.org/obo/OBI_0002083" TargetMode="External"/><Relationship Id="rId105" Type="http://schemas.openxmlformats.org/officeDocument/2006/relationships/hyperlink" Target="http://purl.obolibrary.org/obo/OBI_0000911" TargetMode="External"/><Relationship Id="rId226" Type="http://schemas.openxmlformats.org/officeDocument/2006/relationships/hyperlink" Target="http://purl.obolibrary.org/obo/OBI_0001672" TargetMode="External"/><Relationship Id="rId347" Type="http://schemas.openxmlformats.org/officeDocument/2006/relationships/hyperlink" Target="http://purl.obolibrary.org/obo/OBI_0002083" TargetMode="External"/><Relationship Id="rId104" Type="http://schemas.openxmlformats.org/officeDocument/2006/relationships/hyperlink" Target="http://purl.obolibrary.org/obo/OBI_0000911" TargetMode="External"/><Relationship Id="rId225" Type="http://schemas.openxmlformats.org/officeDocument/2006/relationships/hyperlink" Target="http://purl.obolibrary.org/obo/OBI_0001672" TargetMode="External"/><Relationship Id="rId346" Type="http://schemas.openxmlformats.org/officeDocument/2006/relationships/hyperlink" Target="http://purl.obolibrary.org/obo/OBI_0002082" TargetMode="External"/><Relationship Id="rId109" Type="http://schemas.openxmlformats.org/officeDocument/2006/relationships/hyperlink" Target="http://purl.obolibrary.org/obo/OBI_0000957" TargetMode="External"/><Relationship Id="rId108" Type="http://schemas.openxmlformats.org/officeDocument/2006/relationships/hyperlink" Target="http://purl.obolibrary.org/obo/OBI_0000957" TargetMode="External"/><Relationship Id="rId229" Type="http://schemas.openxmlformats.org/officeDocument/2006/relationships/hyperlink" Target="http://purl.obolibrary.org/obo/OBI_0001674" TargetMode="External"/><Relationship Id="rId220" Type="http://schemas.openxmlformats.org/officeDocument/2006/relationships/hyperlink" Target="http://purl.obolibrary.org/obo/OBI_0001669" TargetMode="External"/><Relationship Id="rId341" Type="http://schemas.openxmlformats.org/officeDocument/2006/relationships/hyperlink" Target="http://purl.obolibrary.org/obo/OBI_0002044" TargetMode="External"/><Relationship Id="rId340" Type="http://schemas.openxmlformats.org/officeDocument/2006/relationships/hyperlink" Target="http://purl.obolibrary.org/obo/OBI_0002043" TargetMode="External"/><Relationship Id="rId103" Type="http://schemas.openxmlformats.org/officeDocument/2006/relationships/hyperlink" Target="http://purl.obolibrary.org/obo/OBI_0000897" TargetMode="External"/><Relationship Id="rId224" Type="http://schemas.openxmlformats.org/officeDocument/2006/relationships/hyperlink" Target="http://purl.obolibrary.org/obo/OBI_0001671" TargetMode="External"/><Relationship Id="rId345" Type="http://schemas.openxmlformats.org/officeDocument/2006/relationships/hyperlink" Target="http://purl.obolibrary.org/obo/OBI_0002082" TargetMode="External"/><Relationship Id="rId102" Type="http://schemas.openxmlformats.org/officeDocument/2006/relationships/hyperlink" Target="http://purl.obolibrary.org/obo/OBI_0000897" TargetMode="External"/><Relationship Id="rId223" Type="http://schemas.openxmlformats.org/officeDocument/2006/relationships/hyperlink" Target="http://purl.obolibrary.org/obo/OBI_0001671" TargetMode="External"/><Relationship Id="rId344" Type="http://schemas.openxmlformats.org/officeDocument/2006/relationships/hyperlink" Target="http://purl.obolibrary.org/obo/OBI_0002045" TargetMode="External"/><Relationship Id="rId101" Type="http://schemas.openxmlformats.org/officeDocument/2006/relationships/hyperlink" Target="http://purl.obolibrary.org/obo/OBI_0000893" TargetMode="External"/><Relationship Id="rId222" Type="http://schemas.openxmlformats.org/officeDocument/2006/relationships/hyperlink" Target="http://purl.obolibrary.org/obo/OBI_0001670" TargetMode="External"/><Relationship Id="rId343" Type="http://schemas.openxmlformats.org/officeDocument/2006/relationships/hyperlink" Target="http://purl.obolibrary.org/obo/OBI_0002045" TargetMode="External"/><Relationship Id="rId100" Type="http://schemas.openxmlformats.org/officeDocument/2006/relationships/hyperlink" Target="http://purl.obolibrary.org/obo/OBI_0000893" TargetMode="External"/><Relationship Id="rId221" Type="http://schemas.openxmlformats.org/officeDocument/2006/relationships/hyperlink" Target="http://purl.obolibrary.org/obo/OBI_0001670" TargetMode="External"/><Relationship Id="rId342" Type="http://schemas.openxmlformats.org/officeDocument/2006/relationships/hyperlink" Target="http://purl.obolibrary.org/obo/OBI_0002044" TargetMode="External"/><Relationship Id="rId217" Type="http://schemas.openxmlformats.org/officeDocument/2006/relationships/hyperlink" Target="http://purl.obolibrary.org/obo/OBI_0001668" TargetMode="External"/><Relationship Id="rId338" Type="http://schemas.openxmlformats.org/officeDocument/2006/relationships/hyperlink" Target="http://purl.obolibrary.org/obo/OBI_0002042" TargetMode="External"/><Relationship Id="rId216" Type="http://schemas.openxmlformats.org/officeDocument/2006/relationships/hyperlink" Target="http://purl.obolibrary.org/obo/OBI_0001624" TargetMode="External"/><Relationship Id="rId337" Type="http://schemas.openxmlformats.org/officeDocument/2006/relationships/hyperlink" Target="http://purl.obolibrary.org/obo/OBI_0002042" TargetMode="External"/><Relationship Id="rId215" Type="http://schemas.openxmlformats.org/officeDocument/2006/relationships/hyperlink" Target="http://purl.obolibrary.org/obo/OBI_0001624" TargetMode="External"/><Relationship Id="rId336" Type="http://schemas.openxmlformats.org/officeDocument/2006/relationships/hyperlink" Target="http://purl.obolibrary.org/obo/OBI_0002041" TargetMode="External"/><Relationship Id="rId214" Type="http://schemas.openxmlformats.org/officeDocument/2006/relationships/hyperlink" Target="http://purl.obolibrary.org/obo/OBI_0001591" TargetMode="External"/><Relationship Id="rId335" Type="http://schemas.openxmlformats.org/officeDocument/2006/relationships/hyperlink" Target="http://purl.obolibrary.org/obo/OBI_0002041" TargetMode="External"/><Relationship Id="rId219" Type="http://schemas.openxmlformats.org/officeDocument/2006/relationships/hyperlink" Target="http://purl.obolibrary.org/obo/OBI_0001669" TargetMode="External"/><Relationship Id="rId218" Type="http://schemas.openxmlformats.org/officeDocument/2006/relationships/hyperlink" Target="http://purl.obolibrary.org/obo/OBI_0001668" TargetMode="External"/><Relationship Id="rId339" Type="http://schemas.openxmlformats.org/officeDocument/2006/relationships/hyperlink" Target="http://purl.obolibrary.org/obo/OBI_0002043" TargetMode="External"/><Relationship Id="rId330" Type="http://schemas.openxmlformats.org/officeDocument/2006/relationships/hyperlink" Target="http://purl.obolibrary.org/obo/OBI_0002038" TargetMode="External"/><Relationship Id="rId213" Type="http://schemas.openxmlformats.org/officeDocument/2006/relationships/hyperlink" Target="http://purl.obolibrary.org/obo/OBI_0001591" TargetMode="External"/><Relationship Id="rId334" Type="http://schemas.openxmlformats.org/officeDocument/2006/relationships/hyperlink" Target="http://purl.obolibrary.org/obo/OBI_0002040" TargetMode="External"/><Relationship Id="rId212" Type="http://schemas.openxmlformats.org/officeDocument/2006/relationships/hyperlink" Target="http://purl.obolibrary.org/obo/OBI_0001499" TargetMode="External"/><Relationship Id="rId333" Type="http://schemas.openxmlformats.org/officeDocument/2006/relationships/hyperlink" Target="http://purl.obolibrary.org/obo/OBI_0002040" TargetMode="External"/><Relationship Id="rId211" Type="http://schemas.openxmlformats.org/officeDocument/2006/relationships/hyperlink" Target="http://purl.obolibrary.org/obo/OBI_0001499" TargetMode="External"/><Relationship Id="rId332" Type="http://schemas.openxmlformats.org/officeDocument/2006/relationships/hyperlink" Target="http://purl.obolibrary.org/obo/OBI_0002039" TargetMode="External"/><Relationship Id="rId210" Type="http://schemas.openxmlformats.org/officeDocument/2006/relationships/hyperlink" Target="http://purl.obolibrary.org/obo/OBI_0001491" TargetMode="External"/><Relationship Id="rId331" Type="http://schemas.openxmlformats.org/officeDocument/2006/relationships/hyperlink" Target="http://purl.obolibrary.org/obo/OBI_0002039" TargetMode="External"/><Relationship Id="rId370" Type="http://schemas.openxmlformats.org/officeDocument/2006/relationships/hyperlink" Target="http://purl.obolibrary.org/obo/OBI_0600047" TargetMode="External"/><Relationship Id="rId129" Type="http://schemas.openxmlformats.org/officeDocument/2006/relationships/hyperlink" Target="http://purl.obolibrary.org/obo/OBI_0001013" TargetMode="External"/><Relationship Id="rId128" Type="http://schemas.openxmlformats.org/officeDocument/2006/relationships/hyperlink" Target="http://purl.obolibrary.org/obo/OBI_0001013" TargetMode="External"/><Relationship Id="rId249" Type="http://schemas.openxmlformats.org/officeDocument/2006/relationships/hyperlink" Target="http://purl.obolibrary.org/obo/OBI_0001848" TargetMode="External"/><Relationship Id="rId127" Type="http://schemas.openxmlformats.org/officeDocument/2006/relationships/hyperlink" Target="http://purl.obolibrary.org/obo/OBI_0001012" TargetMode="External"/><Relationship Id="rId248" Type="http://schemas.openxmlformats.org/officeDocument/2006/relationships/hyperlink" Target="http://purl.obolibrary.org/obo/OBI_0001689" TargetMode="External"/><Relationship Id="rId369" Type="http://schemas.openxmlformats.org/officeDocument/2006/relationships/hyperlink" Target="http://purl.obolibrary.org/obo/OBI_0600047" TargetMode="External"/><Relationship Id="rId126" Type="http://schemas.openxmlformats.org/officeDocument/2006/relationships/hyperlink" Target="http://purl.obolibrary.org/obo/OBI_0001012" TargetMode="External"/><Relationship Id="rId247" Type="http://schemas.openxmlformats.org/officeDocument/2006/relationships/hyperlink" Target="http://purl.obolibrary.org/obo/OBI_0001689" TargetMode="External"/><Relationship Id="rId368" Type="http://schemas.openxmlformats.org/officeDocument/2006/relationships/hyperlink" Target="http://purl.obolibrary.org/obo/OBI_0600026" TargetMode="External"/><Relationship Id="rId121" Type="http://schemas.openxmlformats.org/officeDocument/2006/relationships/hyperlink" Target="http://purl.obolibrary.org/obo/OBI_0001006" TargetMode="External"/><Relationship Id="rId242" Type="http://schemas.openxmlformats.org/officeDocument/2006/relationships/hyperlink" Target="http://purl.obolibrary.org/obo/OBI_0001684" TargetMode="External"/><Relationship Id="rId363" Type="http://schemas.openxmlformats.org/officeDocument/2006/relationships/hyperlink" Target="http://purl.obolibrary.org/obo/OBI_0600020" TargetMode="External"/><Relationship Id="rId120" Type="http://schemas.openxmlformats.org/officeDocument/2006/relationships/hyperlink" Target="http://purl.obolibrary.org/obo/OBI_0001006" TargetMode="External"/><Relationship Id="rId241" Type="http://schemas.openxmlformats.org/officeDocument/2006/relationships/hyperlink" Target="http://purl.obolibrary.org/obo/OBI_0001684" TargetMode="External"/><Relationship Id="rId362" Type="http://schemas.openxmlformats.org/officeDocument/2006/relationships/hyperlink" Target="http://purl.obolibrary.org/obo/OBI_0600017" TargetMode="External"/><Relationship Id="rId240" Type="http://schemas.openxmlformats.org/officeDocument/2006/relationships/hyperlink" Target="http://purl.obolibrary.org/obo/OBI_0001683" TargetMode="External"/><Relationship Id="rId361" Type="http://schemas.openxmlformats.org/officeDocument/2006/relationships/hyperlink" Target="http://purl.obolibrary.org/obo/OBI_0600017" TargetMode="External"/><Relationship Id="rId360" Type="http://schemas.openxmlformats.org/officeDocument/2006/relationships/hyperlink" Target="http://purl.obolibrary.org/obo/OBI_0600003" TargetMode="External"/><Relationship Id="rId125" Type="http://schemas.openxmlformats.org/officeDocument/2006/relationships/hyperlink" Target="http://purl.obolibrary.org/obo/OBI_0001011" TargetMode="External"/><Relationship Id="rId246" Type="http://schemas.openxmlformats.org/officeDocument/2006/relationships/hyperlink" Target="http://purl.obolibrary.org/obo/OBI_0001686" TargetMode="External"/><Relationship Id="rId367" Type="http://schemas.openxmlformats.org/officeDocument/2006/relationships/hyperlink" Target="http://purl.obolibrary.org/obo/OBI_0600026" TargetMode="External"/><Relationship Id="rId124" Type="http://schemas.openxmlformats.org/officeDocument/2006/relationships/hyperlink" Target="http://purl.obolibrary.org/obo/OBI_0001011" TargetMode="External"/><Relationship Id="rId245" Type="http://schemas.openxmlformats.org/officeDocument/2006/relationships/hyperlink" Target="http://purl.obolibrary.org/obo/OBI_0001686" TargetMode="External"/><Relationship Id="rId366" Type="http://schemas.openxmlformats.org/officeDocument/2006/relationships/hyperlink" Target="http://purl.obolibrary.org/obo/OBI_0600025" TargetMode="External"/><Relationship Id="rId123" Type="http://schemas.openxmlformats.org/officeDocument/2006/relationships/hyperlink" Target="http://purl.obolibrary.org/obo/OBI_0001008" TargetMode="External"/><Relationship Id="rId244" Type="http://schemas.openxmlformats.org/officeDocument/2006/relationships/hyperlink" Target="http://purl.obolibrary.org/obo/OBI_0001685" TargetMode="External"/><Relationship Id="rId365" Type="http://schemas.openxmlformats.org/officeDocument/2006/relationships/hyperlink" Target="http://purl.obolibrary.org/obo/OBI_0600025" TargetMode="External"/><Relationship Id="rId122" Type="http://schemas.openxmlformats.org/officeDocument/2006/relationships/hyperlink" Target="http://purl.obolibrary.org/obo/OBI_0001008" TargetMode="External"/><Relationship Id="rId243" Type="http://schemas.openxmlformats.org/officeDocument/2006/relationships/hyperlink" Target="http://purl.obolibrary.org/obo/OBI_0001685" TargetMode="External"/><Relationship Id="rId364" Type="http://schemas.openxmlformats.org/officeDocument/2006/relationships/hyperlink" Target="http://purl.obolibrary.org/obo/OBI_0600020" TargetMode="External"/><Relationship Id="rId95" Type="http://schemas.openxmlformats.org/officeDocument/2006/relationships/hyperlink" Target="http://purl.obolibrary.org/obo/OBI_0000872" TargetMode="External"/><Relationship Id="rId94" Type="http://schemas.openxmlformats.org/officeDocument/2006/relationships/hyperlink" Target="http://purl.obolibrary.org/obo/OBI_0000872" TargetMode="External"/><Relationship Id="rId97" Type="http://schemas.openxmlformats.org/officeDocument/2006/relationships/hyperlink" Target="http://purl.obolibrary.org/obo/OBI_0000875" TargetMode="External"/><Relationship Id="rId96" Type="http://schemas.openxmlformats.org/officeDocument/2006/relationships/hyperlink" Target="http://purl.obolibrary.org/obo/OBI_0000875" TargetMode="External"/><Relationship Id="rId99" Type="http://schemas.openxmlformats.org/officeDocument/2006/relationships/hyperlink" Target="http://purl.obolibrary.org/obo/OBI_0000892" TargetMode="External"/><Relationship Id="rId98" Type="http://schemas.openxmlformats.org/officeDocument/2006/relationships/hyperlink" Target="http://purl.obolibrary.org/obo/OBI_0000892" TargetMode="External"/><Relationship Id="rId91" Type="http://schemas.openxmlformats.org/officeDocument/2006/relationships/hyperlink" Target="http://purl.obolibrary.org/obo/OBI_0000870" TargetMode="External"/><Relationship Id="rId90" Type="http://schemas.openxmlformats.org/officeDocument/2006/relationships/hyperlink" Target="http://purl.obolibrary.org/obo/OBI_0000870" TargetMode="External"/><Relationship Id="rId93" Type="http://schemas.openxmlformats.org/officeDocument/2006/relationships/hyperlink" Target="http://purl.obolibrary.org/obo/OBI_0000871" TargetMode="External"/><Relationship Id="rId92" Type="http://schemas.openxmlformats.org/officeDocument/2006/relationships/hyperlink" Target="http://purl.obolibrary.org/obo/OBI_0000871" TargetMode="External"/><Relationship Id="rId118" Type="http://schemas.openxmlformats.org/officeDocument/2006/relationships/hyperlink" Target="http://purl.obolibrary.org/obo/OBI_0001005" TargetMode="External"/><Relationship Id="rId239" Type="http://schemas.openxmlformats.org/officeDocument/2006/relationships/hyperlink" Target="http://purl.obolibrary.org/obo/OBI_0001683" TargetMode="External"/><Relationship Id="rId117" Type="http://schemas.openxmlformats.org/officeDocument/2006/relationships/hyperlink" Target="http://purl.obolibrary.org/obo/OBI_0001001" TargetMode="External"/><Relationship Id="rId238" Type="http://schemas.openxmlformats.org/officeDocument/2006/relationships/hyperlink" Target="http://purl.obolibrary.org/obo/OBI_0001682" TargetMode="External"/><Relationship Id="rId359" Type="http://schemas.openxmlformats.org/officeDocument/2006/relationships/hyperlink" Target="http://purl.obolibrary.org/obo/OBI_0600003" TargetMode="External"/><Relationship Id="rId116" Type="http://schemas.openxmlformats.org/officeDocument/2006/relationships/hyperlink" Target="http://purl.obolibrary.org/obo/OBI_0001001" TargetMode="External"/><Relationship Id="rId237" Type="http://schemas.openxmlformats.org/officeDocument/2006/relationships/hyperlink" Target="http://purl.obolibrary.org/obo/OBI_0001682" TargetMode="External"/><Relationship Id="rId358" Type="http://schemas.openxmlformats.org/officeDocument/2006/relationships/hyperlink" Target="http://purl.obolibrary.org/obo/OBI_0600002" TargetMode="External"/><Relationship Id="rId115" Type="http://schemas.openxmlformats.org/officeDocument/2006/relationships/hyperlink" Target="http://purl.obolibrary.org/obo/OBI_0000978" TargetMode="External"/><Relationship Id="rId236" Type="http://schemas.openxmlformats.org/officeDocument/2006/relationships/hyperlink" Target="http://purl.obolibrary.org/obo/OBI_0001681" TargetMode="External"/><Relationship Id="rId357" Type="http://schemas.openxmlformats.org/officeDocument/2006/relationships/hyperlink" Target="http://purl.obolibrary.org/obo/OBI_0600002" TargetMode="External"/><Relationship Id="rId119" Type="http://schemas.openxmlformats.org/officeDocument/2006/relationships/hyperlink" Target="http://purl.obolibrary.org/obo/OBI_0001005" TargetMode="External"/><Relationship Id="rId110" Type="http://schemas.openxmlformats.org/officeDocument/2006/relationships/hyperlink" Target="http://purl.obolibrary.org/obo/OBI_0000964" TargetMode="External"/><Relationship Id="rId231" Type="http://schemas.openxmlformats.org/officeDocument/2006/relationships/hyperlink" Target="http://purl.obolibrary.org/obo/OBI_0001679" TargetMode="External"/><Relationship Id="rId352" Type="http://schemas.openxmlformats.org/officeDocument/2006/relationships/hyperlink" Target="http://purl.obolibrary.org/obo/OBI_0002085" TargetMode="External"/><Relationship Id="rId230" Type="http://schemas.openxmlformats.org/officeDocument/2006/relationships/hyperlink" Target="http://purl.obolibrary.org/obo/OBI_0001674" TargetMode="External"/><Relationship Id="rId351" Type="http://schemas.openxmlformats.org/officeDocument/2006/relationships/hyperlink" Target="http://purl.obolibrary.org/obo/OBI_0002085" TargetMode="External"/><Relationship Id="rId350" Type="http://schemas.openxmlformats.org/officeDocument/2006/relationships/hyperlink" Target="http://purl.obolibrary.org/obo/OBI_0002084" TargetMode="External"/><Relationship Id="rId114" Type="http://schemas.openxmlformats.org/officeDocument/2006/relationships/hyperlink" Target="http://purl.obolibrary.org/obo/OBI_0000978" TargetMode="External"/><Relationship Id="rId235" Type="http://schemas.openxmlformats.org/officeDocument/2006/relationships/hyperlink" Target="http://purl.obolibrary.org/obo/OBI_0001681" TargetMode="External"/><Relationship Id="rId356" Type="http://schemas.openxmlformats.org/officeDocument/2006/relationships/hyperlink" Target="http://purl.obolibrary.org/obo/OBI_0302737" TargetMode="External"/><Relationship Id="rId113" Type="http://schemas.openxmlformats.org/officeDocument/2006/relationships/hyperlink" Target="http://purl.obolibrary.org/obo/OBI_0000966" TargetMode="External"/><Relationship Id="rId234" Type="http://schemas.openxmlformats.org/officeDocument/2006/relationships/hyperlink" Target="http://purl.obolibrary.org/obo/OBI_0001680" TargetMode="External"/><Relationship Id="rId355" Type="http://schemas.openxmlformats.org/officeDocument/2006/relationships/hyperlink" Target="http://purl.obolibrary.org/obo/OBI_0302737" TargetMode="External"/><Relationship Id="rId112" Type="http://schemas.openxmlformats.org/officeDocument/2006/relationships/hyperlink" Target="http://purl.obolibrary.org/obo/OBI_0000966" TargetMode="External"/><Relationship Id="rId233" Type="http://schemas.openxmlformats.org/officeDocument/2006/relationships/hyperlink" Target="http://purl.obolibrary.org/obo/OBI_0001680" TargetMode="External"/><Relationship Id="rId354" Type="http://schemas.openxmlformats.org/officeDocument/2006/relationships/hyperlink" Target="http://purl.obolibrary.org/obo/OBI_0302736" TargetMode="External"/><Relationship Id="rId111" Type="http://schemas.openxmlformats.org/officeDocument/2006/relationships/hyperlink" Target="http://purl.obolibrary.org/obo/OBI_0000964" TargetMode="External"/><Relationship Id="rId232" Type="http://schemas.openxmlformats.org/officeDocument/2006/relationships/hyperlink" Target="http://purl.obolibrary.org/obo/OBI_0001679" TargetMode="External"/><Relationship Id="rId353" Type="http://schemas.openxmlformats.org/officeDocument/2006/relationships/hyperlink" Target="http://purl.obolibrary.org/obo/OBI_0302736" TargetMode="External"/><Relationship Id="rId305" Type="http://schemas.openxmlformats.org/officeDocument/2006/relationships/hyperlink" Target="http://purl.obolibrary.org/obo/OBI_0002018" TargetMode="External"/><Relationship Id="rId304" Type="http://schemas.openxmlformats.org/officeDocument/2006/relationships/hyperlink" Target="http://purl.obolibrary.org/obo/OBI_0002017" TargetMode="External"/><Relationship Id="rId303" Type="http://schemas.openxmlformats.org/officeDocument/2006/relationships/hyperlink" Target="http://purl.obolibrary.org/obo/OBI_0002017" TargetMode="External"/><Relationship Id="rId302" Type="http://schemas.openxmlformats.org/officeDocument/2006/relationships/hyperlink" Target="http://purl.obolibrary.org/obo/OBI_0002016" TargetMode="External"/><Relationship Id="rId309" Type="http://schemas.openxmlformats.org/officeDocument/2006/relationships/hyperlink" Target="http://purl.obolibrary.org/obo/OBI_0002020" TargetMode="External"/><Relationship Id="rId308" Type="http://schemas.openxmlformats.org/officeDocument/2006/relationships/hyperlink" Target="http://purl.obolibrary.org/obo/OBI_0002019" TargetMode="External"/><Relationship Id="rId307" Type="http://schemas.openxmlformats.org/officeDocument/2006/relationships/hyperlink" Target="http://purl.obolibrary.org/obo/OBI_0002019" TargetMode="External"/><Relationship Id="rId306" Type="http://schemas.openxmlformats.org/officeDocument/2006/relationships/hyperlink" Target="http://purl.obolibrary.org/obo/OBI_0002018" TargetMode="External"/><Relationship Id="rId301" Type="http://schemas.openxmlformats.org/officeDocument/2006/relationships/hyperlink" Target="http://purl.obolibrary.org/obo/OBI_0002016" TargetMode="External"/><Relationship Id="rId300" Type="http://schemas.openxmlformats.org/officeDocument/2006/relationships/hyperlink" Target="http://purl.obolibrary.org/obo/OBI_0002015" TargetMode="External"/><Relationship Id="rId206" Type="http://schemas.openxmlformats.org/officeDocument/2006/relationships/hyperlink" Target="http://purl.obolibrary.org/obo/OBI_0001419" TargetMode="External"/><Relationship Id="rId327" Type="http://schemas.openxmlformats.org/officeDocument/2006/relationships/hyperlink" Target="http://purl.obolibrary.org/obo/OBI_0002037" TargetMode="External"/><Relationship Id="rId205" Type="http://schemas.openxmlformats.org/officeDocument/2006/relationships/hyperlink" Target="http://purl.obolibrary.org/obo/OBI_0001419" TargetMode="External"/><Relationship Id="rId326" Type="http://schemas.openxmlformats.org/officeDocument/2006/relationships/hyperlink" Target="http://purl.obolibrary.org/obo/OBI_0002036" TargetMode="External"/><Relationship Id="rId204" Type="http://schemas.openxmlformats.org/officeDocument/2006/relationships/hyperlink" Target="http://purl.obolibrary.org/obo/OBI_0001393" TargetMode="External"/><Relationship Id="rId325" Type="http://schemas.openxmlformats.org/officeDocument/2006/relationships/hyperlink" Target="http://purl.obolibrary.org/obo/OBI_0002036" TargetMode="External"/><Relationship Id="rId203" Type="http://schemas.openxmlformats.org/officeDocument/2006/relationships/hyperlink" Target="http://purl.obolibrary.org/obo/OBI_0001393" TargetMode="External"/><Relationship Id="rId324" Type="http://schemas.openxmlformats.org/officeDocument/2006/relationships/hyperlink" Target="http://purl.obolibrary.org/obo/OBI_0002035" TargetMode="External"/><Relationship Id="rId209" Type="http://schemas.openxmlformats.org/officeDocument/2006/relationships/hyperlink" Target="http://purl.obolibrary.org/obo/OBI_0001491" TargetMode="External"/><Relationship Id="rId208" Type="http://schemas.openxmlformats.org/officeDocument/2006/relationships/hyperlink" Target="http://purl.obolibrary.org/obo/OBI_0001463" TargetMode="External"/><Relationship Id="rId329" Type="http://schemas.openxmlformats.org/officeDocument/2006/relationships/hyperlink" Target="http://purl.obolibrary.org/obo/OBI_0002038" TargetMode="External"/><Relationship Id="rId207" Type="http://schemas.openxmlformats.org/officeDocument/2006/relationships/hyperlink" Target="http://purl.obolibrary.org/obo/OBI_0001463" TargetMode="External"/><Relationship Id="rId328" Type="http://schemas.openxmlformats.org/officeDocument/2006/relationships/hyperlink" Target="http://purl.obolibrary.org/obo/OBI_0002037" TargetMode="External"/><Relationship Id="rId202" Type="http://schemas.openxmlformats.org/officeDocument/2006/relationships/hyperlink" Target="http://purl.obolibrary.org/obo/OBI_0001361" TargetMode="External"/><Relationship Id="rId323" Type="http://schemas.openxmlformats.org/officeDocument/2006/relationships/hyperlink" Target="http://purl.obolibrary.org/obo/OBI_0002035" TargetMode="External"/><Relationship Id="rId201" Type="http://schemas.openxmlformats.org/officeDocument/2006/relationships/hyperlink" Target="http://purl.obolibrary.org/obo/OBI_0001361" TargetMode="External"/><Relationship Id="rId322" Type="http://schemas.openxmlformats.org/officeDocument/2006/relationships/hyperlink" Target="http://purl.obolibrary.org/obo/OBI_0002034" TargetMode="External"/><Relationship Id="rId200" Type="http://schemas.openxmlformats.org/officeDocument/2006/relationships/hyperlink" Target="http://purl.obolibrary.org/obo/OBI_0001335" TargetMode="External"/><Relationship Id="rId321" Type="http://schemas.openxmlformats.org/officeDocument/2006/relationships/hyperlink" Target="http://purl.obolibrary.org/obo/OBI_0002034" TargetMode="External"/><Relationship Id="rId320" Type="http://schemas.openxmlformats.org/officeDocument/2006/relationships/hyperlink" Target="http://purl.obolibrary.org/obo/OBI_0002033" TargetMode="External"/><Relationship Id="rId316" Type="http://schemas.openxmlformats.org/officeDocument/2006/relationships/hyperlink" Target="http://purl.obolibrary.org/obo/OBI_0002031" TargetMode="External"/><Relationship Id="rId315" Type="http://schemas.openxmlformats.org/officeDocument/2006/relationships/hyperlink" Target="http://purl.obolibrary.org/obo/OBI_0002031" TargetMode="External"/><Relationship Id="rId314" Type="http://schemas.openxmlformats.org/officeDocument/2006/relationships/hyperlink" Target="http://purl.obolibrary.org/obo/OBI_0002030" TargetMode="External"/><Relationship Id="rId313" Type="http://schemas.openxmlformats.org/officeDocument/2006/relationships/hyperlink" Target="http://purl.obolibrary.org/obo/OBI_0002030" TargetMode="External"/><Relationship Id="rId319" Type="http://schemas.openxmlformats.org/officeDocument/2006/relationships/hyperlink" Target="http://purl.obolibrary.org/obo/OBI_0002033" TargetMode="External"/><Relationship Id="rId318" Type="http://schemas.openxmlformats.org/officeDocument/2006/relationships/hyperlink" Target="http://purl.obolibrary.org/obo/OBI_0002032" TargetMode="External"/><Relationship Id="rId317" Type="http://schemas.openxmlformats.org/officeDocument/2006/relationships/hyperlink" Target="http://purl.obolibrary.org/obo/OBI_0002032" TargetMode="External"/><Relationship Id="rId312" Type="http://schemas.openxmlformats.org/officeDocument/2006/relationships/hyperlink" Target="http://purl.obolibrary.org/obo/OBI_0002029" TargetMode="External"/><Relationship Id="rId311" Type="http://schemas.openxmlformats.org/officeDocument/2006/relationships/hyperlink" Target="http://purl.obolibrary.org/obo/OBI_0002029" TargetMode="External"/><Relationship Id="rId310" Type="http://schemas.openxmlformats.org/officeDocument/2006/relationships/hyperlink" Target="http://purl.obolibrary.org/obo/OBI_0002020"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purl.obolibrary.org/obo/OBI_0001516" TargetMode="External"/><Relationship Id="rId194" Type="http://schemas.openxmlformats.org/officeDocument/2006/relationships/hyperlink" Target="http://purl.obolibrary.org/obo/OBI_0001521" TargetMode="External"/><Relationship Id="rId193" Type="http://schemas.openxmlformats.org/officeDocument/2006/relationships/hyperlink" Target="http://purl.obolibrary.org/obo/OBI_0001520" TargetMode="External"/><Relationship Id="rId192" Type="http://schemas.openxmlformats.org/officeDocument/2006/relationships/hyperlink" Target="http://purl.obolibrary.org/obo/OBI_0001519" TargetMode="External"/><Relationship Id="rId191" Type="http://schemas.openxmlformats.org/officeDocument/2006/relationships/hyperlink" Target="http://purl.obolibrary.org/obo/OBI_0001517" TargetMode="External"/><Relationship Id="rId187" Type="http://schemas.openxmlformats.org/officeDocument/2006/relationships/hyperlink" Target="http://purl.obolibrary.org/obo/OBI_0001510" TargetMode="External"/><Relationship Id="rId186" Type="http://schemas.openxmlformats.org/officeDocument/2006/relationships/hyperlink" Target="http://purl.obolibrary.org/obo/OBI_0001509" TargetMode="External"/><Relationship Id="rId185" Type="http://schemas.openxmlformats.org/officeDocument/2006/relationships/hyperlink" Target="http://purl.obolibrary.org/obo/OBI_0001507" TargetMode="External"/><Relationship Id="rId184" Type="http://schemas.openxmlformats.org/officeDocument/2006/relationships/hyperlink" Target="http://purl.obolibrary.org/obo/OBI_0001501" TargetMode="External"/><Relationship Id="rId189" Type="http://schemas.openxmlformats.org/officeDocument/2006/relationships/hyperlink" Target="http://purl.obolibrary.org/obo/OBI_0001513" TargetMode="External"/><Relationship Id="rId188" Type="http://schemas.openxmlformats.org/officeDocument/2006/relationships/hyperlink" Target="http://purl.obolibrary.org/obo/OBI_0001512" TargetMode="External"/><Relationship Id="rId183" Type="http://schemas.openxmlformats.org/officeDocument/2006/relationships/hyperlink" Target="http://purl.obolibrary.org/obo/OBI_0001497" TargetMode="External"/><Relationship Id="rId182" Type="http://schemas.openxmlformats.org/officeDocument/2006/relationships/hyperlink" Target="http://purl.obolibrary.org/obo/OBI_0001496" TargetMode="External"/><Relationship Id="rId181" Type="http://schemas.openxmlformats.org/officeDocument/2006/relationships/hyperlink" Target="http://purl.obolibrary.org/obo/OBI_0001495" TargetMode="External"/><Relationship Id="rId180" Type="http://schemas.openxmlformats.org/officeDocument/2006/relationships/hyperlink" Target="http://purl.obolibrary.org/obo/OBI_0001493" TargetMode="External"/><Relationship Id="rId176" Type="http://schemas.openxmlformats.org/officeDocument/2006/relationships/hyperlink" Target="http://purl.obolibrary.org/obo/OBI_0001488" TargetMode="External"/><Relationship Id="rId297" Type="http://schemas.openxmlformats.org/officeDocument/2006/relationships/hyperlink" Target="http://purl.obolibrary.org/obo/OBI_0001705" TargetMode="External"/><Relationship Id="rId175" Type="http://schemas.openxmlformats.org/officeDocument/2006/relationships/hyperlink" Target="http://purl.obolibrary.org/obo/OBI_0001484" TargetMode="External"/><Relationship Id="rId296" Type="http://schemas.openxmlformats.org/officeDocument/2006/relationships/hyperlink" Target="http://purl.obolibrary.org/obo/OBI_0001704" TargetMode="External"/><Relationship Id="rId174" Type="http://schemas.openxmlformats.org/officeDocument/2006/relationships/hyperlink" Target="http://purl.obolibrary.org/obo/OBI_0001482" TargetMode="External"/><Relationship Id="rId295" Type="http://schemas.openxmlformats.org/officeDocument/2006/relationships/hyperlink" Target="http://purl.obolibrary.org/obo/OBI_0001703" TargetMode="External"/><Relationship Id="rId173" Type="http://schemas.openxmlformats.org/officeDocument/2006/relationships/hyperlink" Target="http://purl.obolibrary.org/obo/OBI_0001478" TargetMode="External"/><Relationship Id="rId294" Type="http://schemas.openxmlformats.org/officeDocument/2006/relationships/hyperlink" Target="http://purl.obolibrary.org/obo/OBI_0001701" TargetMode="External"/><Relationship Id="rId179" Type="http://schemas.openxmlformats.org/officeDocument/2006/relationships/hyperlink" Target="http://purl.obolibrary.org/obo/OBI_0001492" TargetMode="External"/><Relationship Id="rId178" Type="http://schemas.openxmlformats.org/officeDocument/2006/relationships/hyperlink" Target="http://purl.obolibrary.org/obo/OBI_0001490" TargetMode="External"/><Relationship Id="rId299" Type="http://schemas.openxmlformats.org/officeDocument/2006/relationships/hyperlink" Target="http://purl.obolibrary.org/obo/OBI_0001708" TargetMode="External"/><Relationship Id="rId177" Type="http://schemas.openxmlformats.org/officeDocument/2006/relationships/hyperlink" Target="http://purl.obolibrary.org/obo/OBI_0001489" TargetMode="External"/><Relationship Id="rId298" Type="http://schemas.openxmlformats.org/officeDocument/2006/relationships/hyperlink" Target="http://purl.obolibrary.org/obo/OBI_0001706" TargetMode="External"/><Relationship Id="rId198" Type="http://schemas.openxmlformats.org/officeDocument/2006/relationships/hyperlink" Target="http://purl.obolibrary.org/obo/OBI_0001532" TargetMode="External"/><Relationship Id="rId197" Type="http://schemas.openxmlformats.org/officeDocument/2006/relationships/hyperlink" Target="http://purl.obolibrary.org/obo/OBI_0001531" TargetMode="External"/><Relationship Id="rId196" Type="http://schemas.openxmlformats.org/officeDocument/2006/relationships/hyperlink" Target="http://purl.obolibrary.org/obo/OBI_0001524" TargetMode="External"/><Relationship Id="rId195" Type="http://schemas.openxmlformats.org/officeDocument/2006/relationships/hyperlink" Target="http://purl.obolibrary.org/obo/OBI_0001523" TargetMode="External"/><Relationship Id="rId199" Type="http://schemas.openxmlformats.org/officeDocument/2006/relationships/hyperlink" Target="http://purl.obolibrary.org/obo/OBI_0001534" TargetMode="External"/><Relationship Id="rId150" Type="http://schemas.openxmlformats.org/officeDocument/2006/relationships/hyperlink" Target="http://purl.obolibrary.org/obo/OBI_0001423" TargetMode="External"/><Relationship Id="rId271" Type="http://schemas.openxmlformats.org/officeDocument/2006/relationships/hyperlink" Target="http://purl.obolibrary.org/obo/OBI_0001656" TargetMode="External"/><Relationship Id="rId392" Type="http://schemas.openxmlformats.org/officeDocument/2006/relationships/hyperlink" Target="http://purl.obolibrary.org/obo/OBI_0001813" TargetMode="External"/><Relationship Id="rId270" Type="http://schemas.openxmlformats.org/officeDocument/2006/relationships/hyperlink" Target="http://purl.obolibrary.org/obo/OBI_0001655" TargetMode="External"/><Relationship Id="rId391" Type="http://schemas.openxmlformats.org/officeDocument/2006/relationships/hyperlink" Target="http://purl.obolibrary.org/obo/OBI_0001812" TargetMode="External"/><Relationship Id="rId390" Type="http://schemas.openxmlformats.org/officeDocument/2006/relationships/hyperlink" Target="http://purl.obolibrary.org/obo/OBI_0001811" TargetMode="External"/><Relationship Id="rId1" Type="http://schemas.openxmlformats.org/officeDocument/2006/relationships/hyperlink" Target="http://purl.obolibrary.org/obo/OBI_0000070" TargetMode="External"/><Relationship Id="rId2" Type="http://schemas.openxmlformats.org/officeDocument/2006/relationships/hyperlink" Target="http://purl.obolibrary.org/obo/OBI_0000182" TargetMode="External"/><Relationship Id="rId3" Type="http://schemas.openxmlformats.org/officeDocument/2006/relationships/hyperlink" Target="http://purl.obolibrary.org/obo/OBI_0000201" TargetMode="External"/><Relationship Id="rId149" Type="http://schemas.openxmlformats.org/officeDocument/2006/relationships/hyperlink" Target="http://purl.obolibrary.org/obo/OBI_0001416" TargetMode="External"/><Relationship Id="rId4" Type="http://schemas.openxmlformats.org/officeDocument/2006/relationships/hyperlink" Target="http://purl.obolibrary.org/obo/OBI_0000661" TargetMode="External"/><Relationship Id="rId148" Type="http://schemas.openxmlformats.org/officeDocument/2006/relationships/hyperlink" Target="http://purl.obolibrary.org/obo/OBI_0001414" TargetMode="External"/><Relationship Id="rId269" Type="http://schemas.openxmlformats.org/officeDocument/2006/relationships/hyperlink" Target="http://purl.obolibrary.org/obo/OBI_0001654" TargetMode="External"/><Relationship Id="rId9" Type="http://schemas.openxmlformats.org/officeDocument/2006/relationships/hyperlink" Target="http://purl.obolibrary.org/obo/OBI_0000874" TargetMode="External"/><Relationship Id="rId143" Type="http://schemas.openxmlformats.org/officeDocument/2006/relationships/hyperlink" Target="http://purl.obolibrary.org/obo/OBI_0001405" TargetMode="External"/><Relationship Id="rId264" Type="http://schemas.openxmlformats.org/officeDocument/2006/relationships/hyperlink" Target="http://purl.obolibrary.org/obo/OBI_0001649" TargetMode="External"/><Relationship Id="rId385" Type="http://schemas.openxmlformats.org/officeDocument/2006/relationships/hyperlink" Target="http://purl.obolibrary.org/obo/OBI_0001806" TargetMode="External"/><Relationship Id="rId142" Type="http://schemas.openxmlformats.org/officeDocument/2006/relationships/hyperlink" Target="http://purl.obolibrary.org/obo/OBI_0001402" TargetMode="External"/><Relationship Id="rId263" Type="http://schemas.openxmlformats.org/officeDocument/2006/relationships/hyperlink" Target="http://purl.obolibrary.org/obo/OBI_0001648" TargetMode="External"/><Relationship Id="rId384" Type="http://schemas.openxmlformats.org/officeDocument/2006/relationships/hyperlink" Target="http://purl.obolibrary.org/obo/OBI_0001805" TargetMode="External"/><Relationship Id="rId141" Type="http://schemas.openxmlformats.org/officeDocument/2006/relationships/hyperlink" Target="http://purl.obolibrary.org/obo/OBI_0001400" TargetMode="External"/><Relationship Id="rId262" Type="http://schemas.openxmlformats.org/officeDocument/2006/relationships/hyperlink" Target="http://purl.obolibrary.org/obo/OBI_0001647" TargetMode="External"/><Relationship Id="rId383" Type="http://schemas.openxmlformats.org/officeDocument/2006/relationships/hyperlink" Target="http://purl.obolibrary.org/obo/OBI_0001804" TargetMode="External"/><Relationship Id="rId140" Type="http://schemas.openxmlformats.org/officeDocument/2006/relationships/hyperlink" Target="http://purl.obolibrary.org/obo/OBI_0001397" TargetMode="External"/><Relationship Id="rId261" Type="http://schemas.openxmlformats.org/officeDocument/2006/relationships/hyperlink" Target="http://purl.obolibrary.org/obo/OBI_0001646" TargetMode="External"/><Relationship Id="rId382" Type="http://schemas.openxmlformats.org/officeDocument/2006/relationships/hyperlink" Target="http://purl.obolibrary.org/obo/OBI_0001803" TargetMode="External"/><Relationship Id="rId5" Type="http://schemas.openxmlformats.org/officeDocument/2006/relationships/hyperlink" Target="http://purl.obolibrary.org/obo/OBI_0000664" TargetMode="External"/><Relationship Id="rId147" Type="http://schemas.openxmlformats.org/officeDocument/2006/relationships/hyperlink" Target="http://purl.obolibrary.org/obo/OBI_0001413" TargetMode="External"/><Relationship Id="rId268" Type="http://schemas.openxmlformats.org/officeDocument/2006/relationships/hyperlink" Target="http://purl.obolibrary.org/obo/OBI_0001653" TargetMode="External"/><Relationship Id="rId389" Type="http://schemas.openxmlformats.org/officeDocument/2006/relationships/hyperlink" Target="http://purl.obolibrary.org/obo/OBI_0001810" TargetMode="External"/><Relationship Id="rId6" Type="http://schemas.openxmlformats.org/officeDocument/2006/relationships/hyperlink" Target="http://purl.obolibrary.org/obo/OBI_0000669" TargetMode="External"/><Relationship Id="rId146" Type="http://schemas.openxmlformats.org/officeDocument/2006/relationships/hyperlink" Target="http://purl.obolibrary.org/obo/OBI_0001412" TargetMode="External"/><Relationship Id="rId267" Type="http://schemas.openxmlformats.org/officeDocument/2006/relationships/hyperlink" Target="http://purl.obolibrary.org/obo/OBI_0001652" TargetMode="External"/><Relationship Id="rId388" Type="http://schemas.openxmlformats.org/officeDocument/2006/relationships/hyperlink" Target="http://purl.obolibrary.org/obo/OBI_0001809" TargetMode="External"/><Relationship Id="rId7" Type="http://schemas.openxmlformats.org/officeDocument/2006/relationships/hyperlink" Target="http://purl.obolibrary.org/obo/OBI_0000705" TargetMode="External"/><Relationship Id="rId145" Type="http://schemas.openxmlformats.org/officeDocument/2006/relationships/hyperlink" Target="http://purl.obolibrary.org/obo/OBI_0001407" TargetMode="External"/><Relationship Id="rId266" Type="http://schemas.openxmlformats.org/officeDocument/2006/relationships/hyperlink" Target="http://purl.obolibrary.org/obo/OBI_0001651" TargetMode="External"/><Relationship Id="rId387" Type="http://schemas.openxmlformats.org/officeDocument/2006/relationships/hyperlink" Target="http://purl.obolibrary.org/obo/OBI_0001808" TargetMode="External"/><Relationship Id="rId8" Type="http://schemas.openxmlformats.org/officeDocument/2006/relationships/hyperlink" Target="http://purl.obolibrary.org/obo/OBI_0000854" TargetMode="External"/><Relationship Id="rId144" Type="http://schemas.openxmlformats.org/officeDocument/2006/relationships/hyperlink" Target="http://purl.obolibrary.org/obo/OBI_0001406" TargetMode="External"/><Relationship Id="rId265" Type="http://schemas.openxmlformats.org/officeDocument/2006/relationships/hyperlink" Target="http://purl.obolibrary.org/obo/OBI_0001650" TargetMode="External"/><Relationship Id="rId386" Type="http://schemas.openxmlformats.org/officeDocument/2006/relationships/hyperlink" Target="http://purl.obolibrary.org/obo/OBI_0001807" TargetMode="External"/><Relationship Id="rId260" Type="http://schemas.openxmlformats.org/officeDocument/2006/relationships/hyperlink" Target="http://purl.obolibrary.org/obo/OBI_0001645" TargetMode="External"/><Relationship Id="rId381" Type="http://schemas.openxmlformats.org/officeDocument/2006/relationships/hyperlink" Target="http://purl.obolibrary.org/obo/OBI_0001802" TargetMode="External"/><Relationship Id="rId380" Type="http://schemas.openxmlformats.org/officeDocument/2006/relationships/hyperlink" Target="http://purl.obolibrary.org/obo/OBI_0001801" TargetMode="External"/><Relationship Id="rId139" Type="http://schemas.openxmlformats.org/officeDocument/2006/relationships/hyperlink" Target="http://purl.obolibrary.org/obo/OBI_0001395" TargetMode="External"/><Relationship Id="rId138" Type="http://schemas.openxmlformats.org/officeDocument/2006/relationships/hyperlink" Target="http://purl.obolibrary.org/obo/OBI_0001392" TargetMode="External"/><Relationship Id="rId259" Type="http://schemas.openxmlformats.org/officeDocument/2006/relationships/hyperlink" Target="http://purl.obolibrary.org/obo/OBI_0001644" TargetMode="External"/><Relationship Id="rId137" Type="http://schemas.openxmlformats.org/officeDocument/2006/relationships/hyperlink" Target="http://purl.obolibrary.org/obo/OBI_0001391" TargetMode="External"/><Relationship Id="rId258" Type="http://schemas.openxmlformats.org/officeDocument/2006/relationships/hyperlink" Target="http://purl.obolibrary.org/obo/OBI_0001643" TargetMode="External"/><Relationship Id="rId379" Type="http://schemas.openxmlformats.org/officeDocument/2006/relationships/hyperlink" Target="http://purl.obolibrary.org/obo/OBI_0001800" TargetMode="External"/><Relationship Id="rId132" Type="http://schemas.openxmlformats.org/officeDocument/2006/relationships/hyperlink" Target="http://purl.obolibrary.org/obo/OBI_0001384" TargetMode="External"/><Relationship Id="rId253" Type="http://schemas.openxmlformats.org/officeDocument/2006/relationships/hyperlink" Target="http://purl.obolibrary.org/obo/OBI_0001638" TargetMode="External"/><Relationship Id="rId374" Type="http://schemas.openxmlformats.org/officeDocument/2006/relationships/hyperlink" Target="http://purl.obolibrary.org/obo/OBI_0001795" TargetMode="External"/><Relationship Id="rId495" Type="http://schemas.openxmlformats.org/officeDocument/2006/relationships/hyperlink" Target="http://purl.obolibrary.org/obo/OBI_1110163" TargetMode="External"/><Relationship Id="rId131" Type="http://schemas.openxmlformats.org/officeDocument/2006/relationships/hyperlink" Target="http://purl.obolibrary.org/obo/OBI_0001383" TargetMode="External"/><Relationship Id="rId252" Type="http://schemas.openxmlformats.org/officeDocument/2006/relationships/hyperlink" Target="http://purl.obolibrary.org/obo/OBI_0001635" TargetMode="External"/><Relationship Id="rId373" Type="http://schemas.openxmlformats.org/officeDocument/2006/relationships/hyperlink" Target="http://purl.obolibrary.org/obo/OBI_0001794" TargetMode="External"/><Relationship Id="rId494" Type="http://schemas.openxmlformats.org/officeDocument/2006/relationships/hyperlink" Target="http://purl.obolibrary.org/obo/OBI_1110162" TargetMode="External"/><Relationship Id="rId130" Type="http://schemas.openxmlformats.org/officeDocument/2006/relationships/hyperlink" Target="http://purl.obolibrary.org/obo/OBI_0001382" TargetMode="External"/><Relationship Id="rId251" Type="http://schemas.openxmlformats.org/officeDocument/2006/relationships/hyperlink" Target="http://purl.obolibrary.org/obo/OBI_0001634" TargetMode="External"/><Relationship Id="rId372" Type="http://schemas.openxmlformats.org/officeDocument/2006/relationships/hyperlink" Target="http://purl.obolibrary.org/obo/OBI_0001793" TargetMode="External"/><Relationship Id="rId493" Type="http://schemas.openxmlformats.org/officeDocument/2006/relationships/hyperlink" Target="http://purl.obolibrary.org/obo/OBI_1110161" TargetMode="External"/><Relationship Id="rId250" Type="http://schemas.openxmlformats.org/officeDocument/2006/relationships/hyperlink" Target="http://purl.obolibrary.org/obo/OBI_0001632" TargetMode="External"/><Relationship Id="rId371" Type="http://schemas.openxmlformats.org/officeDocument/2006/relationships/hyperlink" Target="http://purl.obolibrary.org/obo/OBI_0001792" TargetMode="External"/><Relationship Id="rId492" Type="http://schemas.openxmlformats.org/officeDocument/2006/relationships/hyperlink" Target="http://purl.obolibrary.org/obo/OBI_1110160" TargetMode="External"/><Relationship Id="rId136" Type="http://schemas.openxmlformats.org/officeDocument/2006/relationships/hyperlink" Target="http://purl.obolibrary.org/obo/OBI_0001390" TargetMode="External"/><Relationship Id="rId257" Type="http://schemas.openxmlformats.org/officeDocument/2006/relationships/hyperlink" Target="http://purl.obolibrary.org/obo/OBI_0001642" TargetMode="External"/><Relationship Id="rId378" Type="http://schemas.openxmlformats.org/officeDocument/2006/relationships/hyperlink" Target="http://purl.obolibrary.org/obo/OBI_0001799" TargetMode="External"/><Relationship Id="rId499" Type="http://schemas.openxmlformats.org/officeDocument/2006/relationships/hyperlink" Target="http://purl.obolibrary.org/obo/OBI_1110171" TargetMode="External"/><Relationship Id="rId135" Type="http://schemas.openxmlformats.org/officeDocument/2006/relationships/hyperlink" Target="http://purl.obolibrary.org/obo/OBI_0001389" TargetMode="External"/><Relationship Id="rId256" Type="http://schemas.openxmlformats.org/officeDocument/2006/relationships/hyperlink" Target="http://purl.obolibrary.org/obo/OBI_0001641" TargetMode="External"/><Relationship Id="rId377" Type="http://schemas.openxmlformats.org/officeDocument/2006/relationships/hyperlink" Target="http://purl.obolibrary.org/obo/OBI_0001798" TargetMode="External"/><Relationship Id="rId498" Type="http://schemas.openxmlformats.org/officeDocument/2006/relationships/hyperlink" Target="http://purl.obolibrary.org/obo/OBI_1110170" TargetMode="External"/><Relationship Id="rId134" Type="http://schemas.openxmlformats.org/officeDocument/2006/relationships/hyperlink" Target="http://purl.obolibrary.org/obo/OBI_0001388" TargetMode="External"/><Relationship Id="rId255" Type="http://schemas.openxmlformats.org/officeDocument/2006/relationships/hyperlink" Target="http://purl.obolibrary.org/obo/OBI_0001640" TargetMode="External"/><Relationship Id="rId376" Type="http://schemas.openxmlformats.org/officeDocument/2006/relationships/hyperlink" Target="http://purl.obolibrary.org/obo/OBI_0001797" TargetMode="External"/><Relationship Id="rId497" Type="http://schemas.openxmlformats.org/officeDocument/2006/relationships/hyperlink" Target="http://purl.obolibrary.org/obo/OBI_1110168" TargetMode="External"/><Relationship Id="rId133" Type="http://schemas.openxmlformats.org/officeDocument/2006/relationships/hyperlink" Target="http://purl.obolibrary.org/obo/OBI_0001385" TargetMode="External"/><Relationship Id="rId254" Type="http://schemas.openxmlformats.org/officeDocument/2006/relationships/hyperlink" Target="http://purl.obolibrary.org/obo/OBI_0001639" TargetMode="External"/><Relationship Id="rId375" Type="http://schemas.openxmlformats.org/officeDocument/2006/relationships/hyperlink" Target="http://purl.obolibrary.org/obo/OBI_0001796" TargetMode="External"/><Relationship Id="rId496" Type="http://schemas.openxmlformats.org/officeDocument/2006/relationships/hyperlink" Target="http://purl.obolibrary.org/obo/OBI_1110167" TargetMode="External"/><Relationship Id="rId172" Type="http://schemas.openxmlformats.org/officeDocument/2006/relationships/hyperlink" Target="http://purl.obolibrary.org/obo/OBI_0001476" TargetMode="External"/><Relationship Id="rId293" Type="http://schemas.openxmlformats.org/officeDocument/2006/relationships/hyperlink" Target="http://purl.obolibrary.org/obo/OBI_0001700" TargetMode="External"/><Relationship Id="rId171" Type="http://schemas.openxmlformats.org/officeDocument/2006/relationships/hyperlink" Target="http://purl.obolibrary.org/obo/OBI_0001475" TargetMode="External"/><Relationship Id="rId292" Type="http://schemas.openxmlformats.org/officeDocument/2006/relationships/hyperlink" Target="http://purl.obolibrary.org/obo/OBI_0001699" TargetMode="External"/><Relationship Id="rId170" Type="http://schemas.openxmlformats.org/officeDocument/2006/relationships/hyperlink" Target="http://purl.obolibrary.org/obo/OBI_0001473" TargetMode="External"/><Relationship Id="rId291" Type="http://schemas.openxmlformats.org/officeDocument/2006/relationships/hyperlink" Target="http://purl.obolibrary.org/obo/OBI_0001698" TargetMode="External"/><Relationship Id="rId290" Type="http://schemas.openxmlformats.org/officeDocument/2006/relationships/hyperlink" Target="http://purl.obolibrary.org/obo/OBI_0001697" TargetMode="External"/><Relationship Id="rId165" Type="http://schemas.openxmlformats.org/officeDocument/2006/relationships/hyperlink" Target="http://purl.obolibrary.org/obo/OBI_0001461" TargetMode="External"/><Relationship Id="rId286" Type="http://schemas.openxmlformats.org/officeDocument/2006/relationships/hyperlink" Target="http://purl.obolibrary.org/obo/OBI_0001693" TargetMode="External"/><Relationship Id="rId164" Type="http://schemas.openxmlformats.org/officeDocument/2006/relationships/hyperlink" Target="http://purl.obolibrary.org/obo/OBI_0001459" TargetMode="External"/><Relationship Id="rId285" Type="http://schemas.openxmlformats.org/officeDocument/2006/relationships/hyperlink" Target="http://purl.obolibrary.org/obo/OBI_0001692" TargetMode="External"/><Relationship Id="rId163" Type="http://schemas.openxmlformats.org/officeDocument/2006/relationships/hyperlink" Target="http://purl.obolibrary.org/obo/OBI_0001457" TargetMode="External"/><Relationship Id="rId284" Type="http://schemas.openxmlformats.org/officeDocument/2006/relationships/hyperlink" Target="http://purl.obolibrary.org/obo/OBI_0001676" TargetMode="External"/><Relationship Id="rId162" Type="http://schemas.openxmlformats.org/officeDocument/2006/relationships/hyperlink" Target="http://purl.obolibrary.org/obo/OBI_0001456" TargetMode="External"/><Relationship Id="rId283" Type="http://schemas.openxmlformats.org/officeDocument/2006/relationships/hyperlink" Target="http://purl.obolibrary.org/obo/OBI_0001675" TargetMode="External"/><Relationship Id="rId169" Type="http://schemas.openxmlformats.org/officeDocument/2006/relationships/hyperlink" Target="http://purl.obolibrary.org/obo/OBI_0001469" TargetMode="External"/><Relationship Id="rId168" Type="http://schemas.openxmlformats.org/officeDocument/2006/relationships/hyperlink" Target="http://purl.obolibrary.org/obo/OBI_0001467" TargetMode="External"/><Relationship Id="rId289" Type="http://schemas.openxmlformats.org/officeDocument/2006/relationships/hyperlink" Target="http://purl.obolibrary.org/obo/OBI_0001696" TargetMode="External"/><Relationship Id="rId167" Type="http://schemas.openxmlformats.org/officeDocument/2006/relationships/hyperlink" Target="http://purl.obolibrary.org/obo/OBI_0001466" TargetMode="External"/><Relationship Id="rId288" Type="http://schemas.openxmlformats.org/officeDocument/2006/relationships/hyperlink" Target="http://purl.obolibrary.org/obo/OBI_0001695" TargetMode="External"/><Relationship Id="rId166" Type="http://schemas.openxmlformats.org/officeDocument/2006/relationships/hyperlink" Target="http://purl.obolibrary.org/obo/OBI_0001465" TargetMode="External"/><Relationship Id="rId287" Type="http://schemas.openxmlformats.org/officeDocument/2006/relationships/hyperlink" Target="http://purl.obolibrary.org/obo/OBI_0001694" TargetMode="External"/><Relationship Id="rId161" Type="http://schemas.openxmlformats.org/officeDocument/2006/relationships/hyperlink" Target="http://purl.obolibrary.org/obo/OBI_0001455" TargetMode="External"/><Relationship Id="rId282" Type="http://schemas.openxmlformats.org/officeDocument/2006/relationships/hyperlink" Target="http://purl.obolibrary.org/obo/OBI_0001667" TargetMode="External"/><Relationship Id="rId160" Type="http://schemas.openxmlformats.org/officeDocument/2006/relationships/hyperlink" Target="http://purl.obolibrary.org/obo/OBI_0001453" TargetMode="External"/><Relationship Id="rId281" Type="http://schemas.openxmlformats.org/officeDocument/2006/relationships/hyperlink" Target="http://purl.obolibrary.org/obo/OBI_0001666" TargetMode="External"/><Relationship Id="rId280" Type="http://schemas.openxmlformats.org/officeDocument/2006/relationships/hyperlink" Target="http://purl.obolibrary.org/obo/OBI_0001665" TargetMode="External"/><Relationship Id="rId159" Type="http://schemas.openxmlformats.org/officeDocument/2006/relationships/hyperlink" Target="http://purl.obolibrary.org/obo/OBI_0001452" TargetMode="External"/><Relationship Id="rId154" Type="http://schemas.openxmlformats.org/officeDocument/2006/relationships/hyperlink" Target="http://purl.obolibrary.org/obo/OBI_0001438" TargetMode="External"/><Relationship Id="rId275" Type="http://schemas.openxmlformats.org/officeDocument/2006/relationships/hyperlink" Target="http://purl.obolibrary.org/obo/OBI_0001660" TargetMode="External"/><Relationship Id="rId396" Type="http://schemas.openxmlformats.org/officeDocument/2006/relationships/hyperlink" Target="http://purl.obolibrary.org/obo/OBI_0001821" TargetMode="External"/><Relationship Id="rId153" Type="http://schemas.openxmlformats.org/officeDocument/2006/relationships/hyperlink" Target="http://purl.obolibrary.org/obo/OBI_0001437" TargetMode="External"/><Relationship Id="rId274" Type="http://schemas.openxmlformats.org/officeDocument/2006/relationships/hyperlink" Target="http://purl.obolibrary.org/obo/OBI_0001659" TargetMode="External"/><Relationship Id="rId395" Type="http://schemas.openxmlformats.org/officeDocument/2006/relationships/hyperlink" Target="http://purl.obolibrary.org/obo/OBI_0001817" TargetMode="External"/><Relationship Id="rId152" Type="http://schemas.openxmlformats.org/officeDocument/2006/relationships/hyperlink" Target="http://purl.obolibrary.org/obo/OBI_0001436" TargetMode="External"/><Relationship Id="rId273" Type="http://schemas.openxmlformats.org/officeDocument/2006/relationships/hyperlink" Target="http://purl.obolibrary.org/obo/OBI_0001658" TargetMode="External"/><Relationship Id="rId394" Type="http://schemas.openxmlformats.org/officeDocument/2006/relationships/hyperlink" Target="http://purl.obolibrary.org/obo/OBI_0001815" TargetMode="External"/><Relationship Id="rId151" Type="http://schemas.openxmlformats.org/officeDocument/2006/relationships/hyperlink" Target="http://purl.obolibrary.org/obo/OBI_0001433" TargetMode="External"/><Relationship Id="rId272" Type="http://schemas.openxmlformats.org/officeDocument/2006/relationships/hyperlink" Target="http://purl.obolibrary.org/obo/OBI_0001657" TargetMode="External"/><Relationship Id="rId393" Type="http://schemas.openxmlformats.org/officeDocument/2006/relationships/hyperlink" Target="http://purl.obolibrary.org/obo/OBI_0001814" TargetMode="External"/><Relationship Id="rId158" Type="http://schemas.openxmlformats.org/officeDocument/2006/relationships/hyperlink" Target="http://purl.obolibrary.org/obo/OBI_0001451" TargetMode="External"/><Relationship Id="rId279" Type="http://schemas.openxmlformats.org/officeDocument/2006/relationships/hyperlink" Target="http://purl.obolibrary.org/obo/OBI_0001664" TargetMode="External"/><Relationship Id="rId157" Type="http://schemas.openxmlformats.org/officeDocument/2006/relationships/hyperlink" Target="http://purl.obolibrary.org/obo/OBI_0001450" TargetMode="External"/><Relationship Id="rId278" Type="http://schemas.openxmlformats.org/officeDocument/2006/relationships/hyperlink" Target="http://purl.obolibrary.org/obo/OBI_0001663" TargetMode="External"/><Relationship Id="rId399" Type="http://schemas.openxmlformats.org/officeDocument/2006/relationships/hyperlink" Target="http://purl.obolibrary.org/obo/OBI_0001826" TargetMode="External"/><Relationship Id="rId156" Type="http://schemas.openxmlformats.org/officeDocument/2006/relationships/hyperlink" Target="http://purl.obolibrary.org/obo/OBI_0001449" TargetMode="External"/><Relationship Id="rId277" Type="http://schemas.openxmlformats.org/officeDocument/2006/relationships/hyperlink" Target="http://purl.obolibrary.org/obo/OBI_0001662" TargetMode="External"/><Relationship Id="rId398" Type="http://schemas.openxmlformats.org/officeDocument/2006/relationships/hyperlink" Target="http://purl.obolibrary.org/obo/OBI_0001824" TargetMode="External"/><Relationship Id="rId155" Type="http://schemas.openxmlformats.org/officeDocument/2006/relationships/hyperlink" Target="http://purl.obolibrary.org/obo/OBI_0001445" TargetMode="External"/><Relationship Id="rId276" Type="http://schemas.openxmlformats.org/officeDocument/2006/relationships/hyperlink" Target="http://purl.obolibrary.org/obo/OBI_0001661" TargetMode="External"/><Relationship Id="rId397" Type="http://schemas.openxmlformats.org/officeDocument/2006/relationships/hyperlink" Target="http://purl.obolibrary.org/obo/OBI_0001822" TargetMode="External"/><Relationship Id="rId40" Type="http://schemas.openxmlformats.org/officeDocument/2006/relationships/hyperlink" Target="http://purl.obolibrary.org/obo/OBI_0001217" TargetMode="External"/><Relationship Id="rId42" Type="http://schemas.openxmlformats.org/officeDocument/2006/relationships/hyperlink" Target="http://purl.obolibrary.org/obo/OBI_0001220" TargetMode="External"/><Relationship Id="rId41" Type="http://schemas.openxmlformats.org/officeDocument/2006/relationships/hyperlink" Target="http://purl.obolibrary.org/obo/OBI_0001218" TargetMode="External"/><Relationship Id="rId44" Type="http://schemas.openxmlformats.org/officeDocument/2006/relationships/hyperlink" Target="http://purl.obolibrary.org/obo/OBI_0001223" TargetMode="External"/><Relationship Id="rId43" Type="http://schemas.openxmlformats.org/officeDocument/2006/relationships/hyperlink" Target="http://purl.obolibrary.org/obo/OBI_0001222" TargetMode="External"/><Relationship Id="rId46" Type="http://schemas.openxmlformats.org/officeDocument/2006/relationships/hyperlink" Target="http://purl.obolibrary.org/obo/OBI_0001228" TargetMode="External"/><Relationship Id="rId45" Type="http://schemas.openxmlformats.org/officeDocument/2006/relationships/hyperlink" Target="http://purl.obolibrary.org/obo/OBI_0001227" TargetMode="External"/><Relationship Id="rId509" Type="http://schemas.openxmlformats.org/officeDocument/2006/relationships/hyperlink" Target="http://purl.obolibrary.org/obo/OBI_1110207" TargetMode="External"/><Relationship Id="rId508" Type="http://schemas.openxmlformats.org/officeDocument/2006/relationships/hyperlink" Target="http://purl.obolibrary.org/obo/OBI_1110181" TargetMode="External"/><Relationship Id="rId503" Type="http://schemas.openxmlformats.org/officeDocument/2006/relationships/hyperlink" Target="http://purl.obolibrary.org/obo/OBI_1110175" TargetMode="External"/><Relationship Id="rId502" Type="http://schemas.openxmlformats.org/officeDocument/2006/relationships/hyperlink" Target="http://purl.obolibrary.org/obo/OBI_1110174" TargetMode="External"/><Relationship Id="rId501" Type="http://schemas.openxmlformats.org/officeDocument/2006/relationships/hyperlink" Target="http://purl.obolibrary.org/obo/OBI_1110173" TargetMode="External"/><Relationship Id="rId500" Type="http://schemas.openxmlformats.org/officeDocument/2006/relationships/hyperlink" Target="http://purl.obolibrary.org/obo/OBI_1110172" TargetMode="External"/><Relationship Id="rId507" Type="http://schemas.openxmlformats.org/officeDocument/2006/relationships/hyperlink" Target="http://purl.obolibrary.org/obo/OBI_1110180" TargetMode="External"/><Relationship Id="rId506" Type="http://schemas.openxmlformats.org/officeDocument/2006/relationships/hyperlink" Target="http://purl.obolibrary.org/obo/OBI_1110179" TargetMode="External"/><Relationship Id="rId505" Type="http://schemas.openxmlformats.org/officeDocument/2006/relationships/hyperlink" Target="http://purl.obolibrary.org/obo/OBI_1110178" TargetMode="External"/><Relationship Id="rId504" Type="http://schemas.openxmlformats.org/officeDocument/2006/relationships/hyperlink" Target="http://purl.obolibrary.org/obo/OBI_1110177" TargetMode="External"/><Relationship Id="rId48" Type="http://schemas.openxmlformats.org/officeDocument/2006/relationships/hyperlink" Target="http://purl.obolibrary.org/obo/OBI_0001230" TargetMode="External"/><Relationship Id="rId47" Type="http://schemas.openxmlformats.org/officeDocument/2006/relationships/hyperlink" Target="http://purl.obolibrary.org/obo/OBI_0001229" TargetMode="External"/><Relationship Id="rId49" Type="http://schemas.openxmlformats.org/officeDocument/2006/relationships/hyperlink" Target="http://purl.obolibrary.org/obo/OBI_0001231" TargetMode="External"/><Relationship Id="rId31" Type="http://schemas.openxmlformats.org/officeDocument/2006/relationships/hyperlink" Target="http://purl.obolibrary.org/obo/OBI_0001194" TargetMode="External"/><Relationship Id="rId30" Type="http://schemas.openxmlformats.org/officeDocument/2006/relationships/hyperlink" Target="http://purl.obolibrary.org/obo/OBI_0001190" TargetMode="External"/><Relationship Id="rId33" Type="http://schemas.openxmlformats.org/officeDocument/2006/relationships/hyperlink" Target="http://purl.obolibrary.org/obo/OBI_0001198" TargetMode="External"/><Relationship Id="rId32" Type="http://schemas.openxmlformats.org/officeDocument/2006/relationships/hyperlink" Target="http://purl.obolibrary.org/obo/OBI_0001196" TargetMode="External"/><Relationship Id="rId35" Type="http://schemas.openxmlformats.org/officeDocument/2006/relationships/hyperlink" Target="http://purl.obolibrary.org/obo/OBI_0001206" TargetMode="External"/><Relationship Id="rId34" Type="http://schemas.openxmlformats.org/officeDocument/2006/relationships/hyperlink" Target="http://purl.obolibrary.org/obo/OBI_0001203" TargetMode="External"/><Relationship Id="rId37" Type="http://schemas.openxmlformats.org/officeDocument/2006/relationships/hyperlink" Target="http://purl.obolibrary.org/obo/OBI_0001210" TargetMode="External"/><Relationship Id="rId36" Type="http://schemas.openxmlformats.org/officeDocument/2006/relationships/hyperlink" Target="http://purl.obolibrary.org/obo/OBI_0001209" TargetMode="External"/><Relationship Id="rId39" Type="http://schemas.openxmlformats.org/officeDocument/2006/relationships/hyperlink" Target="http://purl.obolibrary.org/obo/OBI_0001216" TargetMode="External"/><Relationship Id="rId38" Type="http://schemas.openxmlformats.org/officeDocument/2006/relationships/hyperlink" Target="http://purl.obolibrary.org/obo/OBI_0001215" TargetMode="External"/><Relationship Id="rId20" Type="http://schemas.openxmlformats.org/officeDocument/2006/relationships/hyperlink" Target="http://purl.obolibrary.org/obo/OBI_0000923" TargetMode="External"/><Relationship Id="rId22" Type="http://schemas.openxmlformats.org/officeDocument/2006/relationships/hyperlink" Target="http://purl.obolibrary.org/obo/OBI_0001145" TargetMode="External"/><Relationship Id="rId21" Type="http://schemas.openxmlformats.org/officeDocument/2006/relationships/hyperlink" Target="http://purl.obolibrary.org/obo/OBI_0000975" TargetMode="External"/><Relationship Id="rId24" Type="http://schemas.openxmlformats.org/officeDocument/2006/relationships/hyperlink" Target="http://purl.obolibrary.org/obo/OBI_0001179" TargetMode="External"/><Relationship Id="rId23" Type="http://schemas.openxmlformats.org/officeDocument/2006/relationships/hyperlink" Target="http://purl.obolibrary.org/obo/OBI_0001178" TargetMode="External"/><Relationship Id="rId409" Type="http://schemas.openxmlformats.org/officeDocument/2006/relationships/hyperlink" Target="http://purl.obolibrary.org/obo/OBI_0001837" TargetMode="External"/><Relationship Id="rId404" Type="http://schemas.openxmlformats.org/officeDocument/2006/relationships/hyperlink" Target="http://purl.obolibrary.org/obo/OBI_0001831" TargetMode="External"/><Relationship Id="rId403" Type="http://schemas.openxmlformats.org/officeDocument/2006/relationships/hyperlink" Target="http://purl.obolibrary.org/obo/OBI_0001830" TargetMode="External"/><Relationship Id="rId402" Type="http://schemas.openxmlformats.org/officeDocument/2006/relationships/hyperlink" Target="http://purl.obolibrary.org/obo/OBI_0001829" TargetMode="External"/><Relationship Id="rId401" Type="http://schemas.openxmlformats.org/officeDocument/2006/relationships/hyperlink" Target="http://purl.obolibrary.org/obo/OBI_0001828" TargetMode="External"/><Relationship Id="rId408" Type="http://schemas.openxmlformats.org/officeDocument/2006/relationships/hyperlink" Target="http://purl.obolibrary.org/obo/OBI_0001836" TargetMode="External"/><Relationship Id="rId407" Type="http://schemas.openxmlformats.org/officeDocument/2006/relationships/hyperlink" Target="http://purl.obolibrary.org/obo/OBI_0001835" TargetMode="External"/><Relationship Id="rId406" Type="http://schemas.openxmlformats.org/officeDocument/2006/relationships/hyperlink" Target="http://purl.obolibrary.org/obo/OBI_0001833" TargetMode="External"/><Relationship Id="rId405" Type="http://schemas.openxmlformats.org/officeDocument/2006/relationships/hyperlink" Target="http://purl.obolibrary.org/obo/OBI_0001832" TargetMode="External"/><Relationship Id="rId26" Type="http://schemas.openxmlformats.org/officeDocument/2006/relationships/hyperlink" Target="http://purl.obolibrary.org/obo/OBI_0001184" TargetMode="External"/><Relationship Id="rId25" Type="http://schemas.openxmlformats.org/officeDocument/2006/relationships/hyperlink" Target="http://purl.obolibrary.org/obo/OBI_0001183" TargetMode="External"/><Relationship Id="rId28" Type="http://schemas.openxmlformats.org/officeDocument/2006/relationships/hyperlink" Target="http://purl.obolibrary.org/obo/OBI_0001188" TargetMode="External"/><Relationship Id="rId27" Type="http://schemas.openxmlformats.org/officeDocument/2006/relationships/hyperlink" Target="http://purl.obolibrary.org/obo/OBI_0001186" TargetMode="External"/><Relationship Id="rId400" Type="http://schemas.openxmlformats.org/officeDocument/2006/relationships/hyperlink" Target="http://purl.obolibrary.org/obo/OBI_0001827" TargetMode="External"/><Relationship Id="rId29" Type="http://schemas.openxmlformats.org/officeDocument/2006/relationships/hyperlink" Target="http://purl.obolibrary.org/obo/OBI_0001189" TargetMode="External"/><Relationship Id="rId11" Type="http://schemas.openxmlformats.org/officeDocument/2006/relationships/hyperlink" Target="http://purl.obolibrary.org/obo/OBI_0000883" TargetMode="External"/><Relationship Id="rId10" Type="http://schemas.openxmlformats.org/officeDocument/2006/relationships/hyperlink" Target="http://purl.obolibrary.org/obo/OBI_0000882" TargetMode="External"/><Relationship Id="rId13" Type="http://schemas.openxmlformats.org/officeDocument/2006/relationships/hyperlink" Target="http://purl.obolibrary.org/obo/OBI_0000903" TargetMode="External"/><Relationship Id="rId12" Type="http://schemas.openxmlformats.org/officeDocument/2006/relationships/hyperlink" Target="http://purl.obolibrary.org/obo/OBI_0000891" TargetMode="External"/><Relationship Id="rId511" Type="http://schemas.openxmlformats.org/officeDocument/2006/relationships/drawing" Target="../drawings/worksheetdrawing2.xml"/><Relationship Id="rId15" Type="http://schemas.openxmlformats.org/officeDocument/2006/relationships/hyperlink" Target="http://purl.obolibrary.org/obo/OBI_0000910" TargetMode="External"/><Relationship Id="rId14" Type="http://schemas.openxmlformats.org/officeDocument/2006/relationships/hyperlink" Target="http://purl.obolibrary.org/obo/OBI_0000904" TargetMode="External"/><Relationship Id="rId17" Type="http://schemas.openxmlformats.org/officeDocument/2006/relationships/hyperlink" Target="http://purl.obolibrary.org/obo/OBI_0000913" TargetMode="External"/><Relationship Id="rId16" Type="http://schemas.openxmlformats.org/officeDocument/2006/relationships/hyperlink" Target="http://purl.obolibrary.org/obo/OBI_0000912" TargetMode="External"/><Relationship Id="rId19" Type="http://schemas.openxmlformats.org/officeDocument/2006/relationships/hyperlink" Target="http://purl.obolibrary.org/obo/OBI_0000920" TargetMode="External"/><Relationship Id="rId510" Type="http://schemas.openxmlformats.org/officeDocument/2006/relationships/hyperlink" Target="http://purl.obolibrary.org/obo/OBI_9999994" TargetMode="External"/><Relationship Id="rId18" Type="http://schemas.openxmlformats.org/officeDocument/2006/relationships/hyperlink" Target="http://purl.obolibrary.org/obo/OBI_0000916" TargetMode="External"/><Relationship Id="rId84" Type="http://schemas.openxmlformats.org/officeDocument/2006/relationships/hyperlink" Target="http://purl.obolibrary.org/obo/OBI_0001292" TargetMode="External"/><Relationship Id="rId83" Type="http://schemas.openxmlformats.org/officeDocument/2006/relationships/hyperlink" Target="http://purl.obolibrary.org/obo/OBI_0001291" TargetMode="External"/><Relationship Id="rId86" Type="http://schemas.openxmlformats.org/officeDocument/2006/relationships/hyperlink" Target="http://purl.obolibrary.org/obo/OBI_0001296" TargetMode="External"/><Relationship Id="rId85" Type="http://schemas.openxmlformats.org/officeDocument/2006/relationships/hyperlink" Target="http://purl.obolibrary.org/obo/OBI_0001295" TargetMode="External"/><Relationship Id="rId88" Type="http://schemas.openxmlformats.org/officeDocument/2006/relationships/hyperlink" Target="http://purl.obolibrary.org/obo/OBI_0001298" TargetMode="External"/><Relationship Id="rId87" Type="http://schemas.openxmlformats.org/officeDocument/2006/relationships/hyperlink" Target="http://purl.obolibrary.org/obo/OBI_0001297" TargetMode="External"/><Relationship Id="rId89" Type="http://schemas.openxmlformats.org/officeDocument/2006/relationships/hyperlink" Target="http://purl.obolibrary.org/obo/OBI_0001299" TargetMode="External"/><Relationship Id="rId80" Type="http://schemas.openxmlformats.org/officeDocument/2006/relationships/hyperlink" Target="http://purl.obolibrary.org/obo/OBI_0001284" TargetMode="External"/><Relationship Id="rId82" Type="http://schemas.openxmlformats.org/officeDocument/2006/relationships/hyperlink" Target="http://purl.obolibrary.org/obo/OBI_0001289" TargetMode="External"/><Relationship Id="rId81" Type="http://schemas.openxmlformats.org/officeDocument/2006/relationships/hyperlink" Target="http://purl.obolibrary.org/obo/OBI_0001288" TargetMode="External"/><Relationship Id="rId73" Type="http://schemas.openxmlformats.org/officeDocument/2006/relationships/hyperlink" Target="http://purl.obolibrary.org/obo/OBI_0001273" TargetMode="External"/><Relationship Id="rId72" Type="http://schemas.openxmlformats.org/officeDocument/2006/relationships/hyperlink" Target="http://purl.obolibrary.org/obo/OBI_0001272" TargetMode="External"/><Relationship Id="rId75" Type="http://schemas.openxmlformats.org/officeDocument/2006/relationships/hyperlink" Target="http://purl.obolibrary.org/obo/OBI_0001277" TargetMode="External"/><Relationship Id="rId74" Type="http://schemas.openxmlformats.org/officeDocument/2006/relationships/hyperlink" Target="http://purl.obolibrary.org/obo/OBI_0001276" TargetMode="External"/><Relationship Id="rId77" Type="http://schemas.openxmlformats.org/officeDocument/2006/relationships/hyperlink" Target="http://purl.obolibrary.org/obo/OBI_0001280" TargetMode="External"/><Relationship Id="rId76" Type="http://schemas.openxmlformats.org/officeDocument/2006/relationships/hyperlink" Target="http://purl.obolibrary.org/obo/OBI_0001279" TargetMode="External"/><Relationship Id="rId79" Type="http://schemas.openxmlformats.org/officeDocument/2006/relationships/hyperlink" Target="http://purl.obolibrary.org/obo/OBI_0001283" TargetMode="External"/><Relationship Id="rId78" Type="http://schemas.openxmlformats.org/officeDocument/2006/relationships/hyperlink" Target="http://purl.obolibrary.org/obo/OBI_0001281" TargetMode="External"/><Relationship Id="rId71" Type="http://schemas.openxmlformats.org/officeDocument/2006/relationships/hyperlink" Target="http://purl.obolibrary.org/obo/OBI_0001270" TargetMode="External"/><Relationship Id="rId70" Type="http://schemas.openxmlformats.org/officeDocument/2006/relationships/hyperlink" Target="http://purl.obolibrary.org/obo/OBI_0001269" TargetMode="External"/><Relationship Id="rId62" Type="http://schemas.openxmlformats.org/officeDocument/2006/relationships/hyperlink" Target="http://purl.obolibrary.org/obo/OBI_0001251" TargetMode="External"/><Relationship Id="rId61" Type="http://schemas.openxmlformats.org/officeDocument/2006/relationships/hyperlink" Target="http://purl.obolibrary.org/obo/OBI_0001246" TargetMode="External"/><Relationship Id="rId64" Type="http://schemas.openxmlformats.org/officeDocument/2006/relationships/hyperlink" Target="http://purl.obolibrary.org/obo/OBI_0001255" TargetMode="External"/><Relationship Id="rId63" Type="http://schemas.openxmlformats.org/officeDocument/2006/relationships/hyperlink" Target="http://purl.obolibrary.org/obo/OBI_0001253" TargetMode="External"/><Relationship Id="rId66" Type="http://schemas.openxmlformats.org/officeDocument/2006/relationships/hyperlink" Target="http://purl.obolibrary.org/obo/OBI_0001261" TargetMode="External"/><Relationship Id="rId65" Type="http://schemas.openxmlformats.org/officeDocument/2006/relationships/hyperlink" Target="http://purl.obolibrary.org/obo/OBI_0001260" TargetMode="External"/><Relationship Id="rId68" Type="http://schemas.openxmlformats.org/officeDocument/2006/relationships/hyperlink" Target="http://purl.obolibrary.org/obo/OBI_0001264" TargetMode="External"/><Relationship Id="rId67" Type="http://schemas.openxmlformats.org/officeDocument/2006/relationships/hyperlink" Target="http://purl.obolibrary.org/obo/OBI_0001263" TargetMode="External"/><Relationship Id="rId60" Type="http://schemas.openxmlformats.org/officeDocument/2006/relationships/hyperlink" Target="http://purl.obolibrary.org/obo/OBI_0001245" TargetMode="External"/><Relationship Id="rId69" Type="http://schemas.openxmlformats.org/officeDocument/2006/relationships/hyperlink" Target="http://purl.obolibrary.org/obo/OBI_0001268" TargetMode="External"/><Relationship Id="rId51" Type="http://schemas.openxmlformats.org/officeDocument/2006/relationships/hyperlink" Target="http://purl.obolibrary.org/obo/OBI_0001233" TargetMode="External"/><Relationship Id="rId50" Type="http://schemas.openxmlformats.org/officeDocument/2006/relationships/hyperlink" Target="http://purl.obolibrary.org/obo/OBI_0001232" TargetMode="External"/><Relationship Id="rId53" Type="http://schemas.openxmlformats.org/officeDocument/2006/relationships/hyperlink" Target="http://purl.obolibrary.org/obo/OBI_0001237" TargetMode="External"/><Relationship Id="rId52" Type="http://schemas.openxmlformats.org/officeDocument/2006/relationships/hyperlink" Target="http://purl.obolibrary.org/obo/OBI_0001236" TargetMode="External"/><Relationship Id="rId55" Type="http://schemas.openxmlformats.org/officeDocument/2006/relationships/hyperlink" Target="http://purl.obolibrary.org/obo/OBI_0001240" TargetMode="External"/><Relationship Id="rId54" Type="http://schemas.openxmlformats.org/officeDocument/2006/relationships/hyperlink" Target="http://purl.obolibrary.org/obo/OBI_0001238" TargetMode="External"/><Relationship Id="rId57" Type="http://schemas.openxmlformats.org/officeDocument/2006/relationships/hyperlink" Target="http://purl.obolibrary.org/obo/OBI_0001242" TargetMode="External"/><Relationship Id="rId56" Type="http://schemas.openxmlformats.org/officeDocument/2006/relationships/hyperlink" Target="http://purl.obolibrary.org/obo/OBI_0001241" TargetMode="External"/><Relationship Id="rId59" Type="http://schemas.openxmlformats.org/officeDocument/2006/relationships/hyperlink" Target="http://purl.obolibrary.org/obo/OBI_0001244" TargetMode="External"/><Relationship Id="rId58" Type="http://schemas.openxmlformats.org/officeDocument/2006/relationships/hyperlink" Target="http://purl.obolibrary.org/obo/OBI_0001243" TargetMode="External"/><Relationship Id="rId107" Type="http://schemas.openxmlformats.org/officeDocument/2006/relationships/hyperlink" Target="http://purl.obolibrary.org/obo/OBI_0001339" TargetMode="External"/><Relationship Id="rId228" Type="http://schemas.openxmlformats.org/officeDocument/2006/relationships/hyperlink" Target="http://purl.obolibrary.org/obo/OBI_0001586" TargetMode="External"/><Relationship Id="rId349" Type="http://schemas.openxmlformats.org/officeDocument/2006/relationships/hyperlink" Target="http://purl.obolibrary.org/obo/OBI_0001770" TargetMode="External"/><Relationship Id="rId106" Type="http://schemas.openxmlformats.org/officeDocument/2006/relationships/hyperlink" Target="http://purl.obolibrary.org/obo/OBI_0001333" TargetMode="External"/><Relationship Id="rId227" Type="http://schemas.openxmlformats.org/officeDocument/2006/relationships/hyperlink" Target="http://purl.obolibrary.org/obo/OBI_0001585" TargetMode="External"/><Relationship Id="rId348" Type="http://schemas.openxmlformats.org/officeDocument/2006/relationships/hyperlink" Target="http://purl.obolibrary.org/obo/OBI_0001768" TargetMode="External"/><Relationship Id="rId469" Type="http://schemas.openxmlformats.org/officeDocument/2006/relationships/hyperlink" Target="http://purl.obolibrary.org/obo/OBI_0600031" TargetMode="External"/><Relationship Id="rId105" Type="http://schemas.openxmlformats.org/officeDocument/2006/relationships/hyperlink" Target="http://purl.obolibrary.org/obo/OBI_0001330" TargetMode="External"/><Relationship Id="rId226" Type="http://schemas.openxmlformats.org/officeDocument/2006/relationships/hyperlink" Target="http://purl.obolibrary.org/obo/OBI_0001584" TargetMode="External"/><Relationship Id="rId347" Type="http://schemas.openxmlformats.org/officeDocument/2006/relationships/hyperlink" Target="http://purl.obolibrary.org/obo/OBI_0001767" TargetMode="External"/><Relationship Id="rId468" Type="http://schemas.openxmlformats.org/officeDocument/2006/relationships/hyperlink" Target="http://purl.obolibrary.org/obo/OBI_0002075" TargetMode="External"/><Relationship Id="rId104" Type="http://schemas.openxmlformats.org/officeDocument/2006/relationships/hyperlink" Target="http://purl.obolibrary.org/obo/OBI_0001327" TargetMode="External"/><Relationship Id="rId225" Type="http://schemas.openxmlformats.org/officeDocument/2006/relationships/hyperlink" Target="http://purl.obolibrary.org/obo/OBI_0001579" TargetMode="External"/><Relationship Id="rId346" Type="http://schemas.openxmlformats.org/officeDocument/2006/relationships/hyperlink" Target="http://purl.obolibrary.org/obo/OBI_0001766" TargetMode="External"/><Relationship Id="rId467" Type="http://schemas.openxmlformats.org/officeDocument/2006/relationships/hyperlink" Target="http://purl.obolibrary.org/obo/OBI_0002074" TargetMode="External"/><Relationship Id="rId109" Type="http://schemas.openxmlformats.org/officeDocument/2006/relationships/hyperlink" Target="http://purl.obolibrary.org/obo/OBI_0001342" TargetMode="External"/><Relationship Id="rId108" Type="http://schemas.openxmlformats.org/officeDocument/2006/relationships/hyperlink" Target="http://purl.obolibrary.org/obo/OBI_0001341" TargetMode="External"/><Relationship Id="rId229" Type="http://schemas.openxmlformats.org/officeDocument/2006/relationships/hyperlink" Target="http://purl.obolibrary.org/obo/OBI_0001587" TargetMode="External"/><Relationship Id="rId220" Type="http://schemas.openxmlformats.org/officeDocument/2006/relationships/hyperlink" Target="http://purl.obolibrary.org/obo/OBI_0001568" TargetMode="External"/><Relationship Id="rId341" Type="http://schemas.openxmlformats.org/officeDocument/2006/relationships/hyperlink" Target="http://purl.obolibrary.org/obo/OBI_0001761" TargetMode="External"/><Relationship Id="rId462" Type="http://schemas.openxmlformats.org/officeDocument/2006/relationships/hyperlink" Target="http://purl.obolibrary.org/obo/OBI_0002069" TargetMode="External"/><Relationship Id="rId340" Type="http://schemas.openxmlformats.org/officeDocument/2006/relationships/hyperlink" Target="http://purl.obolibrary.org/obo/OBI_0001760" TargetMode="External"/><Relationship Id="rId461" Type="http://schemas.openxmlformats.org/officeDocument/2006/relationships/hyperlink" Target="http://purl.obolibrary.org/obo/OBI_0002068" TargetMode="External"/><Relationship Id="rId460" Type="http://schemas.openxmlformats.org/officeDocument/2006/relationships/hyperlink" Target="http://purl.obolibrary.org/obo/OBI_0002067" TargetMode="External"/><Relationship Id="rId103" Type="http://schemas.openxmlformats.org/officeDocument/2006/relationships/hyperlink" Target="http://purl.obolibrary.org/obo/OBI_0001326" TargetMode="External"/><Relationship Id="rId224" Type="http://schemas.openxmlformats.org/officeDocument/2006/relationships/hyperlink" Target="http://purl.obolibrary.org/obo/OBI_0001578" TargetMode="External"/><Relationship Id="rId345" Type="http://schemas.openxmlformats.org/officeDocument/2006/relationships/hyperlink" Target="http://purl.obolibrary.org/obo/OBI_0001765" TargetMode="External"/><Relationship Id="rId466" Type="http://schemas.openxmlformats.org/officeDocument/2006/relationships/hyperlink" Target="http://purl.obolibrary.org/obo/OBI_0002073" TargetMode="External"/><Relationship Id="rId102" Type="http://schemas.openxmlformats.org/officeDocument/2006/relationships/hyperlink" Target="http://purl.obolibrary.org/obo/OBI_0001325" TargetMode="External"/><Relationship Id="rId223" Type="http://schemas.openxmlformats.org/officeDocument/2006/relationships/hyperlink" Target="http://purl.obolibrary.org/obo/OBI_0001577" TargetMode="External"/><Relationship Id="rId344" Type="http://schemas.openxmlformats.org/officeDocument/2006/relationships/hyperlink" Target="http://purl.obolibrary.org/obo/OBI_0001764" TargetMode="External"/><Relationship Id="rId465" Type="http://schemas.openxmlformats.org/officeDocument/2006/relationships/hyperlink" Target="http://purl.obolibrary.org/obo/OBI_0002072" TargetMode="External"/><Relationship Id="rId101" Type="http://schemas.openxmlformats.org/officeDocument/2006/relationships/hyperlink" Target="http://purl.obolibrary.org/obo/OBI_0001324" TargetMode="External"/><Relationship Id="rId222" Type="http://schemas.openxmlformats.org/officeDocument/2006/relationships/hyperlink" Target="http://purl.obolibrary.org/obo/OBI_0001570" TargetMode="External"/><Relationship Id="rId343" Type="http://schemas.openxmlformats.org/officeDocument/2006/relationships/hyperlink" Target="http://purl.obolibrary.org/obo/OBI_0001763" TargetMode="External"/><Relationship Id="rId464" Type="http://schemas.openxmlformats.org/officeDocument/2006/relationships/hyperlink" Target="http://purl.obolibrary.org/obo/OBI_0002071" TargetMode="External"/><Relationship Id="rId100" Type="http://schemas.openxmlformats.org/officeDocument/2006/relationships/hyperlink" Target="http://purl.obolibrary.org/obo/OBI_0001322" TargetMode="External"/><Relationship Id="rId221" Type="http://schemas.openxmlformats.org/officeDocument/2006/relationships/hyperlink" Target="http://purl.obolibrary.org/obo/OBI_0001569" TargetMode="External"/><Relationship Id="rId342" Type="http://schemas.openxmlformats.org/officeDocument/2006/relationships/hyperlink" Target="http://purl.obolibrary.org/obo/OBI_0001762" TargetMode="External"/><Relationship Id="rId463" Type="http://schemas.openxmlformats.org/officeDocument/2006/relationships/hyperlink" Target="http://purl.obolibrary.org/obo/OBI_0002070" TargetMode="External"/><Relationship Id="rId217" Type="http://schemas.openxmlformats.org/officeDocument/2006/relationships/hyperlink" Target="http://purl.obolibrary.org/obo/OBI_0001564" TargetMode="External"/><Relationship Id="rId338" Type="http://schemas.openxmlformats.org/officeDocument/2006/relationships/hyperlink" Target="http://purl.obolibrary.org/obo/OBI_0001758" TargetMode="External"/><Relationship Id="rId459" Type="http://schemas.openxmlformats.org/officeDocument/2006/relationships/hyperlink" Target="http://purl.obolibrary.org/obo/OBI_0002066" TargetMode="External"/><Relationship Id="rId216" Type="http://schemas.openxmlformats.org/officeDocument/2006/relationships/hyperlink" Target="http://purl.obolibrary.org/obo/OBI_0001562" TargetMode="External"/><Relationship Id="rId337" Type="http://schemas.openxmlformats.org/officeDocument/2006/relationships/hyperlink" Target="http://purl.obolibrary.org/obo/OBI_0001757" TargetMode="External"/><Relationship Id="rId458" Type="http://schemas.openxmlformats.org/officeDocument/2006/relationships/hyperlink" Target="http://purl.obolibrary.org/obo/OBI_0002065" TargetMode="External"/><Relationship Id="rId215" Type="http://schemas.openxmlformats.org/officeDocument/2006/relationships/hyperlink" Target="http://purl.obolibrary.org/obo/OBI_0001561" TargetMode="External"/><Relationship Id="rId336" Type="http://schemas.openxmlformats.org/officeDocument/2006/relationships/hyperlink" Target="http://purl.obolibrary.org/obo/OBI_0001756" TargetMode="External"/><Relationship Id="rId457" Type="http://schemas.openxmlformats.org/officeDocument/2006/relationships/hyperlink" Target="http://purl.obolibrary.org/obo/OBI_0002064" TargetMode="External"/><Relationship Id="rId214" Type="http://schemas.openxmlformats.org/officeDocument/2006/relationships/hyperlink" Target="http://purl.obolibrary.org/obo/OBI_0001559" TargetMode="External"/><Relationship Id="rId335" Type="http://schemas.openxmlformats.org/officeDocument/2006/relationships/hyperlink" Target="http://purl.obolibrary.org/obo/OBI_0001754" TargetMode="External"/><Relationship Id="rId456" Type="http://schemas.openxmlformats.org/officeDocument/2006/relationships/hyperlink" Target="http://purl.obolibrary.org/obo/OBI_0002063" TargetMode="External"/><Relationship Id="rId219" Type="http://schemas.openxmlformats.org/officeDocument/2006/relationships/hyperlink" Target="http://purl.obolibrary.org/obo/OBI_0001567" TargetMode="External"/><Relationship Id="rId218" Type="http://schemas.openxmlformats.org/officeDocument/2006/relationships/hyperlink" Target="http://purl.obolibrary.org/obo/OBI_0001565" TargetMode="External"/><Relationship Id="rId339" Type="http://schemas.openxmlformats.org/officeDocument/2006/relationships/hyperlink" Target="http://purl.obolibrary.org/obo/OBI_0001759" TargetMode="External"/><Relationship Id="rId330" Type="http://schemas.openxmlformats.org/officeDocument/2006/relationships/hyperlink" Target="http://purl.obolibrary.org/obo/OBI_0001749" TargetMode="External"/><Relationship Id="rId451" Type="http://schemas.openxmlformats.org/officeDocument/2006/relationships/hyperlink" Target="http://purl.obolibrary.org/obo/OBI_0002058" TargetMode="External"/><Relationship Id="rId450" Type="http://schemas.openxmlformats.org/officeDocument/2006/relationships/hyperlink" Target="http://purl.obolibrary.org/obo/OBI_0002057" TargetMode="External"/><Relationship Id="rId213" Type="http://schemas.openxmlformats.org/officeDocument/2006/relationships/hyperlink" Target="http://purl.obolibrary.org/obo/OBI_0001558" TargetMode="External"/><Relationship Id="rId334" Type="http://schemas.openxmlformats.org/officeDocument/2006/relationships/hyperlink" Target="http://purl.obolibrary.org/obo/OBI_0001753" TargetMode="External"/><Relationship Id="rId455" Type="http://schemas.openxmlformats.org/officeDocument/2006/relationships/hyperlink" Target="http://purl.obolibrary.org/obo/OBI_0002062" TargetMode="External"/><Relationship Id="rId212" Type="http://schemas.openxmlformats.org/officeDocument/2006/relationships/hyperlink" Target="http://purl.obolibrary.org/obo/OBI_0001556" TargetMode="External"/><Relationship Id="rId333" Type="http://schemas.openxmlformats.org/officeDocument/2006/relationships/hyperlink" Target="http://purl.obolibrary.org/obo/OBI_0001752" TargetMode="External"/><Relationship Id="rId454" Type="http://schemas.openxmlformats.org/officeDocument/2006/relationships/hyperlink" Target="http://purl.obolibrary.org/obo/OBI_0002061" TargetMode="External"/><Relationship Id="rId211" Type="http://schemas.openxmlformats.org/officeDocument/2006/relationships/hyperlink" Target="http://purl.obolibrary.org/obo/OBI_0001555" TargetMode="External"/><Relationship Id="rId332" Type="http://schemas.openxmlformats.org/officeDocument/2006/relationships/hyperlink" Target="http://purl.obolibrary.org/obo/OBI_0001751" TargetMode="External"/><Relationship Id="rId453" Type="http://schemas.openxmlformats.org/officeDocument/2006/relationships/hyperlink" Target="http://purl.obolibrary.org/obo/OBI_0002060" TargetMode="External"/><Relationship Id="rId210" Type="http://schemas.openxmlformats.org/officeDocument/2006/relationships/hyperlink" Target="http://purl.obolibrary.org/obo/OBI_0001553" TargetMode="External"/><Relationship Id="rId331" Type="http://schemas.openxmlformats.org/officeDocument/2006/relationships/hyperlink" Target="http://purl.obolibrary.org/obo/OBI_0001750" TargetMode="External"/><Relationship Id="rId452" Type="http://schemas.openxmlformats.org/officeDocument/2006/relationships/hyperlink" Target="http://purl.obolibrary.org/obo/OBI_0002059" TargetMode="External"/><Relationship Id="rId370" Type="http://schemas.openxmlformats.org/officeDocument/2006/relationships/hyperlink" Target="http://purl.obolibrary.org/obo/OBI_0001791" TargetMode="External"/><Relationship Id="rId491" Type="http://schemas.openxmlformats.org/officeDocument/2006/relationships/hyperlink" Target="http://purl.obolibrary.org/obo/OBI_1110159" TargetMode="External"/><Relationship Id="rId490" Type="http://schemas.openxmlformats.org/officeDocument/2006/relationships/hyperlink" Target="http://purl.obolibrary.org/obo/OBI_1110158" TargetMode="External"/><Relationship Id="rId129" Type="http://schemas.openxmlformats.org/officeDocument/2006/relationships/hyperlink" Target="http://purl.obolibrary.org/obo/OBI_0001380" TargetMode="External"/><Relationship Id="rId128" Type="http://schemas.openxmlformats.org/officeDocument/2006/relationships/hyperlink" Target="http://purl.obolibrary.org/obo/OBI_0001379" TargetMode="External"/><Relationship Id="rId249" Type="http://schemas.openxmlformats.org/officeDocument/2006/relationships/hyperlink" Target="http://purl.obolibrary.org/obo/OBI_0001631" TargetMode="External"/><Relationship Id="rId127" Type="http://schemas.openxmlformats.org/officeDocument/2006/relationships/hyperlink" Target="http://purl.obolibrary.org/obo/OBI_0001378" TargetMode="External"/><Relationship Id="rId248" Type="http://schemas.openxmlformats.org/officeDocument/2006/relationships/hyperlink" Target="http://purl.obolibrary.org/obo/OBI_0001630" TargetMode="External"/><Relationship Id="rId369" Type="http://schemas.openxmlformats.org/officeDocument/2006/relationships/hyperlink" Target="http://purl.obolibrary.org/obo/OBI_0001790" TargetMode="External"/><Relationship Id="rId126" Type="http://schemas.openxmlformats.org/officeDocument/2006/relationships/hyperlink" Target="http://purl.obolibrary.org/obo/OBI_0001376" TargetMode="External"/><Relationship Id="rId247" Type="http://schemas.openxmlformats.org/officeDocument/2006/relationships/hyperlink" Target="http://purl.obolibrary.org/obo/OBI_0001613" TargetMode="External"/><Relationship Id="rId368" Type="http://schemas.openxmlformats.org/officeDocument/2006/relationships/hyperlink" Target="http://purl.obolibrary.org/obo/OBI_0001789" TargetMode="External"/><Relationship Id="rId489" Type="http://schemas.openxmlformats.org/officeDocument/2006/relationships/hyperlink" Target="http://purl.obolibrary.org/obo/OBI_1110157" TargetMode="External"/><Relationship Id="rId121" Type="http://schemas.openxmlformats.org/officeDocument/2006/relationships/hyperlink" Target="http://purl.obolibrary.org/obo/OBI_0001359" TargetMode="External"/><Relationship Id="rId242" Type="http://schemas.openxmlformats.org/officeDocument/2006/relationships/hyperlink" Target="http://purl.obolibrary.org/obo/OBI_0001606" TargetMode="External"/><Relationship Id="rId363" Type="http://schemas.openxmlformats.org/officeDocument/2006/relationships/hyperlink" Target="http://purl.obolibrary.org/obo/OBI_0001784" TargetMode="External"/><Relationship Id="rId484" Type="http://schemas.openxmlformats.org/officeDocument/2006/relationships/hyperlink" Target="http://purl.obolibrary.org/obo/OBI_1110152" TargetMode="External"/><Relationship Id="rId120" Type="http://schemas.openxmlformats.org/officeDocument/2006/relationships/hyperlink" Target="http://purl.obolibrary.org/obo/OBI_0001357" TargetMode="External"/><Relationship Id="rId241" Type="http://schemas.openxmlformats.org/officeDocument/2006/relationships/hyperlink" Target="http://purl.obolibrary.org/obo/OBI_0001604" TargetMode="External"/><Relationship Id="rId362" Type="http://schemas.openxmlformats.org/officeDocument/2006/relationships/hyperlink" Target="http://purl.obolibrary.org/obo/OBI_0001783" TargetMode="External"/><Relationship Id="rId483" Type="http://schemas.openxmlformats.org/officeDocument/2006/relationships/hyperlink" Target="http://purl.obolibrary.org/obo/OBI_1110151" TargetMode="External"/><Relationship Id="rId240" Type="http://schemas.openxmlformats.org/officeDocument/2006/relationships/hyperlink" Target="http://purl.obolibrary.org/obo/OBI_0001602" TargetMode="External"/><Relationship Id="rId361" Type="http://schemas.openxmlformats.org/officeDocument/2006/relationships/hyperlink" Target="http://purl.obolibrary.org/obo/OBI_0001782" TargetMode="External"/><Relationship Id="rId482" Type="http://schemas.openxmlformats.org/officeDocument/2006/relationships/hyperlink" Target="http://purl.obolibrary.org/obo/OBI_1110150" TargetMode="External"/><Relationship Id="rId360" Type="http://schemas.openxmlformats.org/officeDocument/2006/relationships/hyperlink" Target="http://purl.obolibrary.org/obo/OBI_0001781" TargetMode="External"/><Relationship Id="rId481" Type="http://schemas.openxmlformats.org/officeDocument/2006/relationships/hyperlink" Target="http://purl.obolibrary.org/obo/OBI_1110131" TargetMode="External"/><Relationship Id="rId125" Type="http://schemas.openxmlformats.org/officeDocument/2006/relationships/hyperlink" Target="http://purl.obolibrary.org/obo/OBI_0001368" TargetMode="External"/><Relationship Id="rId246" Type="http://schemas.openxmlformats.org/officeDocument/2006/relationships/hyperlink" Target="http://purl.obolibrary.org/obo/OBI_0001610" TargetMode="External"/><Relationship Id="rId367" Type="http://schemas.openxmlformats.org/officeDocument/2006/relationships/hyperlink" Target="http://purl.obolibrary.org/obo/OBI_0001788" TargetMode="External"/><Relationship Id="rId488" Type="http://schemas.openxmlformats.org/officeDocument/2006/relationships/hyperlink" Target="http://purl.obolibrary.org/obo/OBI_1110156" TargetMode="External"/><Relationship Id="rId124" Type="http://schemas.openxmlformats.org/officeDocument/2006/relationships/hyperlink" Target="http://purl.obolibrary.org/obo/OBI_0001367" TargetMode="External"/><Relationship Id="rId245" Type="http://schemas.openxmlformats.org/officeDocument/2006/relationships/hyperlink" Target="http://purl.obolibrary.org/obo/OBI_0001609" TargetMode="External"/><Relationship Id="rId366" Type="http://schemas.openxmlformats.org/officeDocument/2006/relationships/hyperlink" Target="http://purl.obolibrary.org/obo/OBI_0001787" TargetMode="External"/><Relationship Id="rId487" Type="http://schemas.openxmlformats.org/officeDocument/2006/relationships/hyperlink" Target="http://purl.obolibrary.org/obo/OBI_1110155" TargetMode="External"/><Relationship Id="rId123" Type="http://schemas.openxmlformats.org/officeDocument/2006/relationships/hyperlink" Target="http://purl.obolibrary.org/obo/OBI_0001363" TargetMode="External"/><Relationship Id="rId244" Type="http://schemas.openxmlformats.org/officeDocument/2006/relationships/hyperlink" Target="http://purl.obolibrary.org/obo/OBI_0001608" TargetMode="External"/><Relationship Id="rId365" Type="http://schemas.openxmlformats.org/officeDocument/2006/relationships/hyperlink" Target="http://purl.obolibrary.org/obo/OBI_0001786" TargetMode="External"/><Relationship Id="rId486" Type="http://schemas.openxmlformats.org/officeDocument/2006/relationships/hyperlink" Target="http://purl.obolibrary.org/obo/OBI_1110154" TargetMode="External"/><Relationship Id="rId122" Type="http://schemas.openxmlformats.org/officeDocument/2006/relationships/hyperlink" Target="http://purl.obolibrary.org/obo/OBI_0001360" TargetMode="External"/><Relationship Id="rId243" Type="http://schemas.openxmlformats.org/officeDocument/2006/relationships/hyperlink" Target="http://purl.obolibrary.org/obo/OBI_0001607" TargetMode="External"/><Relationship Id="rId364" Type="http://schemas.openxmlformats.org/officeDocument/2006/relationships/hyperlink" Target="http://purl.obolibrary.org/obo/OBI_0001785" TargetMode="External"/><Relationship Id="rId485" Type="http://schemas.openxmlformats.org/officeDocument/2006/relationships/hyperlink" Target="http://purl.obolibrary.org/obo/OBI_1110153" TargetMode="External"/><Relationship Id="rId95" Type="http://schemas.openxmlformats.org/officeDocument/2006/relationships/hyperlink" Target="http://purl.obolibrary.org/obo/OBI_0001309" TargetMode="External"/><Relationship Id="rId94" Type="http://schemas.openxmlformats.org/officeDocument/2006/relationships/hyperlink" Target="http://purl.obolibrary.org/obo/OBI_0001308" TargetMode="External"/><Relationship Id="rId97" Type="http://schemas.openxmlformats.org/officeDocument/2006/relationships/hyperlink" Target="http://purl.obolibrary.org/obo/OBI_0001315" TargetMode="External"/><Relationship Id="rId96" Type="http://schemas.openxmlformats.org/officeDocument/2006/relationships/hyperlink" Target="http://purl.obolibrary.org/obo/OBI_0001311" TargetMode="External"/><Relationship Id="rId99" Type="http://schemas.openxmlformats.org/officeDocument/2006/relationships/hyperlink" Target="http://purl.obolibrary.org/obo/OBI_0001319" TargetMode="External"/><Relationship Id="rId480" Type="http://schemas.openxmlformats.org/officeDocument/2006/relationships/hyperlink" Target="http://purl.obolibrary.org/obo/OBI_1110130" TargetMode="External"/><Relationship Id="rId98" Type="http://schemas.openxmlformats.org/officeDocument/2006/relationships/hyperlink" Target="http://purl.obolibrary.org/obo/OBI_0001317" TargetMode="External"/><Relationship Id="rId91" Type="http://schemas.openxmlformats.org/officeDocument/2006/relationships/hyperlink" Target="http://purl.obolibrary.org/obo/OBI_0001301" TargetMode="External"/><Relationship Id="rId90" Type="http://schemas.openxmlformats.org/officeDocument/2006/relationships/hyperlink" Target="http://purl.obolibrary.org/obo/OBI_0001300" TargetMode="External"/><Relationship Id="rId93" Type="http://schemas.openxmlformats.org/officeDocument/2006/relationships/hyperlink" Target="http://purl.obolibrary.org/obo/OBI_0001303" TargetMode="External"/><Relationship Id="rId92" Type="http://schemas.openxmlformats.org/officeDocument/2006/relationships/hyperlink" Target="http://purl.obolibrary.org/obo/OBI_0001302" TargetMode="External"/><Relationship Id="rId118" Type="http://schemas.openxmlformats.org/officeDocument/2006/relationships/hyperlink" Target="http://purl.obolibrary.org/obo/OBI_0001354" TargetMode="External"/><Relationship Id="rId239" Type="http://schemas.openxmlformats.org/officeDocument/2006/relationships/hyperlink" Target="http://purl.obolibrary.org/obo/OBI_0001601" TargetMode="External"/><Relationship Id="rId117" Type="http://schemas.openxmlformats.org/officeDocument/2006/relationships/hyperlink" Target="http://purl.obolibrary.org/obo/OBI_0001353" TargetMode="External"/><Relationship Id="rId238" Type="http://schemas.openxmlformats.org/officeDocument/2006/relationships/hyperlink" Target="http://purl.obolibrary.org/obo/OBI_0001600" TargetMode="External"/><Relationship Id="rId359" Type="http://schemas.openxmlformats.org/officeDocument/2006/relationships/hyperlink" Target="http://purl.obolibrary.org/obo/OBI_0001780" TargetMode="External"/><Relationship Id="rId116" Type="http://schemas.openxmlformats.org/officeDocument/2006/relationships/hyperlink" Target="http://purl.obolibrary.org/obo/OBI_0001350" TargetMode="External"/><Relationship Id="rId237" Type="http://schemas.openxmlformats.org/officeDocument/2006/relationships/hyperlink" Target="http://purl.obolibrary.org/obo/OBI_0001599" TargetMode="External"/><Relationship Id="rId358" Type="http://schemas.openxmlformats.org/officeDocument/2006/relationships/hyperlink" Target="http://purl.obolibrary.org/obo/OBI_0001779" TargetMode="External"/><Relationship Id="rId479" Type="http://schemas.openxmlformats.org/officeDocument/2006/relationships/hyperlink" Target="http://purl.obolibrary.org/obo/OBI_1110129" TargetMode="External"/><Relationship Id="rId115" Type="http://schemas.openxmlformats.org/officeDocument/2006/relationships/hyperlink" Target="http://purl.obolibrary.org/obo/OBI_0001349" TargetMode="External"/><Relationship Id="rId236" Type="http://schemas.openxmlformats.org/officeDocument/2006/relationships/hyperlink" Target="http://purl.obolibrary.org/obo/OBI_0001597" TargetMode="External"/><Relationship Id="rId357" Type="http://schemas.openxmlformats.org/officeDocument/2006/relationships/hyperlink" Target="http://purl.obolibrary.org/obo/OBI_0001778" TargetMode="External"/><Relationship Id="rId478" Type="http://schemas.openxmlformats.org/officeDocument/2006/relationships/hyperlink" Target="http://purl.obolibrary.org/obo/OBI_1110128" TargetMode="External"/><Relationship Id="rId119" Type="http://schemas.openxmlformats.org/officeDocument/2006/relationships/hyperlink" Target="http://purl.obolibrary.org/obo/OBI_0001356" TargetMode="External"/><Relationship Id="rId110" Type="http://schemas.openxmlformats.org/officeDocument/2006/relationships/hyperlink" Target="http://purl.obolibrary.org/obo/OBI_0001343" TargetMode="External"/><Relationship Id="rId231" Type="http://schemas.openxmlformats.org/officeDocument/2006/relationships/hyperlink" Target="http://purl.obolibrary.org/obo/OBI_0001590" TargetMode="External"/><Relationship Id="rId352" Type="http://schemas.openxmlformats.org/officeDocument/2006/relationships/hyperlink" Target="http://purl.obolibrary.org/obo/OBI_0001773" TargetMode="External"/><Relationship Id="rId473" Type="http://schemas.openxmlformats.org/officeDocument/2006/relationships/hyperlink" Target="http://purl.obolibrary.org/obo/OBI_1110059" TargetMode="External"/><Relationship Id="rId230" Type="http://schemas.openxmlformats.org/officeDocument/2006/relationships/hyperlink" Target="http://purl.obolibrary.org/obo/OBI_0001589" TargetMode="External"/><Relationship Id="rId351" Type="http://schemas.openxmlformats.org/officeDocument/2006/relationships/hyperlink" Target="http://purl.obolibrary.org/obo/OBI_0001772" TargetMode="External"/><Relationship Id="rId472" Type="http://schemas.openxmlformats.org/officeDocument/2006/relationships/hyperlink" Target="http://purl.obolibrary.org/obo/OBI_1110037" TargetMode="External"/><Relationship Id="rId350" Type="http://schemas.openxmlformats.org/officeDocument/2006/relationships/hyperlink" Target="http://purl.obolibrary.org/obo/OBI_0001771" TargetMode="External"/><Relationship Id="rId471" Type="http://schemas.openxmlformats.org/officeDocument/2006/relationships/hyperlink" Target="http://purl.obolibrary.org/obo/OBI_1110013" TargetMode="External"/><Relationship Id="rId470" Type="http://schemas.openxmlformats.org/officeDocument/2006/relationships/hyperlink" Target="http://purl.obolibrary.org/obo/OBI_0600045" TargetMode="External"/><Relationship Id="rId114" Type="http://schemas.openxmlformats.org/officeDocument/2006/relationships/hyperlink" Target="http://purl.obolibrary.org/obo/OBI_0001348" TargetMode="External"/><Relationship Id="rId235" Type="http://schemas.openxmlformats.org/officeDocument/2006/relationships/hyperlink" Target="http://purl.obolibrary.org/obo/OBI_0001595" TargetMode="External"/><Relationship Id="rId356" Type="http://schemas.openxmlformats.org/officeDocument/2006/relationships/hyperlink" Target="http://purl.obolibrary.org/obo/OBI_0001777" TargetMode="External"/><Relationship Id="rId477" Type="http://schemas.openxmlformats.org/officeDocument/2006/relationships/hyperlink" Target="http://purl.obolibrary.org/obo/OBI_1110127" TargetMode="External"/><Relationship Id="rId113" Type="http://schemas.openxmlformats.org/officeDocument/2006/relationships/hyperlink" Target="http://purl.obolibrary.org/obo/OBI_0001346" TargetMode="External"/><Relationship Id="rId234" Type="http://schemas.openxmlformats.org/officeDocument/2006/relationships/hyperlink" Target="http://purl.obolibrary.org/obo/OBI_0001594" TargetMode="External"/><Relationship Id="rId355" Type="http://schemas.openxmlformats.org/officeDocument/2006/relationships/hyperlink" Target="http://purl.obolibrary.org/obo/OBI_0001776" TargetMode="External"/><Relationship Id="rId476" Type="http://schemas.openxmlformats.org/officeDocument/2006/relationships/hyperlink" Target="http://purl.obolibrary.org/obo/OBI_1110126" TargetMode="External"/><Relationship Id="rId112" Type="http://schemas.openxmlformats.org/officeDocument/2006/relationships/hyperlink" Target="http://purl.obolibrary.org/obo/OBI_0001345" TargetMode="External"/><Relationship Id="rId233" Type="http://schemas.openxmlformats.org/officeDocument/2006/relationships/hyperlink" Target="http://purl.obolibrary.org/obo/OBI_0001593" TargetMode="External"/><Relationship Id="rId354" Type="http://schemas.openxmlformats.org/officeDocument/2006/relationships/hyperlink" Target="http://purl.obolibrary.org/obo/OBI_0001775" TargetMode="External"/><Relationship Id="rId475" Type="http://schemas.openxmlformats.org/officeDocument/2006/relationships/hyperlink" Target="http://purl.obolibrary.org/obo/OBI_1110125" TargetMode="External"/><Relationship Id="rId111" Type="http://schemas.openxmlformats.org/officeDocument/2006/relationships/hyperlink" Target="http://purl.obolibrary.org/obo/OBI_0001344" TargetMode="External"/><Relationship Id="rId232" Type="http://schemas.openxmlformats.org/officeDocument/2006/relationships/hyperlink" Target="http://purl.obolibrary.org/obo/OBI_0001592" TargetMode="External"/><Relationship Id="rId353" Type="http://schemas.openxmlformats.org/officeDocument/2006/relationships/hyperlink" Target="http://purl.obolibrary.org/obo/OBI_0001774" TargetMode="External"/><Relationship Id="rId474" Type="http://schemas.openxmlformats.org/officeDocument/2006/relationships/hyperlink" Target="http://purl.obolibrary.org/obo/OBI_1110124" TargetMode="External"/><Relationship Id="rId305" Type="http://schemas.openxmlformats.org/officeDocument/2006/relationships/hyperlink" Target="http://purl.obolibrary.org/obo/OBI_0001721" TargetMode="External"/><Relationship Id="rId426" Type="http://schemas.openxmlformats.org/officeDocument/2006/relationships/hyperlink" Target="http://purl.obolibrary.org/obo/OBI_0001983" TargetMode="External"/><Relationship Id="rId304" Type="http://schemas.openxmlformats.org/officeDocument/2006/relationships/hyperlink" Target="http://purl.obolibrary.org/obo/OBI_0001719" TargetMode="External"/><Relationship Id="rId425" Type="http://schemas.openxmlformats.org/officeDocument/2006/relationships/hyperlink" Target="http://purl.obolibrary.org/obo/OBI_0001982" TargetMode="External"/><Relationship Id="rId303" Type="http://schemas.openxmlformats.org/officeDocument/2006/relationships/hyperlink" Target="http://purl.obolibrary.org/obo/OBI_0001718" TargetMode="External"/><Relationship Id="rId424" Type="http://schemas.openxmlformats.org/officeDocument/2006/relationships/hyperlink" Target="http://purl.obolibrary.org/obo/OBI_0001981" TargetMode="External"/><Relationship Id="rId302" Type="http://schemas.openxmlformats.org/officeDocument/2006/relationships/hyperlink" Target="http://purl.obolibrary.org/obo/OBI_0001711" TargetMode="External"/><Relationship Id="rId423" Type="http://schemas.openxmlformats.org/officeDocument/2006/relationships/hyperlink" Target="http://purl.obolibrary.org/obo/OBI_0001980" TargetMode="External"/><Relationship Id="rId309" Type="http://schemas.openxmlformats.org/officeDocument/2006/relationships/hyperlink" Target="http://purl.obolibrary.org/obo/OBI_0001727" TargetMode="External"/><Relationship Id="rId308" Type="http://schemas.openxmlformats.org/officeDocument/2006/relationships/hyperlink" Target="http://purl.obolibrary.org/obo/OBI_0001726" TargetMode="External"/><Relationship Id="rId429" Type="http://schemas.openxmlformats.org/officeDocument/2006/relationships/hyperlink" Target="http://purl.obolibrary.org/obo/OBI_0001986" TargetMode="External"/><Relationship Id="rId307" Type="http://schemas.openxmlformats.org/officeDocument/2006/relationships/hyperlink" Target="http://purl.obolibrary.org/obo/OBI_0001724" TargetMode="External"/><Relationship Id="rId428" Type="http://schemas.openxmlformats.org/officeDocument/2006/relationships/hyperlink" Target="http://purl.obolibrary.org/obo/OBI_0001985" TargetMode="External"/><Relationship Id="rId306" Type="http://schemas.openxmlformats.org/officeDocument/2006/relationships/hyperlink" Target="http://purl.obolibrary.org/obo/OBI_0001723" TargetMode="External"/><Relationship Id="rId427" Type="http://schemas.openxmlformats.org/officeDocument/2006/relationships/hyperlink" Target="http://purl.obolibrary.org/obo/OBI_0001984" TargetMode="External"/><Relationship Id="rId301" Type="http://schemas.openxmlformats.org/officeDocument/2006/relationships/hyperlink" Target="http://purl.obolibrary.org/obo/OBI_0001710" TargetMode="External"/><Relationship Id="rId422" Type="http://schemas.openxmlformats.org/officeDocument/2006/relationships/hyperlink" Target="http://purl.obolibrary.org/obo/OBI_0001979" TargetMode="External"/><Relationship Id="rId300" Type="http://schemas.openxmlformats.org/officeDocument/2006/relationships/hyperlink" Target="http://purl.obolibrary.org/obo/OBI_0001709" TargetMode="External"/><Relationship Id="rId421" Type="http://schemas.openxmlformats.org/officeDocument/2006/relationships/hyperlink" Target="http://purl.obolibrary.org/obo/OBI_0001978" TargetMode="External"/><Relationship Id="rId420" Type="http://schemas.openxmlformats.org/officeDocument/2006/relationships/hyperlink" Target="http://purl.obolibrary.org/obo/OBI_0001977" TargetMode="External"/><Relationship Id="rId415" Type="http://schemas.openxmlformats.org/officeDocument/2006/relationships/hyperlink" Target="http://purl.obolibrary.org/obo/OBI_0001843" TargetMode="External"/><Relationship Id="rId414" Type="http://schemas.openxmlformats.org/officeDocument/2006/relationships/hyperlink" Target="http://purl.obolibrary.org/obo/OBI_0001842" TargetMode="External"/><Relationship Id="rId413" Type="http://schemas.openxmlformats.org/officeDocument/2006/relationships/hyperlink" Target="http://purl.obolibrary.org/obo/OBI_0001841" TargetMode="External"/><Relationship Id="rId412" Type="http://schemas.openxmlformats.org/officeDocument/2006/relationships/hyperlink" Target="http://purl.obolibrary.org/obo/OBI_0001840" TargetMode="External"/><Relationship Id="rId419" Type="http://schemas.openxmlformats.org/officeDocument/2006/relationships/hyperlink" Target="http://purl.obolibrary.org/obo/OBI_0001976" TargetMode="External"/><Relationship Id="rId418" Type="http://schemas.openxmlformats.org/officeDocument/2006/relationships/hyperlink" Target="http://purl.obolibrary.org/obo/OBI_0001846" TargetMode="External"/><Relationship Id="rId417" Type="http://schemas.openxmlformats.org/officeDocument/2006/relationships/hyperlink" Target="http://purl.obolibrary.org/obo/OBI_0001845" TargetMode="External"/><Relationship Id="rId416" Type="http://schemas.openxmlformats.org/officeDocument/2006/relationships/hyperlink" Target="http://purl.obolibrary.org/obo/OBI_0001844" TargetMode="External"/><Relationship Id="rId411" Type="http://schemas.openxmlformats.org/officeDocument/2006/relationships/hyperlink" Target="http://purl.obolibrary.org/obo/OBI_0001839" TargetMode="External"/><Relationship Id="rId410" Type="http://schemas.openxmlformats.org/officeDocument/2006/relationships/hyperlink" Target="http://purl.obolibrary.org/obo/OBI_0001838" TargetMode="External"/><Relationship Id="rId206" Type="http://schemas.openxmlformats.org/officeDocument/2006/relationships/hyperlink" Target="http://purl.obolibrary.org/obo/OBI_0001545" TargetMode="External"/><Relationship Id="rId327" Type="http://schemas.openxmlformats.org/officeDocument/2006/relationships/hyperlink" Target="http://purl.obolibrary.org/obo/OBI_0001746" TargetMode="External"/><Relationship Id="rId448" Type="http://schemas.openxmlformats.org/officeDocument/2006/relationships/hyperlink" Target="http://purl.obolibrary.org/obo/OBI_0002055" TargetMode="External"/><Relationship Id="rId205" Type="http://schemas.openxmlformats.org/officeDocument/2006/relationships/hyperlink" Target="http://purl.obolibrary.org/obo/OBI_0001544" TargetMode="External"/><Relationship Id="rId326" Type="http://schemas.openxmlformats.org/officeDocument/2006/relationships/hyperlink" Target="http://purl.obolibrary.org/obo/OBI_0001745" TargetMode="External"/><Relationship Id="rId447" Type="http://schemas.openxmlformats.org/officeDocument/2006/relationships/hyperlink" Target="http://purl.obolibrary.org/obo/OBI_0002054" TargetMode="External"/><Relationship Id="rId204" Type="http://schemas.openxmlformats.org/officeDocument/2006/relationships/hyperlink" Target="http://purl.obolibrary.org/obo/OBI_0001543" TargetMode="External"/><Relationship Id="rId325" Type="http://schemas.openxmlformats.org/officeDocument/2006/relationships/hyperlink" Target="http://purl.obolibrary.org/obo/OBI_0001744" TargetMode="External"/><Relationship Id="rId446" Type="http://schemas.openxmlformats.org/officeDocument/2006/relationships/hyperlink" Target="http://purl.obolibrary.org/obo/OBI_0002053" TargetMode="External"/><Relationship Id="rId203" Type="http://schemas.openxmlformats.org/officeDocument/2006/relationships/hyperlink" Target="http://purl.obolibrary.org/obo/OBI_0001542" TargetMode="External"/><Relationship Id="rId324" Type="http://schemas.openxmlformats.org/officeDocument/2006/relationships/hyperlink" Target="http://purl.obolibrary.org/obo/OBI_0001743" TargetMode="External"/><Relationship Id="rId445" Type="http://schemas.openxmlformats.org/officeDocument/2006/relationships/hyperlink" Target="http://purl.obolibrary.org/obo/OBI_0002052" TargetMode="External"/><Relationship Id="rId209" Type="http://schemas.openxmlformats.org/officeDocument/2006/relationships/hyperlink" Target="http://purl.obolibrary.org/obo/OBI_0001552" TargetMode="External"/><Relationship Id="rId208" Type="http://schemas.openxmlformats.org/officeDocument/2006/relationships/hyperlink" Target="http://purl.obolibrary.org/obo/OBI_0001550" TargetMode="External"/><Relationship Id="rId329" Type="http://schemas.openxmlformats.org/officeDocument/2006/relationships/hyperlink" Target="http://purl.obolibrary.org/obo/OBI_0001748" TargetMode="External"/><Relationship Id="rId207" Type="http://schemas.openxmlformats.org/officeDocument/2006/relationships/hyperlink" Target="http://purl.obolibrary.org/obo/OBI_0001549" TargetMode="External"/><Relationship Id="rId328" Type="http://schemas.openxmlformats.org/officeDocument/2006/relationships/hyperlink" Target="http://purl.obolibrary.org/obo/OBI_0001747" TargetMode="External"/><Relationship Id="rId449" Type="http://schemas.openxmlformats.org/officeDocument/2006/relationships/hyperlink" Target="http://purl.obolibrary.org/obo/OBI_0002056" TargetMode="External"/><Relationship Id="rId440" Type="http://schemas.openxmlformats.org/officeDocument/2006/relationships/hyperlink" Target="http://purl.obolibrary.org/obo/OBI_0001997" TargetMode="External"/><Relationship Id="rId202" Type="http://schemas.openxmlformats.org/officeDocument/2006/relationships/hyperlink" Target="http://purl.obolibrary.org/obo/OBI_0001541" TargetMode="External"/><Relationship Id="rId323" Type="http://schemas.openxmlformats.org/officeDocument/2006/relationships/hyperlink" Target="http://purl.obolibrary.org/obo/OBI_0001742" TargetMode="External"/><Relationship Id="rId444" Type="http://schemas.openxmlformats.org/officeDocument/2006/relationships/hyperlink" Target="http://purl.obolibrary.org/obo/OBI_0002051" TargetMode="External"/><Relationship Id="rId201" Type="http://schemas.openxmlformats.org/officeDocument/2006/relationships/hyperlink" Target="http://purl.obolibrary.org/obo/OBI_0001539" TargetMode="External"/><Relationship Id="rId322" Type="http://schemas.openxmlformats.org/officeDocument/2006/relationships/hyperlink" Target="http://purl.obolibrary.org/obo/OBI_0001741" TargetMode="External"/><Relationship Id="rId443" Type="http://schemas.openxmlformats.org/officeDocument/2006/relationships/hyperlink" Target="http://purl.obolibrary.org/obo/OBI_0002050" TargetMode="External"/><Relationship Id="rId200" Type="http://schemas.openxmlformats.org/officeDocument/2006/relationships/hyperlink" Target="http://purl.obolibrary.org/obo/OBI_0001537" TargetMode="External"/><Relationship Id="rId321" Type="http://schemas.openxmlformats.org/officeDocument/2006/relationships/hyperlink" Target="http://purl.obolibrary.org/obo/OBI_0001740" TargetMode="External"/><Relationship Id="rId442" Type="http://schemas.openxmlformats.org/officeDocument/2006/relationships/hyperlink" Target="http://purl.obolibrary.org/obo/OBI_0001999" TargetMode="External"/><Relationship Id="rId320" Type="http://schemas.openxmlformats.org/officeDocument/2006/relationships/hyperlink" Target="http://purl.obolibrary.org/obo/OBI_0001739" TargetMode="External"/><Relationship Id="rId441" Type="http://schemas.openxmlformats.org/officeDocument/2006/relationships/hyperlink" Target="http://purl.obolibrary.org/obo/OBI_0001998" TargetMode="External"/><Relationship Id="rId316" Type="http://schemas.openxmlformats.org/officeDocument/2006/relationships/hyperlink" Target="http://purl.obolibrary.org/obo/OBI_0001734" TargetMode="External"/><Relationship Id="rId437" Type="http://schemas.openxmlformats.org/officeDocument/2006/relationships/hyperlink" Target="http://purl.obolibrary.org/obo/OBI_0001994" TargetMode="External"/><Relationship Id="rId315" Type="http://schemas.openxmlformats.org/officeDocument/2006/relationships/hyperlink" Target="http://purl.obolibrary.org/obo/OBI_0001733" TargetMode="External"/><Relationship Id="rId436" Type="http://schemas.openxmlformats.org/officeDocument/2006/relationships/hyperlink" Target="http://purl.obolibrary.org/obo/OBI_0001993" TargetMode="External"/><Relationship Id="rId314" Type="http://schemas.openxmlformats.org/officeDocument/2006/relationships/hyperlink" Target="http://purl.obolibrary.org/obo/OBI_0001732" TargetMode="External"/><Relationship Id="rId435" Type="http://schemas.openxmlformats.org/officeDocument/2006/relationships/hyperlink" Target="http://purl.obolibrary.org/obo/OBI_0001992" TargetMode="External"/><Relationship Id="rId313" Type="http://schemas.openxmlformats.org/officeDocument/2006/relationships/hyperlink" Target="http://purl.obolibrary.org/obo/OBI_0001731" TargetMode="External"/><Relationship Id="rId434" Type="http://schemas.openxmlformats.org/officeDocument/2006/relationships/hyperlink" Target="http://purl.obolibrary.org/obo/OBI_0001991" TargetMode="External"/><Relationship Id="rId319" Type="http://schemas.openxmlformats.org/officeDocument/2006/relationships/hyperlink" Target="http://purl.obolibrary.org/obo/OBI_0001738" TargetMode="External"/><Relationship Id="rId318" Type="http://schemas.openxmlformats.org/officeDocument/2006/relationships/hyperlink" Target="http://purl.obolibrary.org/obo/OBI_0001736" TargetMode="External"/><Relationship Id="rId439" Type="http://schemas.openxmlformats.org/officeDocument/2006/relationships/hyperlink" Target="http://purl.obolibrary.org/obo/OBI_0001996" TargetMode="External"/><Relationship Id="rId317" Type="http://schemas.openxmlformats.org/officeDocument/2006/relationships/hyperlink" Target="http://purl.obolibrary.org/obo/OBI_0001735" TargetMode="External"/><Relationship Id="rId438" Type="http://schemas.openxmlformats.org/officeDocument/2006/relationships/hyperlink" Target="http://purl.obolibrary.org/obo/OBI_0001995" TargetMode="External"/><Relationship Id="rId312" Type="http://schemas.openxmlformats.org/officeDocument/2006/relationships/hyperlink" Target="http://purl.obolibrary.org/obo/OBI_0001730" TargetMode="External"/><Relationship Id="rId433" Type="http://schemas.openxmlformats.org/officeDocument/2006/relationships/hyperlink" Target="http://purl.obolibrary.org/obo/OBI_0001990" TargetMode="External"/><Relationship Id="rId311" Type="http://schemas.openxmlformats.org/officeDocument/2006/relationships/hyperlink" Target="http://purl.obolibrary.org/obo/OBI_0001729" TargetMode="External"/><Relationship Id="rId432" Type="http://schemas.openxmlformats.org/officeDocument/2006/relationships/hyperlink" Target="http://purl.obolibrary.org/obo/OBI_0001989" TargetMode="External"/><Relationship Id="rId310" Type="http://schemas.openxmlformats.org/officeDocument/2006/relationships/hyperlink" Target="http://purl.obolibrary.org/obo/OBI_0001728" TargetMode="External"/><Relationship Id="rId431" Type="http://schemas.openxmlformats.org/officeDocument/2006/relationships/hyperlink" Target="http://purl.obolibrary.org/obo/OBI_0001988" TargetMode="External"/><Relationship Id="rId430" Type="http://schemas.openxmlformats.org/officeDocument/2006/relationships/hyperlink" Target="http://purl.obolibrary.org/obo/OBI_000198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42.0"/>
    <col customWidth="1" min="2" max="2" width="42.29"/>
    <col customWidth="1" min="3" max="3" width="41.0"/>
    <col customWidth="1" min="4" max="4" width="24.29"/>
    <col customWidth="1" min="5" max="5" width="11.14"/>
    <col customWidth="1" min="6" max="6" width="37.86"/>
    <col customWidth="1" min="7" max="7" width="41.14"/>
    <col customWidth="1" min="8" max="8" width="48.29"/>
    <col customWidth="1" min="9" max="9" width="40.29"/>
    <col customWidth="1" min="10" max="11" width="41.43"/>
    <col customWidth="1" min="12" max="12" width="31.71"/>
    <col customWidth="1" min="13" max="14" width="33.71"/>
    <col customWidth="1" min="15" max="16" width="28.71"/>
    <col customWidth="1" min="17" max="18" width="34.43"/>
    <col customWidth="1" min="19" max="26" width="14.43"/>
  </cols>
  <sheetData>
    <row r="1" ht="30.0" customHeight="1">
      <c r="A1" s="1" t="s">
        <v>0</v>
      </c>
      <c r="B1" s="2" t="s">
        <v>1</v>
      </c>
      <c r="C1" s="1" t="s">
        <v>2</v>
      </c>
      <c r="D1" s="2" t="s">
        <v>3</v>
      </c>
      <c r="E1" s="1" t="s">
        <v>4</v>
      </c>
      <c r="F1" s="2" t="s">
        <v>5</v>
      </c>
      <c r="G1" s="1" t="s">
        <v>6</v>
      </c>
      <c r="H1" s="2" t="s">
        <v>7</v>
      </c>
      <c r="I1" s="1" t="s">
        <v>8</v>
      </c>
      <c r="J1" s="2" t="s">
        <v>9</v>
      </c>
      <c r="K1" s="3" t="s">
        <v>10</v>
      </c>
      <c r="L1" s="1" t="s">
        <v>11</v>
      </c>
      <c r="M1" s="4" t="s">
        <v>12</v>
      </c>
      <c r="N1" s="4" t="s">
        <v>13</v>
      </c>
      <c r="O1" s="5" t="s">
        <v>14</v>
      </c>
      <c r="P1" s="6" t="s">
        <v>15</v>
      </c>
      <c r="Q1" s="7" t="s">
        <v>16</v>
      </c>
      <c r="R1" s="7" t="s">
        <v>17</v>
      </c>
      <c r="S1" s="8"/>
      <c r="T1" s="8"/>
      <c r="U1" s="8"/>
      <c r="V1" s="8"/>
      <c r="W1" s="8"/>
      <c r="X1" s="8"/>
      <c r="Y1" s="8"/>
      <c r="Z1" s="8"/>
    </row>
    <row r="2" ht="42.0" customHeight="1">
      <c r="A2" s="9" t="s">
        <v>18</v>
      </c>
      <c r="B2" s="10" t="s">
        <v>19</v>
      </c>
      <c r="C2" s="9" t="s">
        <v>20</v>
      </c>
      <c r="D2" s="10" t="s">
        <v>21</v>
      </c>
      <c r="E2" s="9" t="s">
        <v>22</v>
      </c>
      <c r="F2" s="10" t="s">
        <v>23</v>
      </c>
      <c r="G2" s="9" t="s">
        <v>24</v>
      </c>
      <c r="H2" s="10" t="s">
        <v>24</v>
      </c>
      <c r="I2" s="9" t="s">
        <v>25</v>
      </c>
      <c r="J2" s="10" t="s">
        <v>26</v>
      </c>
      <c r="K2" s="11"/>
      <c r="L2" s="12"/>
      <c r="M2" s="13"/>
      <c r="N2" s="13"/>
      <c r="O2" s="14" t="s">
        <v>27</v>
      </c>
      <c r="P2" s="14"/>
      <c r="Q2" s="15"/>
      <c r="R2" s="15"/>
      <c r="S2" s="16"/>
      <c r="T2" s="16"/>
      <c r="U2" s="16"/>
      <c r="V2" s="16"/>
      <c r="W2" s="16"/>
      <c r="X2" s="16"/>
      <c r="Y2" s="16"/>
      <c r="Z2" s="16"/>
    </row>
    <row r="3" ht="27.75" customHeight="1">
      <c r="A3" s="17" t="str">
        <f>HYPERLINK("http://purl.obolibrary.org/obo/OBI_0000117","http://purl.obolibrary.org/obo/OBI_0000117")</f>
        <v>http://purl.obolibrary.org/obo/OBI_0000117</v>
      </c>
      <c r="B3" s="18" t="s">
        <v>28</v>
      </c>
      <c r="C3" s="19" t="s">
        <v>29</v>
      </c>
      <c r="D3" s="18" t="s">
        <v>21</v>
      </c>
      <c r="E3" s="20" t="s">
        <v>30</v>
      </c>
      <c r="F3" s="18" t="s">
        <v>19</v>
      </c>
      <c r="G3" s="20"/>
      <c r="H3" s="18" t="s">
        <v>24</v>
      </c>
      <c r="I3" s="20"/>
      <c r="J3" s="18"/>
      <c r="K3" s="18"/>
      <c r="L3" s="20"/>
      <c r="M3" s="21"/>
      <c r="N3" s="21"/>
      <c r="O3" s="22"/>
      <c r="P3" s="22"/>
      <c r="Q3" s="23"/>
      <c r="R3" s="23"/>
      <c r="S3" s="24"/>
      <c r="T3" s="24"/>
      <c r="U3" s="24"/>
      <c r="V3" s="24"/>
      <c r="W3" s="24"/>
      <c r="X3" s="24"/>
      <c r="Y3" s="24"/>
      <c r="Z3" s="25"/>
    </row>
    <row r="4" ht="55.5" customHeight="1">
      <c r="A4" s="26" t="str">
        <f>A3</f>
        <v>http://purl.obolibrary.org/obo/OBI_0000117</v>
      </c>
      <c r="B4" s="27"/>
      <c r="C4" s="27"/>
      <c r="D4" s="27"/>
      <c r="E4" s="27"/>
      <c r="F4" s="27"/>
      <c r="G4" s="27"/>
      <c r="H4" s="28" t="s">
        <v>31</v>
      </c>
      <c r="I4" s="27"/>
      <c r="J4" s="28"/>
      <c r="K4" s="28"/>
      <c r="L4" s="27"/>
      <c r="M4" s="29"/>
      <c r="N4" s="29"/>
      <c r="O4" s="27"/>
      <c r="P4" s="30"/>
      <c r="Q4" s="31"/>
      <c r="R4" s="31"/>
      <c r="S4" s="32"/>
      <c r="T4" s="32"/>
      <c r="U4" s="32"/>
      <c r="V4" s="32"/>
      <c r="W4" s="32"/>
      <c r="X4" s="32"/>
      <c r="Y4" s="32"/>
      <c r="Z4" s="33"/>
    </row>
    <row r="5" ht="27.75" customHeight="1">
      <c r="A5" s="34" t="s">
        <v>32</v>
      </c>
      <c r="B5" s="35" t="s">
        <v>28</v>
      </c>
      <c r="C5" s="36" t="s">
        <v>33</v>
      </c>
      <c r="D5" s="35" t="s">
        <v>21</v>
      </c>
      <c r="E5" s="36" t="s">
        <v>30</v>
      </c>
      <c r="F5" s="35" t="s">
        <v>19</v>
      </c>
      <c r="G5" s="36"/>
      <c r="H5" s="35" t="s">
        <v>24</v>
      </c>
      <c r="I5" s="36"/>
      <c r="J5" s="35"/>
      <c r="K5" s="35"/>
      <c r="L5" s="36"/>
      <c r="M5" s="37"/>
      <c r="N5" s="37"/>
      <c r="O5" s="38"/>
      <c r="P5" s="38"/>
      <c r="Q5" s="39"/>
      <c r="R5" s="39"/>
      <c r="S5" s="40"/>
      <c r="T5" s="40"/>
      <c r="U5" s="40"/>
      <c r="V5" s="40"/>
      <c r="W5" s="40"/>
      <c r="X5" s="40"/>
      <c r="Y5" s="40"/>
      <c r="Z5" s="41"/>
    </row>
    <row r="6" ht="42.0" customHeight="1">
      <c r="A6" s="17" t="str">
        <f>HYPERLINK("http://purl.obolibrary.org/obo/OBI_0000185","http://purl.obolibrary.org/obo/OBI_0000185")</f>
        <v>http://purl.obolibrary.org/obo/OBI_0000185</v>
      </c>
      <c r="B6" s="18" t="s">
        <v>34</v>
      </c>
      <c r="C6" s="20" t="s">
        <v>35</v>
      </c>
      <c r="D6" s="18" t="s">
        <v>21</v>
      </c>
      <c r="E6" s="20" t="s">
        <v>30</v>
      </c>
      <c r="F6" s="18" t="s">
        <v>19</v>
      </c>
      <c r="G6" s="20"/>
      <c r="H6" s="18" t="s">
        <v>24</v>
      </c>
      <c r="I6" s="20"/>
      <c r="J6" s="18" t="s">
        <v>36</v>
      </c>
      <c r="K6" s="18"/>
      <c r="L6" s="20"/>
      <c r="M6" s="21"/>
      <c r="N6" s="21"/>
      <c r="O6" s="22"/>
      <c r="P6" s="22"/>
      <c r="Q6" s="23"/>
      <c r="R6" s="23"/>
      <c r="S6" s="24"/>
      <c r="T6" s="24"/>
      <c r="U6" s="24"/>
      <c r="V6" s="24"/>
      <c r="W6" s="24"/>
      <c r="X6" s="24"/>
      <c r="Y6" s="24"/>
      <c r="Z6" s="25"/>
    </row>
    <row r="7" ht="27.75" customHeight="1">
      <c r="A7" s="26" t="str">
        <f>A6</f>
        <v>http://purl.obolibrary.org/obo/OBI_0000185</v>
      </c>
      <c r="B7" s="27"/>
      <c r="C7" s="42" t="s">
        <v>37</v>
      </c>
      <c r="D7" s="27"/>
      <c r="E7" s="27"/>
      <c r="F7" s="27"/>
      <c r="G7" s="27"/>
      <c r="H7" s="28" t="s">
        <v>31</v>
      </c>
      <c r="I7" s="27"/>
      <c r="J7" s="28" t="s">
        <v>38</v>
      </c>
      <c r="K7" s="28"/>
      <c r="L7" s="27"/>
      <c r="M7" s="29"/>
      <c r="N7" s="29"/>
      <c r="O7" s="27"/>
      <c r="P7" s="30"/>
      <c r="Q7" s="31"/>
      <c r="R7" s="31"/>
      <c r="S7" s="32"/>
      <c r="T7" s="32"/>
      <c r="U7" s="32"/>
      <c r="V7" s="32"/>
      <c r="W7" s="32"/>
      <c r="X7" s="32"/>
      <c r="Y7" s="32"/>
      <c r="Z7" s="33"/>
    </row>
    <row r="8" ht="55.5" customHeight="1">
      <c r="A8" s="34" t="s">
        <v>39</v>
      </c>
      <c r="B8" s="35" t="s">
        <v>34</v>
      </c>
      <c r="C8" s="36" t="s">
        <v>35</v>
      </c>
      <c r="D8" s="35" t="s">
        <v>21</v>
      </c>
      <c r="E8" s="36" t="s">
        <v>30</v>
      </c>
      <c r="F8" s="35" t="s">
        <v>19</v>
      </c>
      <c r="G8" s="36"/>
      <c r="H8" s="35" t="s">
        <v>24</v>
      </c>
      <c r="I8" s="36"/>
      <c r="J8" s="35" t="s">
        <v>36</v>
      </c>
      <c r="K8" s="35"/>
      <c r="L8" s="36"/>
      <c r="M8" s="37"/>
      <c r="N8" s="37"/>
      <c r="O8" s="38"/>
      <c r="P8" s="38"/>
      <c r="Q8" s="39"/>
      <c r="R8" s="39"/>
      <c r="S8" s="40"/>
      <c r="T8" s="40"/>
      <c r="U8" s="40"/>
      <c r="V8" s="40"/>
      <c r="W8" s="40"/>
      <c r="X8" s="40"/>
      <c r="Y8" s="40"/>
      <c r="Z8" s="41"/>
    </row>
    <row r="9" ht="27.75" customHeight="1">
      <c r="A9" s="17" t="str">
        <f>HYPERLINK("http://purl.obolibrary.org/obo/OBI_0000288","http://purl.obolibrary.org/obo/OBI_0000288")</f>
        <v>http://purl.obolibrary.org/obo/OBI_0000288</v>
      </c>
      <c r="B9" s="18" t="s">
        <v>40</v>
      </c>
      <c r="C9" s="20" t="s">
        <v>41</v>
      </c>
      <c r="D9" s="18"/>
      <c r="E9" s="20" t="s">
        <v>30</v>
      </c>
      <c r="F9" s="18" t="s">
        <v>19</v>
      </c>
      <c r="G9" s="20"/>
      <c r="H9" s="18"/>
      <c r="I9" s="20"/>
      <c r="J9" s="18"/>
      <c r="K9" s="18"/>
      <c r="L9" s="20"/>
      <c r="M9" s="21"/>
      <c r="N9" s="21"/>
      <c r="O9" s="22"/>
      <c r="P9" s="22"/>
      <c r="Q9" s="23"/>
      <c r="R9" s="23"/>
      <c r="S9" s="24"/>
      <c r="T9" s="24"/>
      <c r="U9" s="24"/>
      <c r="V9" s="24"/>
      <c r="W9" s="24"/>
      <c r="X9" s="24"/>
      <c r="Y9" s="24"/>
      <c r="Z9" s="25"/>
    </row>
    <row r="10" ht="55.5" customHeight="1">
      <c r="A10" s="26" t="str">
        <f>A9</f>
        <v>http://purl.obolibrary.org/obo/OBI_0000288</v>
      </c>
      <c r="B10" s="27"/>
      <c r="C10" s="27"/>
      <c r="D10" s="27"/>
      <c r="E10" s="27"/>
      <c r="F10" s="27"/>
      <c r="G10" s="27"/>
      <c r="H10" s="28"/>
      <c r="I10" s="27"/>
      <c r="J10" s="28"/>
      <c r="K10" s="28"/>
      <c r="L10" s="27"/>
      <c r="M10" s="29"/>
      <c r="N10" s="29"/>
      <c r="O10" s="27"/>
      <c r="P10" s="30"/>
      <c r="Q10" s="31"/>
      <c r="R10" s="31"/>
      <c r="S10" s="32"/>
      <c r="T10" s="32"/>
      <c r="U10" s="32"/>
      <c r="V10" s="32"/>
      <c r="W10" s="32"/>
      <c r="X10" s="32"/>
      <c r="Y10" s="32"/>
      <c r="Z10" s="33"/>
    </row>
    <row r="11" ht="27.75" customHeight="1">
      <c r="A11" s="34" t="s">
        <v>42</v>
      </c>
      <c r="B11" s="35" t="s">
        <v>40</v>
      </c>
      <c r="C11" s="36" t="s">
        <v>41</v>
      </c>
      <c r="D11" s="36"/>
      <c r="E11" s="36" t="s">
        <v>30</v>
      </c>
      <c r="F11" s="35" t="s">
        <v>19</v>
      </c>
      <c r="G11" s="36"/>
      <c r="H11" s="36"/>
      <c r="I11" s="36"/>
      <c r="J11" s="35"/>
      <c r="K11" s="35"/>
      <c r="L11" s="36"/>
      <c r="M11" s="37"/>
      <c r="N11" s="37"/>
      <c r="O11" s="38"/>
      <c r="P11" s="38"/>
      <c r="Q11" s="39"/>
      <c r="R11" s="39"/>
      <c r="S11" s="40"/>
      <c r="T11" s="40"/>
      <c r="U11" s="40"/>
      <c r="V11" s="40"/>
      <c r="W11" s="40"/>
      <c r="X11" s="40"/>
      <c r="Y11" s="40"/>
      <c r="Z11" s="41"/>
    </row>
    <row r="12" ht="27.75" customHeight="1">
      <c r="A12" s="17" t="str">
        <f>HYPERLINK("http://purl.obolibrary.org/obo/OBI_0000291","http://purl.obolibrary.org/obo/OBI_0000291")</f>
        <v>http://purl.obolibrary.org/obo/OBI_0000291</v>
      </c>
      <c r="B12" s="18" t="s">
        <v>43</v>
      </c>
      <c r="C12" s="20" t="s">
        <v>44</v>
      </c>
      <c r="D12" s="18" t="s">
        <v>45</v>
      </c>
      <c r="E12" s="20" t="s">
        <v>30</v>
      </c>
      <c r="F12" s="18" t="s">
        <v>46</v>
      </c>
      <c r="G12" s="20" t="s">
        <v>47</v>
      </c>
      <c r="H12" s="18"/>
      <c r="I12" s="20"/>
      <c r="J12" s="18" t="s">
        <v>48</v>
      </c>
      <c r="K12" s="18"/>
      <c r="L12" s="20"/>
      <c r="M12" s="21"/>
      <c r="N12" s="21"/>
      <c r="O12" s="22"/>
      <c r="P12" s="22"/>
      <c r="Q12" s="23"/>
      <c r="R12" s="23"/>
      <c r="S12" s="43"/>
      <c r="T12" s="43"/>
      <c r="U12" s="43"/>
      <c r="V12" s="43"/>
      <c r="W12" s="43"/>
      <c r="X12" s="43"/>
      <c r="Y12" s="43"/>
      <c r="Z12" s="44"/>
    </row>
    <row r="13" ht="13.5" customHeight="1">
      <c r="A13" s="26" t="str">
        <f>A12</f>
        <v>http://purl.obolibrary.org/obo/OBI_0000291</v>
      </c>
      <c r="B13" s="27"/>
      <c r="C13" s="42" t="s">
        <v>49</v>
      </c>
      <c r="D13" s="27"/>
      <c r="E13" s="27"/>
      <c r="F13" s="27"/>
      <c r="G13" s="27"/>
      <c r="H13" s="28"/>
      <c r="I13" s="27"/>
      <c r="J13" s="28" t="s">
        <v>50</v>
      </c>
      <c r="K13" s="28" t="s">
        <v>51</v>
      </c>
      <c r="L13" s="27"/>
      <c r="M13" s="29"/>
      <c r="N13" s="29"/>
      <c r="O13" s="27"/>
      <c r="P13" s="30"/>
      <c r="Q13" s="31"/>
      <c r="R13" s="31"/>
      <c r="S13" s="45"/>
      <c r="T13" s="45"/>
      <c r="U13" s="45"/>
      <c r="V13" s="45"/>
      <c r="W13" s="45"/>
      <c r="X13" s="45"/>
      <c r="Y13" s="45"/>
      <c r="Z13" s="46"/>
    </row>
    <row r="14" ht="42.0" customHeight="1">
      <c r="A14" s="34" t="s">
        <v>52</v>
      </c>
      <c r="B14" s="35" t="s">
        <v>43</v>
      </c>
      <c r="C14" s="36" t="s">
        <v>53</v>
      </c>
      <c r="D14" s="35" t="s">
        <v>45</v>
      </c>
      <c r="E14" s="36" t="s">
        <v>30</v>
      </c>
      <c r="F14" s="35" t="s">
        <v>46</v>
      </c>
      <c r="G14" s="36"/>
      <c r="H14" s="36"/>
      <c r="I14" s="36"/>
      <c r="J14" s="35" t="s">
        <v>54</v>
      </c>
      <c r="K14" s="35"/>
      <c r="L14" s="36"/>
      <c r="M14" s="37"/>
      <c r="N14" s="37"/>
      <c r="O14" s="38"/>
      <c r="P14" s="38"/>
      <c r="Q14" s="39"/>
      <c r="R14" s="39"/>
      <c r="S14" s="47"/>
      <c r="T14" s="47"/>
      <c r="U14" s="47"/>
      <c r="V14" s="47"/>
      <c r="W14" s="47"/>
      <c r="X14" s="47"/>
      <c r="Y14" s="47"/>
      <c r="Z14" s="48"/>
    </row>
    <row r="15" ht="27.75" customHeight="1">
      <c r="A15" s="17" t="str">
        <f>HYPERLINK("http://purl.obolibrary.org/obo/OBI_0000366","http://purl.obolibrary.org/obo/OBI_0000366")</f>
        <v>http://purl.obolibrary.org/obo/OBI_0000366</v>
      </c>
      <c r="B15" s="18" t="s">
        <v>55</v>
      </c>
      <c r="C15" s="20" t="s">
        <v>56</v>
      </c>
      <c r="D15" s="18" t="s">
        <v>45</v>
      </c>
      <c r="E15" s="20" t="s">
        <v>30</v>
      </c>
      <c r="F15" s="18" t="s">
        <v>19</v>
      </c>
      <c r="G15" s="20"/>
      <c r="H15" s="18" t="s">
        <v>24</v>
      </c>
      <c r="I15" s="20" t="s">
        <v>57</v>
      </c>
      <c r="J15" s="18" t="s">
        <v>58</v>
      </c>
      <c r="K15" s="18"/>
      <c r="L15" s="20"/>
      <c r="M15" s="21"/>
      <c r="N15" s="21"/>
      <c r="O15" s="22"/>
      <c r="P15" s="22"/>
      <c r="Q15" s="23"/>
      <c r="R15" s="23"/>
      <c r="S15" s="24"/>
      <c r="T15" s="24"/>
      <c r="U15" s="24"/>
      <c r="V15" s="24"/>
      <c r="W15" s="24"/>
      <c r="X15" s="24"/>
      <c r="Y15" s="24"/>
      <c r="Z15" s="25"/>
    </row>
    <row r="16" ht="42.0" customHeight="1">
      <c r="A16" s="26" t="str">
        <f>A15</f>
        <v>http://purl.obolibrary.org/obo/OBI_0000366</v>
      </c>
      <c r="B16" s="27"/>
      <c r="C16" s="42" t="s">
        <v>59</v>
      </c>
      <c r="D16" s="27"/>
      <c r="E16" s="27"/>
      <c r="F16" s="27"/>
      <c r="G16" s="27"/>
      <c r="H16" s="28" t="s">
        <v>31</v>
      </c>
      <c r="I16" s="49" t="s">
        <v>60</v>
      </c>
      <c r="J16" s="28" t="s">
        <v>61</v>
      </c>
      <c r="K16" s="28"/>
      <c r="L16" s="27"/>
      <c r="M16" s="29"/>
      <c r="N16" s="29"/>
      <c r="O16" s="27"/>
      <c r="P16" s="30"/>
      <c r="Q16" s="31"/>
      <c r="R16" s="31"/>
      <c r="S16" s="32"/>
      <c r="T16" s="32"/>
      <c r="U16" s="32"/>
      <c r="V16" s="32"/>
      <c r="W16" s="32"/>
      <c r="X16" s="32"/>
      <c r="Y16" s="32"/>
      <c r="Z16" s="33"/>
    </row>
    <row r="17" ht="27.75" customHeight="1">
      <c r="A17" s="34" t="s">
        <v>62</v>
      </c>
      <c r="B17" s="35" t="s">
        <v>55</v>
      </c>
      <c r="C17" s="36" t="s">
        <v>56</v>
      </c>
      <c r="D17" s="35" t="s">
        <v>45</v>
      </c>
      <c r="E17" s="36" t="s">
        <v>30</v>
      </c>
      <c r="F17" s="35" t="s">
        <v>19</v>
      </c>
      <c r="G17" s="36"/>
      <c r="H17" s="35" t="s">
        <v>24</v>
      </c>
      <c r="I17" s="36" t="s">
        <v>57</v>
      </c>
      <c r="J17" s="35" t="s">
        <v>63</v>
      </c>
      <c r="K17" s="35"/>
      <c r="L17" s="36"/>
      <c r="M17" s="37"/>
      <c r="N17" s="37"/>
      <c r="O17" s="38"/>
      <c r="P17" s="38"/>
      <c r="Q17" s="39"/>
      <c r="R17" s="39"/>
      <c r="S17" s="40"/>
      <c r="T17" s="40"/>
      <c r="U17" s="40"/>
      <c r="V17" s="40"/>
      <c r="W17" s="40"/>
      <c r="X17" s="40"/>
      <c r="Y17" s="40"/>
      <c r="Z17" s="41"/>
    </row>
    <row r="18" ht="69.75" customHeight="1">
      <c r="A18" s="17" t="str">
        <f>HYPERLINK("http://purl.obolibrary.org/obo/OBI_0000418","http://purl.obolibrary.org/obo/OBI_0000418")</f>
        <v>http://purl.obolibrary.org/obo/OBI_0000418</v>
      </c>
      <c r="B18" s="18" t="s">
        <v>64</v>
      </c>
      <c r="C18" s="20" t="s">
        <v>65</v>
      </c>
      <c r="D18" s="18" t="s">
        <v>66</v>
      </c>
      <c r="E18" s="20" t="s">
        <v>30</v>
      </c>
      <c r="F18" s="18" t="s">
        <v>67</v>
      </c>
      <c r="G18" s="20"/>
      <c r="H18" s="18"/>
      <c r="I18" s="20"/>
      <c r="J18" s="18"/>
      <c r="K18" s="18"/>
      <c r="L18" s="20"/>
      <c r="M18" s="21"/>
      <c r="N18" s="21"/>
      <c r="O18" s="22" t="s">
        <v>68</v>
      </c>
      <c r="P18" s="22"/>
      <c r="Q18" s="23" t="s">
        <v>69</v>
      </c>
      <c r="R18" s="23"/>
      <c r="S18" s="43"/>
      <c r="T18" s="43"/>
      <c r="U18" s="43"/>
      <c r="V18" s="43"/>
      <c r="W18" s="43"/>
      <c r="X18" s="43"/>
      <c r="Y18" s="43"/>
      <c r="Z18" s="44"/>
    </row>
    <row r="19" ht="13.5" customHeight="1">
      <c r="A19" s="26" t="str">
        <f>A18</f>
        <v>http://purl.obolibrary.org/obo/OBI_0000418</v>
      </c>
      <c r="B19" s="27"/>
      <c r="C19" s="42" t="s">
        <v>70</v>
      </c>
      <c r="D19" s="27"/>
      <c r="E19" s="27"/>
      <c r="F19" s="27"/>
      <c r="G19" s="27"/>
      <c r="H19" s="28" t="s">
        <v>31</v>
      </c>
      <c r="I19" s="27"/>
      <c r="J19" s="28"/>
      <c r="K19" s="28"/>
      <c r="L19" s="27"/>
      <c r="M19" s="29"/>
      <c r="N19" s="29"/>
      <c r="O19" s="50" t="s">
        <v>71</v>
      </c>
      <c r="P19" s="30"/>
      <c r="Q19" s="31"/>
      <c r="R19" s="31" t="s">
        <v>72</v>
      </c>
      <c r="S19" s="45"/>
      <c r="T19" s="45"/>
      <c r="U19" s="45"/>
      <c r="V19" s="45"/>
      <c r="W19" s="45"/>
      <c r="X19" s="45"/>
      <c r="Y19" s="45"/>
      <c r="Z19" s="46"/>
    </row>
    <row r="20" ht="27.75" customHeight="1">
      <c r="A20" s="34" t="s">
        <v>73</v>
      </c>
      <c r="B20" s="35" t="s">
        <v>64</v>
      </c>
      <c r="C20" s="36" t="s">
        <v>65</v>
      </c>
      <c r="D20" s="35" t="s">
        <v>66</v>
      </c>
      <c r="E20" s="36" t="s">
        <v>30</v>
      </c>
      <c r="F20" s="35" t="s">
        <v>67</v>
      </c>
      <c r="G20" s="36"/>
      <c r="H20" s="36"/>
      <c r="I20" s="36"/>
      <c r="J20" s="35"/>
      <c r="K20" s="35"/>
      <c r="L20" s="36"/>
      <c r="M20" s="37"/>
      <c r="N20" s="37"/>
      <c r="O20" s="38" t="s">
        <v>74</v>
      </c>
      <c r="P20" s="38"/>
      <c r="Q20" s="39"/>
      <c r="R20" s="39" t="s">
        <v>75</v>
      </c>
      <c r="S20" s="47"/>
      <c r="T20" s="47"/>
      <c r="U20" s="47"/>
      <c r="V20" s="47"/>
      <c r="W20" s="47"/>
      <c r="X20" s="47"/>
      <c r="Y20" s="47"/>
      <c r="Z20" s="48"/>
    </row>
    <row r="21" ht="12.75" customHeight="1">
      <c r="A21" s="17" t="str">
        <f>HYPERLINK("http://purl.obolibrary.org/obo/OBI_0000424","http://purl.obolibrary.org/obo/OBI_0000424")</f>
        <v>http://purl.obolibrary.org/obo/OBI_0000424</v>
      </c>
      <c r="B21" s="18" t="s">
        <v>76</v>
      </c>
      <c r="C21" s="20" t="s">
        <v>77</v>
      </c>
      <c r="D21" s="18" t="s">
        <v>45</v>
      </c>
      <c r="E21" s="20" t="s">
        <v>30</v>
      </c>
      <c r="F21" s="18" t="s">
        <v>67</v>
      </c>
      <c r="G21" s="20" t="s">
        <v>78</v>
      </c>
      <c r="H21" s="18" t="s">
        <v>78</v>
      </c>
      <c r="I21" s="20" t="s">
        <v>79</v>
      </c>
      <c r="J21" s="18" t="s">
        <v>80</v>
      </c>
      <c r="K21" s="18"/>
      <c r="L21" s="20"/>
      <c r="M21" s="21" t="s">
        <v>79</v>
      </c>
      <c r="N21" s="21"/>
      <c r="O21" s="22"/>
      <c r="P21" s="22"/>
      <c r="Q21" s="23" t="s">
        <v>81</v>
      </c>
      <c r="R21" s="23"/>
      <c r="S21" s="24"/>
      <c r="T21" s="24"/>
      <c r="U21" s="24"/>
      <c r="V21" s="24"/>
      <c r="W21" s="24"/>
      <c r="X21" s="24"/>
      <c r="Y21" s="24"/>
      <c r="Z21" s="25"/>
    </row>
    <row r="22" ht="55.5" customHeight="1">
      <c r="A22" s="26" t="str">
        <f>A21</f>
        <v>http://purl.obolibrary.org/obo/OBI_0000424</v>
      </c>
      <c r="B22" s="27"/>
      <c r="C22" s="51" t="s">
        <v>82</v>
      </c>
      <c r="D22" s="27"/>
      <c r="E22" s="27"/>
      <c r="F22" s="27"/>
      <c r="G22" s="27"/>
      <c r="H22" s="28" t="s">
        <v>83</v>
      </c>
      <c r="I22" s="49" t="s">
        <v>84</v>
      </c>
      <c r="J22" s="28" t="s">
        <v>85</v>
      </c>
      <c r="K22" s="28" t="s">
        <v>86</v>
      </c>
      <c r="L22" s="27"/>
      <c r="M22" s="29"/>
      <c r="N22" s="29"/>
      <c r="O22" s="27"/>
      <c r="P22" s="30"/>
      <c r="Q22" s="31"/>
      <c r="R22" s="31" t="s">
        <v>87</v>
      </c>
      <c r="S22" s="32"/>
      <c r="T22" s="32"/>
      <c r="U22" s="32"/>
      <c r="V22" s="32"/>
      <c r="W22" s="32"/>
      <c r="X22" s="32"/>
      <c r="Y22" s="32"/>
      <c r="Z22" s="33"/>
    </row>
    <row r="23" ht="42.0" customHeight="1">
      <c r="A23" s="34" t="s">
        <v>88</v>
      </c>
      <c r="B23" s="35" t="s">
        <v>76</v>
      </c>
      <c r="C23" s="36" t="s">
        <v>89</v>
      </c>
      <c r="D23" s="35" t="s">
        <v>45</v>
      </c>
      <c r="E23" s="36" t="s">
        <v>30</v>
      </c>
      <c r="F23" s="35" t="s">
        <v>67</v>
      </c>
      <c r="G23" s="36" t="s">
        <v>78</v>
      </c>
      <c r="H23" s="35" t="s">
        <v>78</v>
      </c>
      <c r="I23" s="36" t="s">
        <v>79</v>
      </c>
      <c r="J23" s="35" t="s">
        <v>90</v>
      </c>
      <c r="K23" s="35"/>
      <c r="L23" s="36"/>
      <c r="M23" s="37" t="s">
        <v>79</v>
      </c>
      <c r="N23" s="37"/>
      <c r="O23" s="38"/>
      <c r="P23" s="38"/>
      <c r="Q23" s="39"/>
      <c r="R23" s="39" t="s">
        <v>91</v>
      </c>
      <c r="S23" s="40"/>
      <c r="T23" s="40"/>
      <c r="U23" s="40"/>
      <c r="V23" s="40"/>
      <c r="W23" s="40"/>
      <c r="X23" s="40"/>
      <c r="Y23" s="40"/>
      <c r="Z23" s="41"/>
    </row>
    <row r="24" ht="27.75" customHeight="1">
      <c r="A24" s="17" t="str">
        <f>HYPERLINK("http://purl.obolibrary.org/obo/OBI_0000433","http://purl.obolibrary.org/obo/OBI_0000433")</f>
        <v>http://purl.obolibrary.org/obo/OBI_0000433</v>
      </c>
      <c r="B24" s="18" t="s">
        <v>92</v>
      </c>
      <c r="C24" s="20" t="s">
        <v>93</v>
      </c>
      <c r="D24" s="18" t="s">
        <v>94</v>
      </c>
      <c r="E24" s="20" t="s">
        <v>30</v>
      </c>
      <c r="F24" s="18" t="s">
        <v>19</v>
      </c>
      <c r="G24" s="20"/>
      <c r="H24" s="18" t="s">
        <v>95</v>
      </c>
      <c r="I24" s="20" t="s">
        <v>96</v>
      </c>
      <c r="J24" s="18" t="s">
        <v>58</v>
      </c>
      <c r="K24" s="18"/>
      <c r="L24" s="20"/>
      <c r="M24" s="21"/>
      <c r="N24" s="21"/>
      <c r="O24" s="22"/>
      <c r="P24" s="22"/>
      <c r="Q24" s="23"/>
      <c r="R24" s="23"/>
      <c r="S24" s="43"/>
      <c r="T24" s="43"/>
      <c r="U24" s="43"/>
      <c r="V24" s="43"/>
      <c r="W24" s="43"/>
      <c r="X24" s="43"/>
      <c r="Y24" s="43"/>
      <c r="Z24" s="44"/>
    </row>
    <row r="25" ht="13.5" customHeight="1">
      <c r="A25" s="26" t="str">
        <f>A24</f>
        <v>http://purl.obolibrary.org/obo/OBI_0000433</v>
      </c>
      <c r="B25" s="27"/>
      <c r="C25" s="27"/>
      <c r="D25" s="27"/>
      <c r="E25" s="27"/>
      <c r="F25" s="27"/>
      <c r="G25" s="27"/>
      <c r="H25" s="28" t="s">
        <v>97</v>
      </c>
      <c r="I25" s="49" t="s">
        <v>98</v>
      </c>
      <c r="J25" s="28" t="s">
        <v>61</v>
      </c>
      <c r="K25" s="28"/>
      <c r="L25" s="27"/>
      <c r="M25" s="29"/>
      <c r="N25" s="29"/>
      <c r="O25" s="27"/>
      <c r="P25" s="30"/>
      <c r="Q25" s="31"/>
      <c r="R25" s="31"/>
      <c r="S25" s="45"/>
      <c r="T25" s="45"/>
      <c r="U25" s="45"/>
      <c r="V25" s="45"/>
      <c r="W25" s="45"/>
      <c r="X25" s="45"/>
      <c r="Y25" s="45"/>
      <c r="Z25" s="46"/>
    </row>
    <row r="26" ht="27.75" customHeight="1">
      <c r="A26" s="34" t="s">
        <v>99</v>
      </c>
      <c r="B26" s="35" t="s">
        <v>92</v>
      </c>
      <c r="C26" s="36" t="s">
        <v>93</v>
      </c>
      <c r="D26" s="35" t="s">
        <v>94</v>
      </c>
      <c r="E26" s="36" t="s">
        <v>30</v>
      </c>
      <c r="F26" s="35" t="s">
        <v>19</v>
      </c>
      <c r="G26" s="36"/>
      <c r="H26" s="35" t="s">
        <v>95</v>
      </c>
      <c r="I26" s="36" t="s">
        <v>96</v>
      </c>
      <c r="J26" s="35" t="s">
        <v>63</v>
      </c>
      <c r="K26" s="35"/>
      <c r="L26" s="36"/>
      <c r="M26" s="37"/>
      <c r="N26" s="37"/>
      <c r="O26" s="38"/>
      <c r="P26" s="38"/>
      <c r="Q26" s="39"/>
      <c r="R26" s="39"/>
      <c r="S26" s="47"/>
      <c r="T26" s="47"/>
      <c r="U26" s="47"/>
      <c r="V26" s="47"/>
      <c r="W26" s="47"/>
      <c r="X26" s="47"/>
      <c r="Y26" s="47"/>
      <c r="Z26" s="48"/>
    </row>
    <row r="27" ht="12.75" customHeight="1">
      <c r="A27" s="17" t="str">
        <f>HYPERLINK("http://purl.obolibrary.org/obo/OBI_0000435","http://purl.obolibrary.org/obo/OBI_0000435")</f>
        <v>http://purl.obolibrary.org/obo/OBI_0000435</v>
      </c>
      <c r="B27" s="18" t="s">
        <v>100</v>
      </c>
      <c r="C27" s="19" t="s">
        <v>101</v>
      </c>
      <c r="D27" s="18" t="s">
        <v>45</v>
      </c>
      <c r="E27" s="20" t="s">
        <v>30</v>
      </c>
      <c r="F27" s="18" t="s">
        <v>67</v>
      </c>
      <c r="G27" s="20" t="s">
        <v>102</v>
      </c>
      <c r="H27" s="18" t="s">
        <v>103</v>
      </c>
      <c r="I27" s="20" t="s">
        <v>104</v>
      </c>
      <c r="J27" s="18" t="s">
        <v>105</v>
      </c>
      <c r="K27" s="18"/>
      <c r="L27" s="20"/>
      <c r="M27" s="21" t="s">
        <v>104</v>
      </c>
      <c r="N27" s="21"/>
      <c r="O27" s="22"/>
      <c r="P27" s="22"/>
      <c r="Q27" s="23" t="s">
        <v>106</v>
      </c>
      <c r="R27" s="23"/>
      <c r="S27" s="24"/>
      <c r="T27" s="24"/>
      <c r="U27" s="24"/>
      <c r="V27" s="24"/>
      <c r="W27" s="24"/>
      <c r="X27" s="24"/>
      <c r="Y27" s="24"/>
      <c r="Z27" s="25"/>
    </row>
    <row r="28" ht="40.5" customHeight="1">
      <c r="A28" s="26" t="str">
        <f>A27</f>
        <v>http://purl.obolibrary.org/obo/OBI_0000435</v>
      </c>
      <c r="B28" s="27"/>
      <c r="C28" s="27"/>
      <c r="D28" s="27"/>
      <c r="E28" s="27"/>
      <c r="F28" s="27"/>
      <c r="G28" s="27"/>
      <c r="H28" s="28" t="s">
        <v>107</v>
      </c>
      <c r="I28" s="49" t="s">
        <v>108</v>
      </c>
      <c r="J28" s="28" t="s">
        <v>109</v>
      </c>
      <c r="K28" s="28"/>
      <c r="L28" s="27"/>
      <c r="M28" s="29"/>
      <c r="N28" s="29"/>
      <c r="O28" s="27"/>
      <c r="P28" s="30"/>
      <c r="Q28" s="31"/>
      <c r="R28" s="31" t="s">
        <v>98</v>
      </c>
      <c r="S28" s="32"/>
      <c r="T28" s="32"/>
      <c r="U28" s="32"/>
      <c r="V28" s="32"/>
      <c r="W28" s="32"/>
      <c r="X28" s="32"/>
      <c r="Y28" s="32"/>
      <c r="Z28" s="33"/>
    </row>
    <row r="29" ht="55.5" customHeight="1">
      <c r="A29" s="34" t="s">
        <v>110</v>
      </c>
      <c r="B29" s="35" t="s">
        <v>100</v>
      </c>
      <c r="C29" s="36" t="s">
        <v>111</v>
      </c>
      <c r="D29" s="35" t="s">
        <v>45</v>
      </c>
      <c r="E29" s="36" t="s">
        <v>30</v>
      </c>
      <c r="F29" s="35" t="s">
        <v>67</v>
      </c>
      <c r="G29" s="36" t="s">
        <v>102</v>
      </c>
      <c r="H29" s="35" t="s">
        <v>103</v>
      </c>
      <c r="I29" s="36" t="s">
        <v>104</v>
      </c>
      <c r="J29" s="35" t="s">
        <v>105</v>
      </c>
      <c r="K29" s="35"/>
      <c r="L29" s="36"/>
      <c r="M29" s="37"/>
      <c r="N29" s="37"/>
      <c r="O29" s="38"/>
      <c r="P29" s="38"/>
      <c r="Q29" s="39"/>
      <c r="R29" s="39" t="s">
        <v>112</v>
      </c>
      <c r="S29" s="40"/>
      <c r="T29" s="40"/>
      <c r="U29" s="40"/>
      <c r="V29" s="40"/>
      <c r="W29" s="40"/>
      <c r="X29" s="40"/>
      <c r="Y29" s="40"/>
      <c r="Z29" s="41"/>
    </row>
    <row r="30" ht="27.75" customHeight="1">
      <c r="A30" s="17" t="str">
        <f>HYPERLINK("http://purl.obolibrary.org/obo/OBI_0000438","http://purl.obolibrary.org/obo/OBI_0000438")</f>
        <v>http://purl.obolibrary.org/obo/OBI_0000438</v>
      </c>
      <c r="B30" s="18" t="s">
        <v>113</v>
      </c>
      <c r="C30" s="19" t="s">
        <v>114</v>
      </c>
      <c r="D30" s="18" t="s">
        <v>45</v>
      </c>
      <c r="E30" s="20" t="s">
        <v>30</v>
      </c>
      <c r="F30" s="18" t="s">
        <v>19</v>
      </c>
      <c r="G30" s="20"/>
      <c r="H30" s="18" t="s">
        <v>95</v>
      </c>
      <c r="I30" s="20" t="s">
        <v>96</v>
      </c>
      <c r="J30" s="18" t="s">
        <v>58</v>
      </c>
      <c r="K30" s="18"/>
      <c r="L30" s="20"/>
      <c r="M30" s="21"/>
      <c r="N30" s="21"/>
      <c r="O30" s="22"/>
      <c r="P30" s="22"/>
      <c r="Q30" s="23"/>
      <c r="R30" s="23"/>
      <c r="S30" s="43"/>
      <c r="T30" s="43"/>
      <c r="U30" s="43"/>
      <c r="V30" s="43"/>
      <c r="W30" s="43"/>
      <c r="X30" s="43"/>
      <c r="Y30" s="43"/>
      <c r="Z30" s="44"/>
    </row>
    <row r="31" ht="13.5" customHeight="1">
      <c r="A31" s="26" t="str">
        <f>A30</f>
        <v>http://purl.obolibrary.org/obo/OBI_0000438</v>
      </c>
      <c r="B31" s="27"/>
      <c r="C31" s="27"/>
      <c r="D31" s="27"/>
      <c r="E31" s="27"/>
      <c r="F31" s="27"/>
      <c r="G31" s="27"/>
      <c r="H31" s="28" t="s">
        <v>97</v>
      </c>
      <c r="I31" s="49" t="s">
        <v>98</v>
      </c>
      <c r="J31" s="28" t="s">
        <v>61</v>
      </c>
      <c r="K31" s="28"/>
      <c r="L31" s="27"/>
      <c r="M31" s="29"/>
      <c r="N31" s="29"/>
      <c r="O31" s="27"/>
      <c r="P31" s="30"/>
      <c r="Q31" s="31"/>
      <c r="R31" s="31"/>
      <c r="S31" s="45"/>
      <c r="T31" s="45"/>
      <c r="U31" s="45"/>
      <c r="V31" s="45"/>
      <c r="W31" s="45"/>
      <c r="X31" s="45"/>
      <c r="Y31" s="45"/>
      <c r="Z31" s="46"/>
    </row>
    <row r="32" ht="42.0" customHeight="1">
      <c r="A32" s="34" t="s">
        <v>115</v>
      </c>
      <c r="B32" s="35" t="s">
        <v>113</v>
      </c>
      <c r="C32" s="36" t="s">
        <v>116</v>
      </c>
      <c r="D32" s="35" t="s">
        <v>45</v>
      </c>
      <c r="E32" s="36" t="s">
        <v>30</v>
      </c>
      <c r="F32" s="35" t="s">
        <v>19</v>
      </c>
      <c r="G32" s="36"/>
      <c r="H32" s="35" t="s">
        <v>95</v>
      </c>
      <c r="I32" s="36" t="s">
        <v>96</v>
      </c>
      <c r="J32" s="35" t="s">
        <v>63</v>
      </c>
      <c r="K32" s="35"/>
      <c r="L32" s="36"/>
      <c r="M32" s="37"/>
      <c r="N32" s="37"/>
      <c r="O32" s="38"/>
      <c r="P32" s="38"/>
      <c r="Q32" s="39"/>
      <c r="R32" s="39"/>
      <c r="S32" s="47"/>
      <c r="T32" s="47"/>
      <c r="U32" s="47"/>
      <c r="V32" s="47"/>
      <c r="W32" s="47"/>
      <c r="X32" s="47"/>
      <c r="Y32" s="47"/>
      <c r="Z32" s="48"/>
    </row>
    <row r="33" ht="13.5" customHeight="1">
      <c r="A33" s="17" t="str">
        <f>HYPERLINK("http://purl.obolibrary.org/obo/OBI_0000443","http://purl.obolibrary.org/obo/OBI_0000443")</f>
        <v>http://purl.obolibrary.org/obo/OBI_0000443</v>
      </c>
      <c r="B33" s="18" t="s">
        <v>67</v>
      </c>
      <c r="C33" s="20" t="s">
        <v>117</v>
      </c>
      <c r="D33" s="18" t="s">
        <v>118</v>
      </c>
      <c r="E33" s="20" t="s">
        <v>30</v>
      </c>
      <c r="F33" s="18" t="s">
        <v>19</v>
      </c>
      <c r="G33" s="20" t="s">
        <v>119</v>
      </c>
      <c r="H33" s="18" t="s">
        <v>119</v>
      </c>
      <c r="I33" s="20"/>
      <c r="J33" s="18" t="s">
        <v>58</v>
      </c>
      <c r="K33" s="18"/>
      <c r="L33" s="20"/>
      <c r="M33" s="21"/>
      <c r="N33" s="21"/>
      <c r="O33" s="22"/>
      <c r="P33" s="22"/>
      <c r="Q33" s="23" t="s">
        <v>120</v>
      </c>
      <c r="R33" s="23"/>
      <c r="S33" s="24"/>
      <c r="T33" s="24"/>
      <c r="U33" s="24"/>
      <c r="V33" s="24"/>
      <c r="W33" s="24"/>
      <c r="X33" s="24"/>
      <c r="Y33" s="24"/>
      <c r="Z33" s="25"/>
    </row>
    <row r="34" ht="69.75" customHeight="1">
      <c r="A34" s="26" t="str">
        <f>A33</f>
        <v>http://purl.obolibrary.org/obo/OBI_0000443</v>
      </c>
      <c r="B34" s="27"/>
      <c r="C34" s="27"/>
      <c r="D34" s="27"/>
      <c r="E34" s="27"/>
      <c r="F34" s="27"/>
      <c r="G34" s="27"/>
      <c r="H34" s="28" t="s">
        <v>121</v>
      </c>
      <c r="I34" s="27"/>
      <c r="J34" s="28" t="s">
        <v>61</v>
      </c>
      <c r="K34" s="28"/>
      <c r="L34" s="27"/>
      <c r="M34" s="29"/>
      <c r="N34" s="29"/>
      <c r="O34" s="27"/>
      <c r="P34" s="30"/>
      <c r="Q34" s="31"/>
      <c r="R34" s="31"/>
      <c r="S34" s="32"/>
      <c r="T34" s="32"/>
      <c r="U34" s="32"/>
      <c r="V34" s="32"/>
      <c r="W34" s="32"/>
      <c r="X34" s="32"/>
      <c r="Y34" s="32"/>
      <c r="Z34" s="33"/>
    </row>
    <row r="35" ht="27.75" customHeight="1">
      <c r="A35" s="34" t="s">
        <v>122</v>
      </c>
      <c r="B35" s="35" t="s">
        <v>67</v>
      </c>
      <c r="C35" s="36" t="s">
        <v>117</v>
      </c>
      <c r="D35" s="35" t="s">
        <v>118</v>
      </c>
      <c r="E35" s="36" t="s">
        <v>30</v>
      </c>
      <c r="F35" s="35" t="s">
        <v>19</v>
      </c>
      <c r="G35" s="36" t="s">
        <v>119</v>
      </c>
      <c r="H35" s="35" t="s">
        <v>119</v>
      </c>
      <c r="I35" s="36"/>
      <c r="J35" s="35" t="s">
        <v>63</v>
      </c>
      <c r="K35" s="35"/>
      <c r="L35" s="36"/>
      <c r="M35" s="37"/>
      <c r="N35" s="37"/>
      <c r="O35" s="38"/>
      <c r="P35" s="38"/>
      <c r="Q35" s="39"/>
      <c r="R35" s="39" t="s">
        <v>120</v>
      </c>
      <c r="S35" s="40"/>
      <c r="T35" s="40"/>
      <c r="U35" s="40"/>
      <c r="V35" s="40"/>
      <c r="W35" s="40"/>
      <c r="X35" s="40"/>
      <c r="Y35" s="40"/>
      <c r="Z35" s="41"/>
    </row>
    <row r="36" ht="237.75" customHeight="1">
      <c r="A36" s="17" t="str">
        <f>HYPERLINK("http://purl.obolibrary.org/obo/OBI_0000445","http://purl.obolibrary.org/obo/OBI_0000445")</f>
        <v>http://purl.obolibrary.org/obo/OBI_0000445</v>
      </c>
      <c r="B36" s="18" t="s">
        <v>123</v>
      </c>
      <c r="C36" s="19" t="s">
        <v>124</v>
      </c>
      <c r="D36" s="18" t="s">
        <v>125</v>
      </c>
      <c r="E36" s="20" t="s">
        <v>30</v>
      </c>
      <c r="F36" s="18" t="s">
        <v>19</v>
      </c>
      <c r="G36" s="20"/>
      <c r="H36" s="18" t="s">
        <v>24</v>
      </c>
      <c r="I36" s="20" t="s">
        <v>25</v>
      </c>
      <c r="J36" s="18" t="s">
        <v>126</v>
      </c>
      <c r="K36" s="18"/>
      <c r="L36" s="20"/>
      <c r="M36" s="21"/>
      <c r="N36" s="21"/>
      <c r="O36" s="22" t="s">
        <v>127</v>
      </c>
      <c r="P36" s="22"/>
      <c r="Q36" s="23"/>
      <c r="R36" s="23"/>
      <c r="S36" s="43"/>
      <c r="T36" s="43"/>
      <c r="U36" s="43"/>
      <c r="V36" s="43"/>
      <c r="W36" s="43"/>
      <c r="X36" s="43"/>
      <c r="Y36" s="43"/>
      <c r="Z36" s="44"/>
    </row>
    <row r="37" ht="27.75" customHeight="1">
      <c r="A37" s="26" t="str">
        <f>A36</f>
        <v>http://purl.obolibrary.org/obo/OBI_0000445</v>
      </c>
      <c r="B37" s="27"/>
      <c r="C37" s="27"/>
      <c r="D37" s="27"/>
      <c r="E37" s="27"/>
      <c r="F37" s="27"/>
      <c r="G37" s="27"/>
      <c r="H37" s="28" t="s">
        <v>31</v>
      </c>
      <c r="I37" s="49" t="s">
        <v>128</v>
      </c>
      <c r="J37" s="28" t="s">
        <v>129</v>
      </c>
      <c r="K37" s="28"/>
      <c r="L37" s="27"/>
      <c r="M37" s="29"/>
      <c r="N37" s="29"/>
      <c r="O37" s="50" t="s">
        <v>130</v>
      </c>
      <c r="P37" s="30"/>
      <c r="Q37" s="31"/>
      <c r="R37" s="31"/>
      <c r="S37" s="45"/>
      <c r="T37" s="45"/>
      <c r="U37" s="45"/>
      <c r="V37" s="45"/>
      <c r="W37" s="45"/>
      <c r="X37" s="45"/>
      <c r="Y37" s="45"/>
      <c r="Z37" s="46"/>
    </row>
    <row r="38" ht="84.0" customHeight="1">
      <c r="A38" s="34" t="s">
        <v>131</v>
      </c>
      <c r="B38" s="35" t="s">
        <v>123</v>
      </c>
      <c r="C38" s="36" t="s">
        <v>132</v>
      </c>
      <c r="D38" s="35" t="s">
        <v>125</v>
      </c>
      <c r="E38" s="36" t="s">
        <v>30</v>
      </c>
      <c r="F38" s="35" t="s">
        <v>19</v>
      </c>
      <c r="G38" s="36"/>
      <c r="H38" s="35" t="s">
        <v>24</v>
      </c>
      <c r="I38" s="36" t="s">
        <v>25</v>
      </c>
      <c r="J38" s="35" t="s">
        <v>126</v>
      </c>
      <c r="K38" s="35"/>
      <c r="L38" s="36"/>
      <c r="M38" s="37"/>
      <c r="N38" s="37"/>
      <c r="O38" s="38" t="s">
        <v>133</v>
      </c>
      <c r="P38" s="38"/>
      <c r="Q38" s="39"/>
      <c r="R38" s="39"/>
      <c r="S38" s="47"/>
      <c r="T38" s="47"/>
      <c r="U38" s="47"/>
      <c r="V38" s="47"/>
      <c r="W38" s="47"/>
      <c r="X38" s="47"/>
      <c r="Y38" s="47"/>
      <c r="Z38" s="48"/>
    </row>
    <row r="39" ht="27.75" customHeight="1">
      <c r="A39" s="17" t="str">
        <f>HYPERLINK("http://purl.obolibrary.org/obo/OBI_0000447","http://purl.obolibrary.org/obo/OBI_0000447")</f>
        <v>http://purl.obolibrary.org/obo/OBI_0000447</v>
      </c>
      <c r="B39" s="18" t="s">
        <v>134</v>
      </c>
      <c r="C39" s="19" t="s">
        <v>135</v>
      </c>
      <c r="D39" s="18" t="s">
        <v>136</v>
      </c>
      <c r="E39" s="20" t="s">
        <v>30</v>
      </c>
      <c r="F39" s="18" t="s">
        <v>19</v>
      </c>
      <c r="G39" s="20"/>
      <c r="H39" s="18" t="s">
        <v>24</v>
      </c>
      <c r="I39" s="20"/>
      <c r="J39" s="18" t="s">
        <v>137</v>
      </c>
      <c r="K39" s="18"/>
      <c r="L39" s="20"/>
      <c r="M39" s="21"/>
      <c r="N39" s="21"/>
      <c r="O39" s="22"/>
      <c r="P39" s="22"/>
      <c r="Q39" s="23"/>
      <c r="R39" s="23"/>
      <c r="S39" s="24"/>
      <c r="T39" s="24"/>
      <c r="U39" s="24"/>
      <c r="V39" s="24"/>
      <c r="W39" s="24"/>
      <c r="X39" s="24"/>
      <c r="Y39" s="24"/>
      <c r="Z39" s="25"/>
    </row>
    <row r="40" ht="55.5" customHeight="1">
      <c r="A40" s="26" t="str">
        <f>A39</f>
        <v>http://purl.obolibrary.org/obo/OBI_0000447</v>
      </c>
      <c r="B40" s="27"/>
      <c r="C40" s="27"/>
      <c r="D40" s="27"/>
      <c r="E40" s="27"/>
      <c r="F40" s="27"/>
      <c r="G40" s="27"/>
      <c r="H40" s="28" t="s">
        <v>31</v>
      </c>
      <c r="I40" s="27"/>
      <c r="J40" s="28" t="s">
        <v>138</v>
      </c>
      <c r="K40" s="28" t="s">
        <v>139</v>
      </c>
      <c r="L40" s="27"/>
      <c r="M40" s="29"/>
      <c r="N40" s="29"/>
      <c r="O40" s="27"/>
      <c r="P40" s="30"/>
      <c r="Q40" s="31"/>
      <c r="R40" s="31"/>
      <c r="S40" s="32"/>
      <c r="T40" s="32"/>
      <c r="U40" s="32"/>
      <c r="V40" s="32"/>
      <c r="W40" s="32"/>
      <c r="X40" s="32"/>
      <c r="Y40" s="32"/>
      <c r="Z40" s="33"/>
    </row>
    <row r="41" ht="13.5" customHeight="1">
      <c r="A41" s="34" t="s">
        <v>140</v>
      </c>
      <c r="B41" s="35" t="s">
        <v>134</v>
      </c>
      <c r="C41" s="36" t="s">
        <v>141</v>
      </c>
      <c r="D41" s="35" t="s">
        <v>136</v>
      </c>
      <c r="E41" s="36" t="s">
        <v>30</v>
      </c>
      <c r="F41" s="35" t="s">
        <v>19</v>
      </c>
      <c r="G41" s="36"/>
      <c r="H41" s="35" t="s">
        <v>24</v>
      </c>
      <c r="I41" s="36"/>
      <c r="J41" s="35" t="s">
        <v>142</v>
      </c>
      <c r="K41" s="35"/>
      <c r="L41" s="36"/>
      <c r="M41" s="37"/>
      <c r="N41" s="37"/>
      <c r="O41" s="38"/>
      <c r="P41" s="38"/>
      <c r="Q41" s="39"/>
      <c r="R41" s="39"/>
      <c r="S41" s="40"/>
      <c r="T41" s="40"/>
      <c r="U41" s="40"/>
      <c r="V41" s="40"/>
      <c r="W41" s="40"/>
      <c r="X41" s="40"/>
      <c r="Y41" s="40"/>
      <c r="Z41" s="41"/>
    </row>
    <row r="42" ht="42.0" customHeight="1">
      <c r="A42" s="17" t="str">
        <f>HYPERLINK("http://purl.obolibrary.org/obo/OBI_0000454","http://purl.obolibrary.org/obo/OBI_0000454")</f>
        <v>http://purl.obolibrary.org/obo/OBI_0000454</v>
      </c>
      <c r="B42" s="18" t="s">
        <v>143</v>
      </c>
      <c r="C42" s="19" t="s">
        <v>144</v>
      </c>
      <c r="D42" s="18" t="s">
        <v>145</v>
      </c>
      <c r="E42" s="20" t="s">
        <v>30</v>
      </c>
      <c r="F42" s="18" t="s">
        <v>19</v>
      </c>
      <c r="G42" s="20"/>
      <c r="H42" s="18" t="s">
        <v>24</v>
      </c>
      <c r="I42" s="20"/>
      <c r="J42" s="18" t="s">
        <v>137</v>
      </c>
      <c r="K42" s="18"/>
      <c r="L42" s="20"/>
      <c r="M42" s="21"/>
      <c r="N42" s="21"/>
      <c r="O42" s="22"/>
      <c r="P42" s="22"/>
      <c r="Q42" s="23"/>
      <c r="R42" s="23"/>
      <c r="S42" s="43"/>
      <c r="T42" s="43"/>
      <c r="U42" s="43"/>
      <c r="V42" s="43"/>
      <c r="W42" s="43"/>
      <c r="X42" s="43"/>
      <c r="Y42" s="43"/>
      <c r="Z42" s="44"/>
    </row>
    <row r="43" ht="27.75" customHeight="1">
      <c r="A43" s="26" t="str">
        <f>A42</f>
        <v>http://purl.obolibrary.org/obo/OBI_0000454</v>
      </c>
      <c r="B43" s="27"/>
      <c r="C43" s="42" t="s">
        <v>146</v>
      </c>
      <c r="D43" s="27"/>
      <c r="E43" s="27"/>
      <c r="F43" s="27"/>
      <c r="G43" s="27"/>
      <c r="H43" s="28" t="s">
        <v>31</v>
      </c>
      <c r="I43" s="27"/>
      <c r="J43" s="28" t="s">
        <v>138</v>
      </c>
      <c r="K43" s="28" t="s">
        <v>139</v>
      </c>
      <c r="L43" s="27"/>
      <c r="M43" s="29"/>
      <c r="N43" s="29"/>
      <c r="O43" s="27"/>
      <c r="P43" s="30"/>
      <c r="Q43" s="31"/>
      <c r="R43" s="31"/>
      <c r="S43" s="45"/>
      <c r="T43" s="45"/>
      <c r="U43" s="45"/>
      <c r="V43" s="45"/>
      <c r="W43" s="45"/>
      <c r="X43" s="45"/>
      <c r="Y43" s="45"/>
      <c r="Z43" s="46"/>
    </row>
    <row r="44" ht="42.0" customHeight="1">
      <c r="A44" s="34" t="s">
        <v>147</v>
      </c>
      <c r="B44" s="35" t="s">
        <v>143</v>
      </c>
      <c r="C44" s="36" t="s">
        <v>148</v>
      </c>
      <c r="D44" s="35" t="s">
        <v>145</v>
      </c>
      <c r="E44" s="36" t="s">
        <v>30</v>
      </c>
      <c r="F44" s="35" t="s">
        <v>19</v>
      </c>
      <c r="G44" s="36"/>
      <c r="H44" s="35" t="s">
        <v>24</v>
      </c>
      <c r="I44" s="36"/>
      <c r="J44" s="35" t="s">
        <v>142</v>
      </c>
      <c r="K44" s="35"/>
      <c r="L44" s="36"/>
      <c r="M44" s="37"/>
      <c r="N44" s="37"/>
      <c r="O44" s="38"/>
      <c r="P44" s="38"/>
      <c r="Q44" s="39"/>
      <c r="R44" s="39"/>
      <c r="S44" s="47"/>
      <c r="T44" s="47"/>
      <c r="U44" s="47"/>
      <c r="V44" s="47"/>
      <c r="W44" s="47"/>
      <c r="X44" s="47"/>
      <c r="Y44" s="47"/>
      <c r="Z44" s="48"/>
    </row>
    <row r="45" ht="13.5" customHeight="1">
      <c r="A45" s="17" t="str">
        <f>HYPERLINK("http://purl.obolibrary.org/obo/OBI_0000470","http://purl.obolibrary.org/obo/OBI_0000470")</f>
        <v>http://purl.obolibrary.org/obo/OBI_0000470</v>
      </c>
      <c r="B45" s="18" t="s">
        <v>149</v>
      </c>
      <c r="C45" s="20" t="s">
        <v>150</v>
      </c>
      <c r="D45" s="18" t="s">
        <v>45</v>
      </c>
      <c r="E45" s="20" t="s">
        <v>30</v>
      </c>
      <c r="F45" s="18" t="s">
        <v>19</v>
      </c>
      <c r="G45" s="20" t="s">
        <v>151</v>
      </c>
      <c r="H45" s="18"/>
      <c r="I45" s="20" t="s">
        <v>151</v>
      </c>
      <c r="J45" s="18"/>
      <c r="K45" s="18"/>
      <c r="L45" s="20"/>
      <c r="M45" s="21"/>
      <c r="N45" s="21"/>
      <c r="O45" s="22"/>
      <c r="P45" s="22"/>
      <c r="Q45" s="23"/>
      <c r="R45" s="23"/>
      <c r="S45" s="24"/>
      <c r="T45" s="24"/>
      <c r="U45" s="24"/>
      <c r="V45" s="24"/>
      <c r="W45" s="24"/>
      <c r="X45" s="24"/>
      <c r="Y45" s="24"/>
      <c r="Z45" s="25"/>
    </row>
    <row r="46" ht="42.0" customHeight="1">
      <c r="A46" s="26" t="str">
        <f>A45</f>
        <v>http://purl.obolibrary.org/obo/OBI_0000470</v>
      </c>
      <c r="B46" s="27"/>
      <c r="C46" s="27"/>
      <c r="D46" s="27"/>
      <c r="E46" s="27"/>
      <c r="F46" s="27"/>
      <c r="G46" s="27"/>
      <c r="H46" s="28"/>
      <c r="I46" s="49" t="s">
        <v>152</v>
      </c>
      <c r="J46" s="28"/>
      <c r="K46" s="28"/>
      <c r="L46" s="27"/>
      <c r="M46" s="29"/>
      <c r="N46" s="29"/>
      <c r="O46" s="27"/>
      <c r="P46" s="30"/>
      <c r="Q46" s="31"/>
      <c r="R46" s="31"/>
      <c r="S46" s="32"/>
      <c r="T46" s="32"/>
      <c r="U46" s="32"/>
      <c r="V46" s="32"/>
      <c r="W46" s="32"/>
      <c r="X46" s="32"/>
      <c r="Y46" s="32"/>
      <c r="Z46" s="33"/>
    </row>
    <row r="47" ht="13.5" customHeight="1">
      <c r="A47" s="34" t="s">
        <v>153</v>
      </c>
      <c r="B47" s="35" t="s">
        <v>149</v>
      </c>
      <c r="C47" s="36" t="s">
        <v>150</v>
      </c>
      <c r="D47" s="35" t="s">
        <v>45</v>
      </c>
      <c r="E47" s="36" t="s">
        <v>30</v>
      </c>
      <c r="F47" s="35" t="s">
        <v>19</v>
      </c>
      <c r="G47" s="36" t="s">
        <v>154</v>
      </c>
      <c r="H47" s="36"/>
      <c r="I47" s="36" t="s">
        <v>154</v>
      </c>
      <c r="J47" s="35"/>
      <c r="K47" s="35"/>
      <c r="L47" s="36"/>
      <c r="M47" s="37"/>
      <c r="N47" s="37"/>
      <c r="O47" s="38"/>
      <c r="P47" s="38"/>
      <c r="Q47" s="39"/>
      <c r="R47" s="39"/>
      <c r="S47" s="40"/>
      <c r="T47" s="40"/>
      <c r="U47" s="40"/>
      <c r="V47" s="40"/>
      <c r="W47" s="40"/>
      <c r="X47" s="40"/>
      <c r="Y47" s="40"/>
      <c r="Z47" s="41"/>
    </row>
    <row r="48" ht="55.5" customHeight="1">
      <c r="A48" s="17" t="str">
        <f>HYPERLINK("http://purl.obolibrary.org/obo/OBI_0000520","http://purl.obolibrary.org/obo/OBI_0000520")</f>
        <v>http://purl.obolibrary.org/obo/OBI_0000520</v>
      </c>
      <c r="B48" s="18" t="s">
        <v>155</v>
      </c>
      <c r="C48" s="19" t="s">
        <v>156</v>
      </c>
      <c r="D48" s="18" t="s">
        <v>157</v>
      </c>
      <c r="E48" s="20" t="s">
        <v>30</v>
      </c>
      <c r="F48" s="18" t="s">
        <v>67</v>
      </c>
      <c r="G48" s="20"/>
      <c r="H48" s="18" t="s">
        <v>119</v>
      </c>
      <c r="I48" s="20"/>
      <c r="J48" s="18"/>
      <c r="K48" s="18"/>
      <c r="L48" s="20"/>
      <c r="M48" s="21"/>
      <c r="N48" s="21"/>
      <c r="O48" s="22" t="s">
        <v>158</v>
      </c>
      <c r="P48" s="22"/>
      <c r="Q48" s="23" t="s">
        <v>159</v>
      </c>
      <c r="R48" s="23"/>
      <c r="S48" s="43"/>
      <c r="T48" s="43"/>
      <c r="U48" s="43"/>
      <c r="V48" s="43"/>
      <c r="W48" s="43"/>
      <c r="X48" s="43"/>
      <c r="Y48" s="43"/>
      <c r="Z48" s="44"/>
    </row>
    <row r="49" ht="27.75" customHeight="1">
      <c r="A49" s="26" t="str">
        <f>A48</f>
        <v>http://purl.obolibrary.org/obo/OBI_0000520</v>
      </c>
      <c r="B49" s="27"/>
      <c r="C49" s="42" t="s">
        <v>160</v>
      </c>
      <c r="D49" s="27"/>
      <c r="E49" s="27"/>
      <c r="F49" s="27"/>
      <c r="G49" s="27"/>
      <c r="H49" s="28" t="s">
        <v>121</v>
      </c>
      <c r="I49" s="27"/>
      <c r="J49" s="28"/>
      <c r="K49" s="28"/>
      <c r="L49" s="27"/>
      <c r="M49" s="29"/>
      <c r="N49" s="29"/>
      <c r="O49" s="50" t="s">
        <v>130</v>
      </c>
      <c r="P49" s="30"/>
      <c r="Q49" s="31"/>
      <c r="R49" s="31" t="s">
        <v>161</v>
      </c>
      <c r="S49" s="45"/>
      <c r="T49" s="45"/>
      <c r="U49" s="45"/>
      <c r="V49" s="45"/>
      <c r="W49" s="45"/>
      <c r="X49" s="45"/>
      <c r="Y49" s="45"/>
      <c r="Z49" s="46"/>
    </row>
    <row r="50" ht="42.0" customHeight="1">
      <c r="A50" s="34" t="s">
        <v>162</v>
      </c>
      <c r="B50" s="35" t="s">
        <v>155</v>
      </c>
      <c r="C50" s="36" t="s">
        <v>163</v>
      </c>
      <c r="D50" s="35" t="s">
        <v>157</v>
      </c>
      <c r="E50" s="36" t="s">
        <v>30</v>
      </c>
      <c r="F50" s="35" t="s">
        <v>67</v>
      </c>
      <c r="G50" s="36"/>
      <c r="H50" s="35" t="s">
        <v>119</v>
      </c>
      <c r="I50" s="36"/>
      <c r="J50" s="35"/>
      <c r="K50" s="35"/>
      <c r="L50" s="36"/>
      <c r="M50" s="37"/>
      <c r="N50" s="37"/>
      <c r="O50" s="38" t="s">
        <v>164</v>
      </c>
      <c r="P50" s="38"/>
      <c r="Q50" s="39"/>
      <c r="R50" s="39" t="s">
        <v>165</v>
      </c>
      <c r="S50" s="47"/>
      <c r="T50" s="47"/>
      <c r="U50" s="47"/>
      <c r="V50" s="47"/>
      <c r="W50" s="47"/>
      <c r="X50" s="47"/>
      <c r="Y50" s="47"/>
      <c r="Z50" s="48"/>
    </row>
    <row r="51" ht="27.75" customHeight="1">
      <c r="A51" s="17" t="str">
        <f>HYPERLINK("http://purl.obolibrary.org/obo/OBI_0000537","http://purl.obolibrary.org/obo/OBI_0000537")</f>
        <v>http://purl.obolibrary.org/obo/OBI_0000537</v>
      </c>
      <c r="B51" s="18" t="s">
        <v>166</v>
      </c>
      <c r="C51" s="20" t="s">
        <v>167</v>
      </c>
      <c r="D51" s="18" t="s">
        <v>45</v>
      </c>
      <c r="E51" s="20" t="s">
        <v>30</v>
      </c>
      <c r="F51" s="18" t="s">
        <v>19</v>
      </c>
      <c r="G51" s="20"/>
      <c r="H51" s="18" t="s">
        <v>24</v>
      </c>
      <c r="I51" s="20"/>
      <c r="J51" s="18" t="s">
        <v>168</v>
      </c>
      <c r="K51" s="18"/>
      <c r="L51" s="20"/>
      <c r="M51" s="21"/>
      <c r="N51" s="21"/>
      <c r="O51" s="22"/>
      <c r="P51" s="22"/>
      <c r="Q51" s="23"/>
      <c r="R51" s="23"/>
      <c r="S51" s="24"/>
      <c r="T51" s="24"/>
      <c r="U51" s="24"/>
      <c r="V51" s="24"/>
      <c r="W51" s="24"/>
      <c r="X51" s="24"/>
      <c r="Y51" s="24"/>
      <c r="Z51" s="25"/>
    </row>
    <row r="52" ht="42.0" customHeight="1">
      <c r="A52" s="26" t="str">
        <f>A51</f>
        <v>http://purl.obolibrary.org/obo/OBI_0000537</v>
      </c>
      <c r="B52" s="27"/>
      <c r="C52" s="42" t="s">
        <v>169</v>
      </c>
      <c r="D52" s="27"/>
      <c r="E52" s="27"/>
      <c r="F52" s="27"/>
      <c r="G52" s="27"/>
      <c r="H52" s="28" t="s">
        <v>31</v>
      </c>
      <c r="I52" s="27"/>
      <c r="J52" s="28" t="s">
        <v>170</v>
      </c>
      <c r="K52" s="28" t="s">
        <v>171</v>
      </c>
      <c r="L52" s="27"/>
      <c r="M52" s="29"/>
      <c r="N52" s="29"/>
      <c r="O52" s="27"/>
      <c r="P52" s="30"/>
      <c r="Q52" s="31"/>
      <c r="R52" s="31"/>
      <c r="S52" s="32"/>
      <c r="T52" s="32"/>
      <c r="U52" s="32"/>
      <c r="V52" s="32"/>
      <c r="W52" s="32"/>
      <c r="X52" s="32"/>
      <c r="Y52" s="32"/>
      <c r="Z52" s="33"/>
    </row>
    <row r="53" ht="27.75" customHeight="1">
      <c r="A53" s="34" t="s">
        <v>172</v>
      </c>
      <c r="B53" s="35" t="s">
        <v>166</v>
      </c>
      <c r="C53" s="36" t="s">
        <v>167</v>
      </c>
      <c r="D53" s="35" t="s">
        <v>45</v>
      </c>
      <c r="E53" s="36" t="s">
        <v>30</v>
      </c>
      <c r="F53" s="35" t="s">
        <v>19</v>
      </c>
      <c r="G53" s="36"/>
      <c r="H53" s="35" t="s">
        <v>24</v>
      </c>
      <c r="I53" s="36"/>
      <c r="J53" s="35" t="s">
        <v>173</v>
      </c>
      <c r="K53" s="35"/>
      <c r="L53" s="36"/>
      <c r="M53" s="37"/>
      <c r="N53" s="37"/>
      <c r="O53" s="38"/>
      <c r="P53" s="38"/>
      <c r="Q53" s="39"/>
      <c r="R53" s="39"/>
      <c r="S53" s="40"/>
      <c r="T53" s="40"/>
      <c r="U53" s="40"/>
      <c r="V53" s="40"/>
      <c r="W53" s="40"/>
      <c r="X53" s="40"/>
      <c r="Y53" s="40"/>
      <c r="Z53" s="41"/>
    </row>
    <row r="54" ht="55.5" customHeight="1">
      <c r="A54" s="17" t="str">
        <f>HYPERLINK("http://purl.obolibrary.org/obo/OBI_0000615","http://purl.obolibrary.org/obo/OBI_0000615")</f>
        <v>http://purl.obolibrary.org/obo/OBI_0000615</v>
      </c>
      <c r="B54" s="18" t="s">
        <v>174</v>
      </c>
      <c r="C54" s="20" t="s">
        <v>175</v>
      </c>
      <c r="D54" s="18" t="s">
        <v>176</v>
      </c>
      <c r="E54" s="20" t="s">
        <v>30</v>
      </c>
      <c r="F54" s="18" t="s">
        <v>19</v>
      </c>
      <c r="G54" s="20"/>
      <c r="H54" s="18" t="s">
        <v>24</v>
      </c>
      <c r="I54" s="20"/>
      <c r="J54" s="18"/>
      <c r="K54" s="18"/>
      <c r="L54" s="20"/>
      <c r="M54" s="21"/>
      <c r="N54" s="21"/>
      <c r="O54" s="22"/>
      <c r="P54" s="22"/>
      <c r="Q54" s="23"/>
      <c r="R54" s="23"/>
      <c r="S54" s="43"/>
      <c r="T54" s="43"/>
      <c r="U54" s="43"/>
      <c r="V54" s="43"/>
      <c r="W54" s="43"/>
      <c r="X54" s="43"/>
      <c r="Y54" s="43"/>
      <c r="Z54" s="44"/>
    </row>
    <row r="55" ht="27.75" customHeight="1">
      <c r="A55" s="26" t="str">
        <f>A54</f>
        <v>http://purl.obolibrary.org/obo/OBI_0000615</v>
      </c>
      <c r="B55" s="27"/>
      <c r="C55" s="42" t="s">
        <v>177</v>
      </c>
      <c r="D55" s="27"/>
      <c r="E55" s="27"/>
      <c r="F55" s="27"/>
      <c r="G55" s="27"/>
      <c r="H55" s="28" t="s">
        <v>31</v>
      </c>
      <c r="I55" s="27"/>
      <c r="J55" s="28"/>
      <c r="K55" s="28"/>
      <c r="L55" s="27"/>
      <c r="M55" s="29"/>
      <c r="N55" s="29"/>
      <c r="O55" s="27"/>
      <c r="P55" s="30"/>
      <c r="Q55" s="31"/>
      <c r="R55" s="31"/>
      <c r="S55" s="45"/>
      <c r="T55" s="45"/>
      <c r="U55" s="45"/>
      <c r="V55" s="45"/>
      <c r="W55" s="45"/>
      <c r="X55" s="45"/>
      <c r="Y55" s="45"/>
      <c r="Z55" s="46"/>
    </row>
    <row r="56" ht="84.0" customHeight="1">
      <c r="A56" s="34" t="s">
        <v>178</v>
      </c>
      <c r="B56" s="35" t="s">
        <v>174</v>
      </c>
      <c r="C56" s="36" t="s">
        <v>179</v>
      </c>
      <c r="D56" s="35" t="s">
        <v>176</v>
      </c>
      <c r="E56" s="36" t="s">
        <v>30</v>
      </c>
      <c r="F56" s="35" t="s">
        <v>19</v>
      </c>
      <c r="G56" s="36"/>
      <c r="H56" s="35" t="s">
        <v>24</v>
      </c>
      <c r="I56" s="36"/>
      <c r="J56" s="35"/>
      <c r="K56" s="35"/>
      <c r="L56" s="36"/>
      <c r="M56" s="37"/>
      <c r="N56" s="37"/>
      <c r="O56" s="38"/>
      <c r="P56" s="38"/>
      <c r="Q56" s="39"/>
      <c r="R56" s="39"/>
      <c r="S56" s="47"/>
      <c r="T56" s="47"/>
      <c r="U56" s="47"/>
      <c r="V56" s="47"/>
      <c r="W56" s="47"/>
      <c r="X56" s="47"/>
      <c r="Y56" s="47"/>
      <c r="Z56" s="48"/>
    </row>
    <row r="57" ht="13.5" customHeight="1">
      <c r="A57" s="17" t="str">
        <f>HYPERLINK("http://purl.obolibrary.org/obo/OBI_0000623","http://purl.obolibrary.org/obo/OBI_0000623")</f>
        <v>http://purl.obolibrary.org/obo/OBI_0000623</v>
      </c>
      <c r="B57" s="18" t="s">
        <v>180</v>
      </c>
      <c r="C57" s="20" t="s">
        <v>181</v>
      </c>
      <c r="D57" s="18" t="s">
        <v>45</v>
      </c>
      <c r="E57" s="20" t="s">
        <v>30</v>
      </c>
      <c r="F57" s="18" t="s">
        <v>19</v>
      </c>
      <c r="G57" s="20"/>
      <c r="H57" s="18" t="s">
        <v>24</v>
      </c>
      <c r="I57" s="20"/>
      <c r="J57" s="18"/>
      <c r="K57" s="18"/>
      <c r="L57" s="20"/>
      <c r="M57" s="21"/>
      <c r="N57" s="21"/>
      <c r="O57" s="22"/>
      <c r="P57" s="22"/>
      <c r="Q57" s="23"/>
      <c r="R57" s="23"/>
      <c r="S57" s="24"/>
      <c r="T57" s="24"/>
      <c r="U57" s="24"/>
      <c r="V57" s="24"/>
      <c r="W57" s="24"/>
      <c r="X57" s="24"/>
      <c r="Y57" s="24"/>
      <c r="Z57" s="25"/>
    </row>
    <row r="58" ht="42.0" customHeight="1">
      <c r="A58" s="26" t="str">
        <f>A57</f>
        <v>http://purl.obolibrary.org/obo/OBI_0000623</v>
      </c>
      <c r="B58" s="27"/>
      <c r="C58" s="42" t="s">
        <v>182</v>
      </c>
      <c r="D58" s="27"/>
      <c r="E58" s="27"/>
      <c r="F58" s="27"/>
      <c r="G58" s="27"/>
      <c r="H58" s="28" t="s">
        <v>31</v>
      </c>
      <c r="I58" s="27"/>
      <c r="J58" s="28"/>
      <c r="K58" s="28"/>
      <c r="L58" s="27"/>
      <c r="M58" s="29"/>
      <c r="N58" s="29"/>
      <c r="O58" s="27"/>
      <c r="P58" s="30"/>
      <c r="Q58" s="31"/>
      <c r="R58" s="31"/>
      <c r="S58" s="32"/>
      <c r="T58" s="32"/>
      <c r="U58" s="32"/>
      <c r="V58" s="32"/>
      <c r="W58" s="32"/>
      <c r="X58" s="32"/>
      <c r="Y58" s="32"/>
      <c r="Z58" s="33"/>
    </row>
    <row r="59" ht="13.5" customHeight="1">
      <c r="A59" s="34" t="s">
        <v>183</v>
      </c>
      <c r="B59" s="35" t="s">
        <v>180</v>
      </c>
      <c r="C59" s="36" t="s">
        <v>181</v>
      </c>
      <c r="D59" s="35" t="s">
        <v>45</v>
      </c>
      <c r="E59" s="36" t="s">
        <v>30</v>
      </c>
      <c r="F59" s="35" t="s">
        <v>19</v>
      </c>
      <c r="G59" s="36"/>
      <c r="H59" s="35" t="s">
        <v>24</v>
      </c>
      <c r="I59" s="36"/>
      <c r="J59" s="35"/>
      <c r="K59" s="35"/>
      <c r="L59" s="36"/>
      <c r="M59" s="37"/>
      <c r="N59" s="37"/>
      <c r="O59" s="38"/>
      <c r="P59" s="38"/>
      <c r="Q59" s="39"/>
      <c r="R59" s="39"/>
      <c r="S59" s="40"/>
      <c r="T59" s="40"/>
      <c r="U59" s="40"/>
      <c r="V59" s="40"/>
      <c r="W59" s="40"/>
      <c r="X59" s="40"/>
      <c r="Y59" s="40"/>
      <c r="Z59" s="41"/>
    </row>
    <row r="60" ht="42.0" customHeight="1">
      <c r="A60" s="17" t="str">
        <f>HYPERLINK("http://purl.obolibrary.org/obo/OBI_0000626","http://purl.obolibrary.org/obo/OBI_0000626")</f>
        <v>http://purl.obolibrary.org/obo/OBI_0000626</v>
      </c>
      <c r="B60" s="18" t="s">
        <v>184</v>
      </c>
      <c r="C60" s="20" t="s">
        <v>185</v>
      </c>
      <c r="D60" s="18" t="s">
        <v>45</v>
      </c>
      <c r="E60" s="20" t="s">
        <v>30</v>
      </c>
      <c r="F60" s="18" t="s">
        <v>186</v>
      </c>
      <c r="G60" s="20" t="s">
        <v>187</v>
      </c>
      <c r="H60" s="18" t="s">
        <v>24</v>
      </c>
      <c r="I60" s="20" t="s">
        <v>187</v>
      </c>
      <c r="J60" s="18" t="s">
        <v>187</v>
      </c>
      <c r="K60" s="18"/>
      <c r="L60" s="20"/>
      <c r="M60" s="21"/>
      <c r="N60" s="21"/>
      <c r="O60" s="22" t="s">
        <v>187</v>
      </c>
      <c r="P60" s="22"/>
      <c r="Q60" s="23"/>
      <c r="R60" s="23"/>
      <c r="S60" s="43"/>
      <c r="T60" s="43"/>
      <c r="U60" s="43"/>
      <c r="V60" s="43"/>
      <c r="W60" s="43"/>
      <c r="X60" s="43"/>
      <c r="Y60" s="43"/>
      <c r="Z60" s="44"/>
    </row>
    <row r="61" ht="27.75" customHeight="1">
      <c r="A61" s="26" t="str">
        <f>A60</f>
        <v>http://purl.obolibrary.org/obo/OBI_0000626</v>
      </c>
      <c r="B61" s="27"/>
      <c r="C61" s="42" t="s">
        <v>188</v>
      </c>
      <c r="D61" s="27"/>
      <c r="E61" s="27"/>
      <c r="F61" s="27"/>
      <c r="G61" s="27"/>
      <c r="H61" s="52" t="s">
        <v>31</v>
      </c>
      <c r="I61" s="53" t="s">
        <v>189</v>
      </c>
      <c r="J61" s="52" t="s">
        <v>190</v>
      </c>
      <c r="K61" s="28"/>
      <c r="L61" s="49" t="s">
        <v>191</v>
      </c>
      <c r="M61" s="29"/>
      <c r="N61" s="29"/>
      <c r="O61" s="27"/>
      <c r="P61" s="30"/>
      <c r="Q61" s="31"/>
      <c r="R61" s="31"/>
      <c r="S61" s="45"/>
      <c r="T61" s="45"/>
      <c r="U61" s="45"/>
      <c r="V61" s="45"/>
      <c r="W61" s="45"/>
      <c r="X61" s="45"/>
      <c r="Y61" s="45"/>
      <c r="Z61" s="46"/>
    </row>
    <row r="62" ht="69.75" customHeight="1">
      <c r="A62" s="54" t="s">
        <v>192</v>
      </c>
      <c r="B62" s="55" t="s">
        <v>184</v>
      </c>
      <c r="C62" s="56" t="s">
        <v>185</v>
      </c>
      <c r="D62" s="55" t="s">
        <v>45</v>
      </c>
      <c r="E62" s="56" t="s">
        <v>30</v>
      </c>
      <c r="F62" s="55" t="s">
        <v>186</v>
      </c>
      <c r="G62" s="56" t="s">
        <v>187</v>
      </c>
      <c r="H62" s="55" t="s">
        <v>24</v>
      </c>
      <c r="I62" s="56" t="s">
        <v>187</v>
      </c>
      <c r="J62" s="55" t="s">
        <v>187</v>
      </c>
      <c r="K62" s="35"/>
      <c r="L62" s="36" t="s">
        <v>193</v>
      </c>
      <c r="M62" s="37"/>
      <c r="N62" s="37"/>
      <c r="O62" s="38" t="s">
        <v>187</v>
      </c>
      <c r="P62" s="38"/>
      <c r="Q62" s="39"/>
      <c r="R62" s="39"/>
      <c r="S62" s="47"/>
      <c r="T62" s="47"/>
      <c r="U62" s="47"/>
      <c r="V62" s="47"/>
      <c r="W62" s="47"/>
      <c r="X62" s="47"/>
      <c r="Y62" s="47"/>
      <c r="Z62" s="48"/>
    </row>
    <row r="63" ht="55.5" customHeight="1">
      <c r="A63" s="17" t="str">
        <f>HYPERLINK("http://purl.obolibrary.org/obo/OBI_0000630","http://purl.obolibrary.org/obo/OBI_0000630")</f>
        <v>http://purl.obolibrary.org/obo/OBI_0000630</v>
      </c>
      <c r="B63" s="18" t="s">
        <v>194</v>
      </c>
      <c r="C63" s="19" t="s">
        <v>195</v>
      </c>
      <c r="D63" s="18" t="s">
        <v>45</v>
      </c>
      <c r="E63" s="20" t="s">
        <v>30</v>
      </c>
      <c r="F63" s="18" t="s">
        <v>19</v>
      </c>
      <c r="G63" s="20"/>
      <c r="H63" s="18" t="s">
        <v>24</v>
      </c>
      <c r="I63" s="20"/>
      <c r="J63" s="18" t="s">
        <v>196</v>
      </c>
      <c r="K63" s="18"/>
      <c r="L63" s="20"/>
      <c r="M63" s="21"/>
      <c r="N63" s="21"/>
      <c r="O63" s="22"/>
      <c r="P63" s="22"/>
      <c r="Q63" s="23"/>
      <c r="R63" s="23"/>
      <c r="S63" s="24"/>
      <c r="T63" s="24"/>
      <c r="U63" s="24"/>
      <c r="V63" s="24"/>
      <c r="W63" s="24"/>
      <c r="X63" s="24"/>
      <c r="Y63" s="24"/>
      <c r="Z63" s="25"/>
    </row>
    <row r="64" ht="139.5" customHeight="1">
      <c r="A64" s="26" t="str">
        <f>A63</f>
        <v>http://purl.obolibrary.org/obo/OBI_0000630</v>
      </c>
      <c r="B64" s="27"/>
      <c r="C64" s="27"/>
      <c r="D64" s="27"/>
      <c r="E64" s="27"/>
      <c r="F64" s="27"/>
      <c r="G64" s="27"/>
      <c r="H64" s="28" t="s">
        <v>31</v>
      </c>
      <c r="I64" s="27"/>
      <c r="J64" s="28" t="s">
        <v>197</v>
      </c>
      <c r="K64" s="28" t="s">
        <v>198</v>
      </c>
      <c r="L64" s="27"/>
      <c r="M64" s="29"/>
      <c r="N64" s="29"/>
      <c r="O64" s="27"/>
      <c r="P64" s="30"/>
      <c r="Q64" s="31"/>
      <c r="R64" s="31"/>
      <c r="S64" s="32"/>
      <c r="T64" s="32"/>
      <c r="U64" s="32"/>
      <c r="V64" s="32"/>
      <c r="W64" s="32"/>
      <c r="X64" s="32"/>
      <c r="Y64" s="32"/>
      <c r="Z64" s="33"/>
    </row>
    <row r="65" ht="13.5" customHeight="1">
      <c r="A65" s="34" t="s">
        <v>199</v>
      </c>
      <c r="B65" s="35" t="s">
        <v>194</v>
      </c>
      <c r="C65" s="36" t="s">
        <v>200</v>
      </c>
      <c r="D65" s="35" t="s">
        <v>45</v>
      </c>
      <c r="E65" s="36" t="s">
        <v>30</v>
      </c>
      <c r="F65" s="35" t="s">
        <v>19</v>
      </c>
      <c r="G65" s="36"/>
      <c r="H65" s="35" t="s">
        <v>24</v>
      </c>
      <c r="I65" s="36"/>
      <c r="J65" s="35" t="s">
        <v>196</v>
      </c>
      <c r="K65" s="35"/>
      <c r="L65" s="36"/>
      <c r="M65" s="37"/>
      <c r="N65" s="37"/>
      <c r="O65" s="38"/>
      <c r="P65" s="38"/>
      <c r="Q65" s="39"/>
      <c r="R65" s="39"/>
      <c r="S65" s="40"/>
      <c r="T65" s="40"/>
      <c r="U65" s="40"/>
      <c r="V65" s="40"/>
      <c r="W65" s="40"/>
      <c r="X65" s="40"/>
      <c r="Y65" s="40"/>
      <c r="Z65" s="41"/>
    </row>
    <row r="66" ht="42.0" customHeight="1">
      <c r="A66" s="17" t="str">
        <f>HYPERLINK("http://purl.obolibrary.org/obo/OBI_0000634","http://purl.obolibrary.org/obo/OBI_0000634")</f>
        <v>http://purl.obolibrary.org/obo/OBI_0000634</v>
      </c>
      <c r="B66" s="18" t="s">
        <v>201</v>
      </c>
      <c r="C66" s="20" t="s">
        <v>202</v>
      </c>
      <c r="D66" s="18" t="s">
        <v>45</v>
      </c>
      <c r="E66" s="20" t="s">
        <v>30</v>
      </c>
      <c r="F66" s="18" t="s">
        <v>203</v>
      </c>
      <c r="G66" s="20" t="s">
        <v>204</v>
      </c>
      <c r="H66" s="18" t="s">
        <v>205</v>
      </c>
      <c r="I66" s="20" t="s">
        <v>104</v>
      </c>
      <c r="J66" s="18" t="s">
        <v>204</v>
      </c>
      <c r="K66" s="18"/>
      <c r="L66" s="20"/>
      <c r="M66" s="21" t="s">
        <v>104</v>
      </c>
      <c r="N66" s="21"/>
      <c r="O66" s="22"/>
      <c r="P66" s="22"/>
      <c r="Q66" s="23" t="s">
        <v>106</v>
      </c>
      <c r="R66" s="23"/>
      <c r="S66" s="43"/>
      <c r="T66" s="43"/>
      <c r="U66" s="43"/>
      <c r="V66" s="43"/>
      <c r="W66" s="43"/>
      <c r="X66" s="43"/>
      <c r="Y66" s="43"/>
      <c r="Z66" s="44"/>
    </row>
    <row r="67" ht="13.5" customHeight="1">
      <c r="A67" s="26" t="str">
        <f>A66</f>
        <v>http://purl.obolibrary.org/obo/OBI_0000634</v>
      </c>
      <c r="B67" s="27"/>
      <c r="C67" s="42" t="s">
        <v>206</v>
      </c>
      <c r="D67" s="27"/>
      <c r="E67" s="27"/>
      <c r="F67" s="27"/>
      <c r="G67" s="27"/>
      <c r="H67" s="28" t="s">
        <v>207</v>
      </c>
      <c r="I67" s="49" t="s">
        <v>108</v>
      </c>
      <c r="J67" s="28" t="s">
        <v>208</v>
      </c>
      <c r="K67" s="28" t="s">
        <v>209</v>
      </c>
      <c r="L67" s="27"/>
      <c r="M67" s="29"/>
      <c r="N67" s="29"/>
      <c r="O67" s="27"/>
      <c r="P67" s="30"/>
      <c r="Q67" s="31"/>
      <c r="R67" s="31" t="s">
        <v>98</v>
      </c>
      <c r="S67" s="45"/>
      <c r="T67" s="45"/>
      <c r="U67" s="45"/>
      <c r="V67" s="45"/>
      <c r="W67" s="45"/>
      <c r="X67" s="45"/>
      <c r="Y67" s="45"/>
      <c r="Z67" s="46"/>
    </row>
    <row r="68" ht="84.0" customHeight="1">
      <c r="A68" s="34" t="s">
        <v>210</v>
      </c>
      <c r="B68" s="35" t="s">
        <v>201</v>
      </c>
      <c r="C68" s="36" t="s">
        <v>202</v>
      </c>
      <c r="D68" s="35" t="s">
        <v>45</v>
      </c>
      <c r="E68" s="36" t="s">
        <v>30</v>
      </c>
      <c r="F68" s="35" t="s">
        <v>67</v>
      </c>
      <c r="G68" s="36" t="s">
        <v>204</v>
      </c>
      <c r="H68" s="35" t="s">
        <v>205</v>
      </c>
      <c r="I68" s="36" t="s">
        <v>104</v>
      </c>
      <c r="J68" s="35" t="s">
        <v>204</v>
      </c>
      <c r="K68" s="35"/>
      <c r="L68" s="36"/>
      <c r="M68" s="37"/>
      <c r="N68" s="37"/>
      <c r="O68" s="38"/>
      <c r="P68" s="38"/>
      <c r="Q68" s="39"/>
      <c r="R68" s="39" t="s">
        <v>112</v>
      </c>
      <c r="S68" s="47"/>
      <c r="T68" s="47"/>
      <c r="U68" s="47"/>
      <c r="V68" s="47"/>
      <c r="W68" s="47"/>
      <c r="X68" s="47"/>
      <c r="Y68" s="47"/>
      <c r="Z68" s="48"/>
    </row>
    <row r="69" ht="27.75" customHeight="1">
      <c r="A69" s="17" t="str">
        <f>HYPERLINK("http://purl.obolibrary.org/obo/OBI_0000693","http://purl.obolibrary.org/obo/OBI_0000693")</f>
        <v>http://purl.obolibrary.org/obo/OBI_0000693</v>
      </c>
      <c r="B69" s="18" t="s">
        <v>211</v>
      </c>
      <c r="C69" s="20" t="s">
        <v>212</v>
      </c>
      <c r="D69" s="18" t="s">
        <v>45</v>
      </c>
      <c r="E69" s="20" t="s">
        <v>30</v>
      </c>
      <c r="F69" s="18" t="s">
        <v>213</v>
      </c>
      <c r="G69" s="20"/>
      <c r="H69" s="18" t="s">
        <v>24</v>
      </c>
      <c r="I69" s="20" t="s">
        <v>214</v>
      </c>
      <c r="J69" s="18" t="s">
        <v>215</v>
      </c>
      <c r="K69" s="18"/>
      <c r="L69" s="20"/>
      <c r="M69" s="21" t="s">
        <v>216</v>
      </c>
      <c r="N69" s="21"/>
      <c r="O69" s="22" t="s">
        <v>214</v>
      </c>
      <c r="P69" s="22"/>
      <c r="Q69" s="23"/>
      <c r="R69" s="23"/>
      <c r="S69" s="24"/>
      <c r="T69" s="24"/>
      <c r="U69" s="24"/>
      <c r="V69" s="24"/>
      <c r="W69" s="24"/>
      <c r="X69" s="24"/>
      <c r="Y69" s="24"/>
      <c r="Z69" s="25"/>
    </row>
    <row r="70" ht="42.0" customHeight="1">
      <c r="A70" s="26" t="str">
        <f>A69</f>
        <v>http://purl.obolibrary.org/obo/OBI_0000693</v>
      </c>
      <c r="B70" s="27"/>
      <c r="C70" s="42" t="s">
        <v>217</v>
      </c>
      <c r="D70" s="27"/>
      <c r="E70" s="27"/>
      <c r="F70" s="27"/>
      <c r="G70" s="27"/>
      <c r="H70" s="52" t="s">
        <v>31</v>
      </c>
      <c r="I70" s="53" t="s">
        <v>189</v>
      </c>
      <c r="J70" s="57" t="s">
        <v>218</v>
      </c>
      <c r="K70" s="28" t="s">
        <v>219</v>
      </c>
      <c r="L70" s="27"/>
      <c r="M70" s="29" t="s">
        <v>220</v>
      </c>
      <c r="N70" s="29"/>
      <c r="O70" s="27"/>
      <c r="P70" s="30"/>
      <c r="Q70" s="31"/>
      <c r="R70" s="31"/>
      <c r="S70" s="32"/>
      <c r="T70" s="32"/>
      <c r="U70" s="32"/>
      <c r="V70" s="32"/>
      <c r="W70" s="32"/>
      <c r="X70" s="32"/>
      <c r="Y70" s="32"/>
      <c r="Z70" s="33"/>
    </row>
    <row r="71" ht="12.75" customHeight="1">
      <c r="A71" s="54" t="s">
        <v>221</v>
      </c>
      <c r="B71" s="55" t="s">
        <v>211</v>
      </c>
      <c r="C71" s="56" t="s">
        <v>212</v>
      </c>
      <c r="D71" s="55" t="s">
        <v>45</v>
      </c>
      <c r="E71" s="56" t="s">
        <v>30</v>
      </c>
      <c r="F71" s="55" t="s">
        <v>222</v>
      </c>
      <c r="G71" s="56"/>
      <c r="H71" s="55" t="s">
        <v>24</v>
      </c>
      <c r="I71" s="56" t="s">
        <v>214</v>
      </c>
      <c r="J71" s="55" t="s">
        <v>223</v>
      </c>
      <c r="K71" s="35"/>
      <c r="L71" s="36"/>
      <c r="M71" s="37" t="s">
        <v>224</v>
      </c>
      <c r="N71" s="37"/>
      <c r="O71" s="38" t="s">
        <v>214</v>
      </c>
      <c r="P71" s="38"/>
      <c r="Q71" s="39"/>
      <c r="R71" s="39"/>
      <c r="S71" s="40"/>
      <c r="T71" s="40"/>
      <c r="U71" s="40"/>
      <c r="V71" s="40"/>
      <c r="W71" s="40"/>
      <c r="X71" s="40"/>
      <c r="Y71" s="40"/>
      <c r="Z71" s="41"/>
    </row>
    <row r="72" ht="69.75" customHeight="1">
      <c r="A72" s="17" t="str">
        <f>HYPERLINK("http://purl.obolibrary.org/obo/OBI_0000695","http://purl.obolibrary.org/obo/OBI_0000695")</f>
        <v>http://purl.obolibrary.org/obo/OBI_0000695</v>
      </c>
      <c r="B72" s="18" t="s">
        <v>225</v>
      </c>
      <c r="C72" s="20" t="s">
        <v>226</v>
      </c>
      <c r="D72" s="18" t="s">
        <v>45</v>
      </c>
      <c r="E72" s="20" t="s">
        <v>30</v>
      </c>
      <c r="F72" s="18" t="s">
        <v>227</v>
      </c>
      <c r="G72" s="20"/>
      <c r="H72" s="18"/>
      <c r="I72" s="20" t="s">
        <v>228</v>
      </c>
      <c r="J72" s="18"/>
      <c r="K72" s="18"/>
      <c r="L72" s="20"/>
      <c r="M72" s="21"/>
      <c r="N72" s="21"/>
      <c r="O72" s="22"/>
      <c r="P72" s="22"/>
      <c r="Q72" s="23"/>
      <c r="R72" s="23"/>
      <c r="S72" s="43"/>
      <c r="T72" s="43"/>
      <c r="U72" s="43"/>
      <c r="V72" s="43"/>
      <c r="W72" s="43"/>
      <c r="X72" s="43"/>
      <c r="Y72" s="43"/>
      <c r="Z72" s="44"/>
    </row>
    <row r="73" ht="27.75" customHeight="1">
      <c r="A73" s="26" t="str">
        <f>A72</f>
        <v>http://purl.obolibrary.org/obo/OBI_0000695</v>
      </c>
      <c r="B73" s="27"/>
      <c r="C73" s="42" t="s">
        <v>229</v>
      </c>
      <c r="D73" s="27"/>
      <c r="E73" s="27"/>
      <c r="F73" s="27"/>
      <c r="G73" s="27"/>
      <c r="H73" s="28"/>
      <c r="I73" s="58" t="s">
        <v>230</v>
      </c>
      <c r="J73" s="28"/>
      <c r="K73" s="28"/>
      <c r="L73" s="49" t="s">
        <v>231</v>
      </c>
      <c r="M73" s="29"/>
      <c r="N73" s="29"/>
      <c r="O73" s="27"/>
      <c r="P73" s="30"/>
      <c r="Q73" s="31"/>
      <c r="R73" s="31"/>
      <c r="S73" s="45"/>
      <c r="T73" s="45"/>
      <c r="U73" s="45"/>
      <c r="V73" s="45"/>
      <c r="W73" s="45"/>
      <c r="X73" s="45"/>
      <c r="Y73" s="45"/>
      <c r="Z73" s="46"/>
    </row>
    <row r="74" ht="84.0" customHeight="1">
      <c r="A74" s="54" t="s">
        <v>232</v>
      </c>
      <c r="B74" s="55" t="s">
        <v>225</v>
      </c>
      <c r="C74" s="56" t="s">
        <v>226</v>
      </c>
      <c r="D74" s="55" t="s">
        <v>45</v>
      </c>
      <c r="E74" s="56" t="s">
        <v>30</v>
      </c>
      <c r="F74" s="55" t="s">
        <v>227</v>
      </c>
      <c r="G74" s="56"/>
      <c r="H74" s="56"/>
      <c r="I74" s="56" t="s">
        <v>228</v>
      </c>
      <c r="J74" s="55"/>
      <c r="K74" s="35"/>
      <c r="L74" s="36" t="s">
        <v>233</v>
      </c>
      <c r="M74" s="37"/>
      <c r="N74" s="37"/>
      <c r="O74" s="38"/>
      <c r="P74" s="38"/>
      <c r="Q74" s="39"/>
      <c r="R74" s="39"/>
      <c r="S74" s="47"/>
      <c r="T74" s="47"/>
      <c r="U74" s="47"/>
      <c r="V74" s="47"/>
      <c r="W74" s="47"/>
      <c r="X74" s="47"/>
      <c r="Y74" s="47"/>
      <c r="Z74" s="48"/>
    </row>
    <row r="75" ht="27.75" customHeight="1">
      <c r="A75" s="17" t="str">
        <f>HYPERLINK("http://purl.obolibrary.org/obo/OBI_0000697","http://purl.obolibrary.org/obo/OBI_0000697")</f>
        <v>http://purl.obolibrary.org/obo/OBI_0000697</v>
      </c>
      <c r="B75" s="18" t="s">
        <v>234</v>
      </c>
      <c r="C75" s="19" t="s">
        <v>235</v>
      </c>
      <c r="D75" s="18" t="s">
        <v>45</v>
      </c>
      <c r="E75" s="20" t="s">
        <v>30</v>
      </c>
      <c r="F75" s="18" t="s">
        <v>227</v>
      </c>
      <c r="G75" s="20"/>
      <c r="H75" s="18"/>
      <c r="I75" s="20"/>
      <c r="J75" s="18"/>
      <c r="K75" s="18"/>
      <c r="L75" s="20"/>
      <c r="M75" s="21"/>
      <c r="N75" s="21"/>
      <c r="O75" s="22"/>
      <c r="P75" s="22"/>
      <c r="Q75" s="23"/>
      <c r="R75" s="23"/>
      <c r="S75" s="24"/>
      <c r="T75" s="24"/>
      <c r="U75" s="24"/>
      <c r="V75" s="24"/>
      <c r="W75" s="24"/>
      <c r="X75" s="24"/>
      <c r="Y75" s="24"/>
      <c r="Z75" s="25"/>
    </row>
    <row r="76" ht="55.5" customHeight="1">
      <c r="A76" s="26" t="str">
        <f>A75</f>
        <v>http://purl.obolibrary.org/obo/OBI_0000697</v>
      </c>
      <c r="B76" s="27"/>
      <c r="C76" s="42" t="s">
        <v>236</v>
      </c>
      <c r="D76" s="27"/>
      <c r="E76" s="27"/>
      <c r="F76" s="27"/>
      <c r="G76" s="27"/>
      <c r="H76" s="28"/>
      <c r="I76" s="27"/>
      <c r="J76" s="28"/>
      <c r="K76" s="28"/>
      <c r="L76" s="49" t="s">
        <v>237</v>
      </c>
      <c r="M76" s="29"/>
      <c r="N76" s="29"/>
      <c r="O76" s="27"/>
      <c r="P76" s="30"/>
      <c r="Q76" s="31"/>
      <c r="R76" s="31"/>
      <c r="S76" s="32"/>
      <c r="T76" s="32"/>
      <c r="U76" s="32"/>
      <c r="V76" s="32"/>
      <c r="W76" s="32"/>
      <c r="X76" s="32"/>
      <c r="Y76" s="32"/>
      <c r="Z76" s="33"/>
    </row>
    <row r="77" ht="13.5" customHeight="1">
      <c r="A77" s="54" t="s">
        <v>238</v>
      </c>
      <c r="B77" s="55" t="s">
        <v>234</v>
      </c>
      <c r="C77" s="56" t="s">
        <v>239</v>
      </c>
      <c r="D77" s="55" t="s">
        <v>45</v>
      </c>
      <c r="E77" s="56" t="s">
        <v>30</v>
      </c>
      <c r="F77" s="55" t="s">
        <v>227</v>
      </c>
      <c r="G77" s="56"/>
      <c r="H77" s="56"/>
      <c r="I77" s="56"/>
      <c r="J77" s="55"/>
      <c r="K77" s="35"/>
      <c r="L77" s="36" t="s">
        <v>240</v>
      </c>
      <c r="M77" s="37"/>
      <c r="N77" s="37"/>
      <c r="O77" s="38"/>
      <c r="P77" s="38"/>
      <c r="Q77" s="39"/>
      <c r="R77" s="39"/>
      <c r="S77" s="40"/>
      <c r="T77" s="40"/>
      <c r="U77" s="40"/>
      <c r="V77" s="40"/>
      <c r="W77" s="40"/>
      <c r="X77" s="40"/>
      <c r="Y77" s="40"/>
      <c r="Z77" s="41"/>
    </row>
    <row r="78" ht="55.5" customHeight="1">
      <c r="A78" s="17" t="str">
        <f>HYPERLINK("http://purl.obolibrary.org/obo/OBI_0000699","http://purl.obolibrary.org/obo/OBI_0000699")</f>
        <v>http://purl.obolibrary.org/obo/OBI_0000699</v>
      </c>
      <c r="B78" s="18" t="s">
        <v>241</v>
      </c>
      <c r="C78" s="19" t="s">
        <v>242</v>
      </c>
      <c r="D78" s="18"/>
      <c r="E78" s="20" t="s">
        <v>30</v>
      </c>
      <c r="F78" s="18" t="s">
        <v>19</v>
      </c>
      <c r="G78" s="20"/>
      <c r="H78" s="18" t="s">
        <v>24</v>
      </c>
      <c r="I78" s="20" t="s">
        <v>243</v>
      </c>
      <c r="J78" s="18" t="s">
        <v>244</v>
      </c>
      <c r="K78" s="18"/>
      <c r="L78" s="20"/>
      <c r="M78" s="21"/>
      <c r="N78" s="21"/>
      <c r="O78" s="22"/>
      <c r="P78" s="22"/>
      <c r="Q78" s="23"/>
      <c r="R78" s="23"/>
      <c r="S78" s="43"/>
      <c r="T78" s="43"/>
      <c r="U78" s="43"/>
      <c r="V78" s="43"/>
      <c r="W78" s="43"/>
      <c r="X78" s="43"/>
      <c r="Y78" s="43"/>
      <c r="Z78" s="44"/>
    </row>
    <row r="79" ht="13.5" customHeight="1">
      <c r="A79" s="26" t="str">
        <f>A78</f>
        <v>http://purl.obolibrary.org/obo/OBI_0000699</v>
      </c>
      <c r="B79" s="27"/>
      <c r="C79" s="27"/>
      <c r="D79" s="27"/>
      <c r="E79" s="27"/>
      <c r="F79" s="27"/>
      <c r="G79" s="27"/>
      <c r="H79" s="28" t="s">
        <v>31</v>
      </c>
      <c r="I79" s="49" t="s">
        <v>245</v>
      </c>
      <c r="J79" s="28" t="s">
        <v>246</v>
      </c>
      <c r="K79" s="28" t="s">
        <v>245</v>
      </c>
      <c r="L79" s="27"/>
      <c r="M79" s="29"/>
      <c r="N79" s="29"/>
      <c r="O79" s="27"/>
      <c r="P79" s="30"/>
      <c r="Q79" s="31"/>
      <c r="R79" s="31"/>
      <c r="S79" s="45"/>
      <c r="T79" s="45"/>
      <c r="U79" s="45"/>
      <c r="V79" s="45"/>
      <c r="W79" s="45"/>
      <c r="X79" s="45"/>
      <c r="Y79" s="45"/>
      <c r="Z79" s="46"/>
    </row>
    <row r="80" ht="42.0" customHeight="1">
      <c r="A80" s="34" t="s">
        <v>247</v>
      </c>
      <c r="B80" s="35" t="s">
        <v>241</v>
      </c>
      <c r="C80" s="36" t="s">
        <v>248</v>
      </c>
      <c r="D80" s="36"/>
      <c r="E80" s="36" t="s">
        <v>30</v>
      </c>
      <c r="F80" s="35" t="s">
        <v>19</v>
      </c>
      <c r="G80" s="36"/>
      <c r="H80" s="35" t="s">
        <v>24</v>
      </c>
      <c r="I80" s="36" t="s">
        <v>243</v>
      </c>
      <c r="J80" s="35" t="s">
        <v>244</v>
      </c>
      <c r="K80" s="35"/>
      <c r="L80" s="36"/>
      <c r="M80" s="37"/>
      <c r="N80" s="37"/>
      <c r="O80" s="38"/>
      <c r="P80" s="38"/>
      <c r="Q80" s="39"/>
      <c r="R80" s="39"/>
      <c r="S80" s="47"/>
      <c r="T80" s="47"/>
      <c r="U80" s="47"/>
      <c r="V80" s="47"/>
      <c r="W80" s="47"/>
      <c r="X80" s="47"/>
      <c r="Y80" s="47"/>
      <c r="Z80" s="48"/>
    </row>
    <row r="81" ht="195.75" customHeight="1">
      <c r="A81" s="17" t="str">
        <f>HYPERLINK("http://purl.obolibrary.org/obo/OBI_0000706","http://purl.obolibrary.org/obo/OBI_0000706")</f>
        <v>http://purl.obolibrary.org/obo/OBI_0000706</v>
      </c>
      <c r="B81" s="18" t="s">
        <v>249</v>
      </c>
      <c r="C81" s="19" t="s">
        <v>250</v>
      </c>
      <c r="D81" s="18" t="s">
        <v>45</v>
      </c>
      <c r="E81" s="20" t="s">
        <v>30</v>
      </c>
      <c r="F81" s="18" t="s">
        <v>251</v>
      </c>
      <c r="G81" s="20"/>
      <c r="H81" s="18"/>
      <c r="I81" s="20" t="s">
        <v>252</v>
      </c>
      <c r="J81" s="18"/>
      <c r="K81" s="18"/>
      <c r="L81" s="20"/>
      <c r="M81" s="21"/>
      <c r="N81" s="21"/>
      <c r="O81" s="22"/>
      <c r="P81" s="22"/>
      <c r="Q81" s="23"/>
      <c r="R81" s="23"/>
      <c r="S81" s="43"/>
      <c r="T81" s="43"/>
      <c r="U81" s="43"/>
      <c r="V81" s="43"/>
      <c r="W81" s="43"/>
      <c r="X81" s="43"/>
      <c r="Y81" s="43"/>
      <c r="Z81" s="44"/>
    </row>
    <row r="82" ht="27.75" customHeight="1">
      <c r="A82" s="26" t="str">
        <f>A81</f>
        <v>http://purl.obolibrary.org/obo/OBI_0000706</v>
      </c>
      <c r="B82" s="27"/>
      <c r="C82" s="27"/>
      <c r="D82" s="27"/>
      <c r="E82" s="27"/>
      <c r="F82" s="27"/>
      <c r="G82" s="27"/>
      <c r="H82" s="28"/>
      <c r="I82" s="58" t="s">
        <v>253</v>
      </c>
      <c r="J82" s="28"/>
      <c r="K82" s="28"/>
      <c r="L82" s="49" t="s">
        <v>254</v>
      </c>
      <c r="M82" s="29"/>
      <c r="N82" s="29"/>
      <c r="O82" s="27"/>
      <c r="P82" s="30"/>
      <c r="Q82" s="31"/>
      <c r="R82" s="31"/>
      <c r="S82" s="45"/>
      <c r="T82" s="45"/>
      <c r="U82" s="45"/>
      <c r="V82" s="45"/>
      <c r="W82" s="45"/>
      <c r="X82" s="45"/>
      <c r="Y82" s="45"/>
      <c r="Z82" s="46"/>
    </row>
    <row r="83" ht="69.75" customHeight="1">
      <c r="A83" s="54" t="s">
        <v>255</v>
      </c>
      <c r="B83" s="55" t="s">
        <v>249</v>
      </c>
      <c r="C83" s="56" t="s">
        <v>256</v>
      </c>
      <c r="D83" s="55" t="s">
        <v>45</v>
      </c>
      <c r="E83" s="56" t="s">
        <v>30</v>
      </c>
      <c r="F83" s="55" t="s">
        <v>251</v>
      </c>
      <c r="G83" s="56"/>
      <c r="H83" s="56"/>
      <c r="I83" s="56" t="s">
        <v>252</v>
      </c>
      <c r="J83" s="55"/>
      <c r="K83" s="35"/>
      <c r="L83" s="36" t="s">
        <v>257</v>
      </c>
      <c r="M83" s="37"/>
      <c r="N83" s="37"/>
      <c r="O83" s="38"/>
      <c r="P83" s="38"/>
      <c r="Q83" s="39"/>
      <c r="R83" s="39"/>
      <c r="S83" s="47"/>
      <c r="T83" s="47"/>
      <c r="U83" s="47"/>
      <c r="V83" s="47"/>
      <c r="W83" s="47"/>
      <c r="X83" s="47"/>
      <c r="Y83" s="47"/>
      <c r="Z83" s="48"/>
    </row>
    <row r="84" ht="27.75" customHeight="1">
      <c r="A84" s="17" t="str">
        <f>HYPERLINK("http://purl.obolibrary.org/obo/OBI_0000716","http://purl.obolibrary.org/obo/OBI_0000716")</f>
        <v>http://purl.obolibrary.org/obo/OBI_0000716</v>
      </c>
      <c r="B84" s="18" t="s">
        <v>258</v>
      </c>
      <c r="C84" s="20" t="s">
        <v>259</v>
      </c>
      <c r="D84" s="18" t="s">
        <v>45</v>
      </c>
      <c r="E84" s="20" t="s">
        <v>30</v>
      </c>
      <c r="F84" s="18" t="s">
        <v>260</v>
      </c>
      <c r="G84" s="20"/>
      <c r="H84" s="18" t="s">
        <v>261</v>
      </c>
      <c r="I84" s="20" t="s">
        <v>262</v>
      </c>
      <c r="J84" s="18" t="s">
        <v>263</v>
      </c>
      <c r="K84" s="18"/>
      <c r="L84" s="20"/>
      <c r="M84" s="21" t="s">
        <v>264</v>
      </c>
      <c r="N84" s="21"/>
      <c r="O84" s="22"/>
      <c r="P84" s="22"/>
      <c r="Q84" s="23" t="s">
        <v>106</v>
      </c>
      <c r="R84" s="23"/>
      <c r="S84" s="24"/>
      <c r="T84" s="24"/>
      <c r="U84" s="24"/>
      <c r="V84" s="24"/>
      <c r="W84" s="24"/>
      <c r="X84" s="24"/>
      <c r="Y84" s="24"/>
      <c r="Z84" s="25"/>
    </row>
    <row r="85" ht="69.75" customHeight="1">
      <c r="A85" s="26" t="str">
        <f>A84</f>
        <v>http://purl.obolibrary.org/obo/OBI_0000716</v>
      </c>
      <c r="B85" s="27"/>
      <c r="C85" s="42" t="s">
        <v>265</v>
      </c>
      <c r="D85" s="27"/>
      <c r="E85" s="27"/>
      <c r="F85" s="27"/>
      <c r="G85" s="27"/>
      <c r="H85" s="52" t="s">
        <v>266</v>
      </c>
      <c r="I85" s="58" t="s">
        <v>267</v>
      </c>
      <c r="J85" s="52" t="s">
        <v>268</v>
      </c>
      <c r="K85" s="28" t="s">
        <v>269</v>
      </c>
      <c r="L85" s="49" t="s">
        <v>191</v>
      </c>
      <c r="M85" s="29" t="s">
        <v>270</v>
      </c>
      <c r="N85" s="29"/>
      <c r="O85" s="27"/>
      <c r="P85" s="30"/>
      <c r="Q85" s="31"/>
      <c r="R85" s="31" t="s">
        <v>98</v>
      </c>
      <c r="S85" s="32"/>
      <c r="T85" s="32"/>
      <c r="U85" s="32"/>
      <c r="V85" s="32"/>
      <c r="W85" s="32"/>
      <c r="X85" s="32"/>
      <c r="Y85" s="32"/>
      <c r="Z85" s="33"/>
    </row>
    <row r="86" ht="27.75" customHeight="1">
      <c r="A86" s="54" t="s">
        <v>271</v>
      </c>
      <c r="B86" s="55" t="s">
        <v>258</v>
      </c>
      <c r="C86" s="56" t="s">
        <v>272</v>
      </c>
      <c r="D86" s="55" t="s">
        <v>45</v>
      </c>
      <c r="E86" s="56" t="s">
        <v>30</v>
      </c>
      <c r="F86" s="55" t="s">
        <v>273</v>
      </c>
      <c r="G86" s="56"/>
      <c r="H86" s="55" t="s">
        <v>261</v>
      </c>
      <c r="I86" s="56" t="s">
        <v>262</v>
      </c>
      <c r="J86" s="55" t="s">
        <v>274</v>
      </c>
      <c r="K86" s="35"/>
      <c r="L86" s="36" t="s">
        <v>193</v>
      </c>
      <c r="M86" s="37" t="s">
        <v>275</v>
      </c>
      <c r="N86" s="37"/>
      <c r="O86" s="38"/>
      <c r="P86" s="38"/>
      <c r="Q86" s="39"/>
      <c r="R86" s="39" t="s">
        <v>112</v>
      </c>
      <c r="S86" s="40"/>
      <c r="T86" s="40"/>
      <c r="U86" s="40"/>
      <c r="V86" s="40"/>
      <c r="W86" s="40"/>
      <c r="X86" s="40"/>
      <c r="Y86" s="40"/>
      <c r="Z86" s="41"/>
    </row>
    <row r="87" ht="84.0" customHeight="1">
      <c r="A87" s="17" t="str">
        <f>HYPERLINK("http://purl.obolibrary.org/obo/OBI_0000721","http://purl.obolibrary.org/obo/OBI_0000721")</f>
        <v>http://purl.obolibrary.org/obo/OBI_0000721</v>
      </c>
      <c r="B87" s="18" t="s">
        <v>276</v>
      </c>
      <c r="C87" s="19" t="s">
        <v>277</v>
      </c>
      <c r="D87" s="18" t="s">
        <v>45</v>
      </c>
      <c r="E87" s="20" t="s">
        <v>30</v>
      </c>
      <c r="F87" s="18" t="s">
        <v>19</v>
      </c>
      <c r="G87" s="20"/>
      <c r="H87" s="18" t="s">
        <v>278</v>
      </c>
      <c r="I87" s="20" t="s">
        <v>279</v>
      </c>
      <c r="J87" s="18" t="s">
        <v>280</v>
      </c>
      <c r="K87" s="18"/>
      <c r="L87" s="20"/>
      <c r="M87" s="21" t="s">
        <v>281</v>
      </c>
      <c r="N87" s="21"/>
      <c r="O87" s="22"/>
      <c r="P87" s="22"/>
      <c r="Q87" s="23"/>
      <c r="R87" s="23"/>
      <c r="S87" s="43"/>
      <c r="T87" s="43"/>
      <c r="U87" s="43"/>
      <c r="V87" s="43"/>
      <c r="W87" s="43"/>
      <c r="X87" s="43"/>
      <c r="Y87" s="43"/>
      <c r="Z87" s="44"/>
    </row>
    <row r="88" ht="12.75" customHeight="1">
      <c r="A88" s="26" t="str">
        <f>A87</f>
        <v>http://purl.obolibrary.org/obo/OBI_0000721</v>
      </c>
      <c r="B88" s="27"/>
      <c r="C88" s="27"/>
      <c r="D88" s="27"/>
      <c r="E88" s="27"/>
      <c r="F88" s="27"/>
      <c r="G88" s="27"/>
      <c r="H88" s="28" t="s">
        <v>282</v>
      </c>
      <c r="I88" s="42" t="s">
        <v>283</v>
      </c>
      <c r="J88" s="28" t="s">
        <v>284</v>
      </c>
      <c r="K88" s="28"/>
      <c r="L88" s="27"/>
      <c r="M88" s="29" t="s">
        <v>285</v>
      </c>
      <c r="N88" s="29"/>
      <c r="O88" s="27"/>
      <c r="P88" s="30"/>
      <c r="Q88" s="31"/>
      <c r="R88" s="31"/>
      <c r="S88" s="45"/>
      <c r="T88" s="45"/>
      <c r="U88" s="45"/>
      <c r="V88" s="45"/>
      <c r="W88" s="45"/>
      <c r="X88" s="45"/>
      <c r="Y88" s="45"/>
      <c r="Z88" s="46"/>
    </row>
    <row r="89" ht="84.0" customHeight="1">
      <c r="A89" s="34" t="s">
        <v>286</v>
      </c>
      <c r="B89" s="35" t="s">
        <v>276</v>
      </c>
      <c r="C89" s="36" t="s">
        <v>287</v>
      </c>
      <c r="D89" s="35" t="s">
        <v>45</v>
      </c>
      <c r="E89" s="36" t="s">
        <v>30</v>
      </c>
      <c r="F89" s="35" t="s">
        <v>19</v>
      </c>
      <c r="G89" s="36"/>
      <c r="H89" s="35" t="s">
        <v>278</v>
      </c>
      <c r="I89" s="36" t="s">
        <v>288</v>
      </c>
      <c r="J89" s="35" t="s">
        <v>289</v>
      </c>
      <c r="K89" s="35"/>
      <c r="L89" s="36"/>
      <c r="M89" s="37" t="s">
        <v>290</v>
      </c>
      <c r="N89" s="37"/>
      <c r="O89" s="38"/>
      <c r="P89" s="38"/>
      <c r="Q89" s="39"/>
      <c r="R89" s="39"/>
      <c r="S89" s="47"/>
      <c r="T89" s="47"/>
      <c r="U89" s="47"/>
      <c r="V89" s="47"/>
      <c r="W89" s="47"/>
      <c r="X89" s="47"/>
      <c r="Y89" s="47"/>
      <c r="Z89" s="48"/>
    </row>
    <row r="90" ht="27.75" customHeight="1">
      <c r="A90" s="17" t="str">
        <f>HYPERLINK("http://purl.obolibrary.org/obo/OBI_0000723","http://purl.obolibrary.org/obo/OBI_0000723")</f>
        <v>http://purl.obolibrary.org/obo/OBI_0000723</v>
      </c>
      <c r="B90" s="18" t="s">
        <v>251</v>
      </c>
      <c r="C90" s="19" t="s">
        <v>291</v>
      </c>
      <c r="D90" s="18"/>
      <c r="E90" s="20" t="s">
        <v>30</v>
      </c>
      <c r="F90" s="18" t="s">
        <v>184</v>
      </c>
      <c r="G90" s="20"/>
      <c r="H90" s="18"/>
      <c r="I90" s="20" t="s">
        <v>292</v>
      </c>
      <c r="J90" s="18"/>
      <c r="K90" s="18"/>
      <c r="L90" s="20"/>
      <c r="M90" s="21"/>
      <c r="N90" s="21"/>
      <c r="O90" s="22"/>
      <c r="P90" s="22"/>
      <c r="Q90" s="23"/>
      <c r="R90" s="23"/>
      <c r="S90" s="24"/>
      <c r="T90" s="24"/>
      <c r="U90" s="24"/>
      <c r="V90" s="24"/>
      <c r="W90" s="24"/>
      <c r="X90" s="24"/>
      <c r="Y90" s="24"/>
      <c r="Z90" s="25"/>
    </row>
    <row r="91" ht="84.0" customHeight="1">
      <c r="A91" s="26" t="str">
        <f>A90</f>
        <v>http://purl.obolibrary.org/obo/OBI_0000723</v>
      </c>
      <c r="B91" s="27"/>
      <c r="C91" s="27"/>
      <c r="D91" s="27"/>
      <c r="E91" s="27"/>
      <c r="F91" s="27"/>
      <c r="G91" s="27"/>
      <c r="H91" s="28"/>
      <c r="I91" s="58" t="s">
        <v>293</v>
      </c>
      <c r="J91" s="28"/>
      <c r="K91" s="28"/>
      <c r="L91" s="27"/>
      <c r="M91" s="29"/>
      <c r="N91" s="29"/>
      <c r="O91" s="27"/>
      <c r="P91" s="30"/>
      <c r="Q91" s="31"/>
      <c r="R91" s="31"/>
      <c r="S91" s="32"/>
      <c r="T91" s="32"/>
      <c r="U91" s="32"/>
      <c r="V91" s="32"/>
      <c r="W91" s="32"/>
      <c r="X91" s="32"/>
      <c r="Y91" s="32"/>
      <c r="Z91" s="33"/>
    </row>
    <row r="92" ht="27.75" customHeight="1">
      <c r="A92" s="54" t="s">
        <v>294</v>
      </c>
      <c r="B92" s="55" t="s">
        <v>251</v>
      </c>
      <c r="C92" s="56" t="s">
        <v>295</v>
      </c>
      <c r="D92" s="56"/>
      <c r="E92" s="56" t="s">
        <v>30</v>
      </c>
      <c r="F92" s="55" t="s">
        <v>184</v>
      </c>
      <c r="G92" s="56"/>
      <c r="H92" s="56"/>
      <c r="I92" s="56" t="s">
        <v>292</v>
      </c>
      <c r="J92" s="55"/>
      <c r="K92" s="35"/>
      <c r="L92" s="36"/>
      <c r="M92" s="37"/>
      <c r="N92" s="37"/>
      <c r="O92" s="38"/>
      <c r="P92" s="38"/>
      <c r="Q92" s="39"/>
      <c r="R92" s="39"/>
      <c r="S92" s="40"/>
      <c r="T92" s="40"/>
      <c r="U92" s="40"/>
      <c r="V92" s="40"/>
      <c r="W92" s="40"/>
      <c r="X92" s="40"/>
      <c r="Y92" s="40"/>
      <c r="Z92" s="41"/>
    </row>
    <row r="93" ht="69.75" customHeight="1">
      <c r="A93" s="17" t="str">
        <f>HYPERLINK("http://purl.obolibrary.org/obo/OBI_0000724","http://purl.obolibrary.org/obo/OBI_0000724")</f>
        <v>http://purl.obolibrary.org/obo/OBI_0000724</v>
      </c>
      <c r="B93" s="18" t="s">
        <v>296</v>
      </c>
      <c r="C93" s="20" t="s">
        <v>297</v>
      </c>
      <c r="D93" s="18" t="s">
        <v>45</v>
      </c>
      <c r="E93" s="20" t="s">
        <v>30</v>
      </c>
      <c r="F93" s="18" t="s">
        <v>227</v>
      </c>
      <c r="G93" s="20"/>
      <c r="H93" s="18"/>
      <c r="I93" s="20" t="s">
        <v>298</v>
      </c>
      <c r="J93" s="18"/>
      <c r="K93" s="18"/>
      <c r="L93" s="20"/>
      <c r="M93" s="21"/>
      <c r="N93" s="21"/>
      <c r="O93" s="22"/>
      <c r="P93" s="22"/>
      <c r="Q93" s="23"/>
      <c r="R93" s="23"/>
      <c r="S93" s="43"/>
      <c r="T93" s="43"/>
      <c r="U93" s="43"/>
      <c r="V93" s="43"/>
      <c r="W93" s="43"/>
      <c r="X93" s="43"/>
      <c r="Y93" s="43"/>
      <c r="Z93" s="44"/>
    </row>
    <row r="94" ht="27.75" customHeight="1">
      <c r="A94" s="26" t="str">
        <f>A93</f>
        <v>http://purl.obolibrary.org/obo/OBI_0000724</v>
      </c>
      <c r="B94" s="27"/>
      <c r="C94" s="42" t="s">
        <v>299</v>
      </c>
      <c r="D94" s="27"/>
      <c r="E94" s="27"/>
      <c r="F94" s="27"/>
      <c r="G94" s="27"/>
      <c r="H94" s="28"/>
      <c r="I94" s="58" t="s">
        <v>300</v>
      </c>
      <c r="J94" s="28"/>
      <c r="K94" s="28"/>
      <c r="L94" s="49" t="s">
        <v>301</v>
      </c>
      <c r="M94" s="29"/>
      <c r="N94" s="29"/>
      <c r="O94" s="27"/>
      <c r="P94" s="30"/>
      <c r="Q94" s="31"/>
      <c r="R94" s="31"/>
      <c r="S94" s="45"/>
      <c r="T94" s="45"/>
      <c r="U94" s="45"/>
      <c r="V94" s="45"/>
      <c r="W94" s="45"/>
      <c r="X94" s="45"/>
      <c r="Y94" s="45"/>
      <c r="Z94" s="46"/>
    </row>
    <row r="95" ht="69.75" customHeight="1">
      <c r="A95" s="54" t="s">
        <v>302</v>
      </c>
      <c r="B95" s="55" t="s">
        <v>296</v>
      </c>
      <c r="C95" s="56" t="s">
        <v>297</v>
      </c>
      <c r="D95" s="55" t="s">
        <v>45</v>
      </c>
      <c r="E95" s="56" t="s">
        <v>30</v>
      </c>
      <c r="F95" s="55" t="s">
        <v>227</v>
      </c>
      <c r="G95" s="56"/>
      <c r="H95" s="56"/>
      <c r="I95" s="56" t="s">
        <v>298</v>
      </c>
      <c r="J95" s="55"/>
      <c r="K95" s="35"/>
      <c r="L95" s="36" t="s">
        <v>303</v>
      </c>
      <c r="M95" s="37"/>
      <c r="N95" s="37"/>
      <c r="O95" s="38"/>
      <c r="P95" s="38"/>
      <c r="Q95" s="39"/>
      <c r="R95" s="39"/>
      <c r="S95" s="47"/>
      <c r="T95" s="47"/>
      <c r="U95" s="47"/>
      <c r="V95" s="47"/>
      <c r="W95" s="47"/>
      <c r="X95" s="47"/>
      <c r="Y95" s="47"/>
      <c r="Z95" s="48"/>
    </row>
    <row r="96" ht="27.75" customHeight="1">
      <c r="A96" s="17" t="str">
        <f>HYPERLINK("http://purl.obolibrary.org/obo/OBI_0000730","http://purl.obolibrary.org/obo/OBI_0000730")</f>
        <v>http://purl.obolibrary.org/obo/OBI_0000730</v>
      </c>
      <c r="B96" s="18" t="s">
        <v>304</v>
      </c>
      <c r="C96" s="19" t="s">
        <v>305</v>
      </c>
      <c r="D96" s="18" t="s">
        <v>45</v>
      </c>
      <c r="E96" s="20" t="s">
        <v>30</v>
      </c>
      <c r="F96" s="18" t="s">
        <v>227</v>
      </c>
      <c r="G96" s="20"/>
      <c r="H96" s="18"/>
      <c r="I96" s="20"/>
      <c r="J96" s="18"/>
      <c r="K96" s="18"/>
      <c r="L96" s="20"/>
      <c r="M96" s="21"/>
      <c r="N96" s="21"/>
      <c r="O96" s="22"/>
      <c r="P96" s="22"/>
      <c r="Q96" s="23"/>
      <c r="R96" s="23"/>
      <c r="S96" s="24"/>
      <c r="T96" s="24"/>
      <c r="U96" s="24"/>
      <c r="V96" s="24"/>
      <c r="W96" s="24"/>
      <c r="X96" s="24"/>
      <c r="Y96" s="24"/>
      <c r="Z96" s="25"/>
    </row>
    <row r="97" ht="84.0" customHeight="1">
      <c r="A97" s="26" t="str">
        <f>A96</f>
        <v>http://purl.obolibrary.org/obo/OBI_0000730</v>
      </c>
      <c r="B97" s="27"/>
      <c r="C97" s="27"/>
      <c r="D97" s="27"/>
      <c r="E97" s="27"/>
      <c r="F97" s="27"/>
      <c r="G97" s="27"/>
      <c r="H97" s="28"/>
      <c r="I97" s="27"/>
      <c r="J97" s="28"/>
      <c r="K97" s="28"/>
      <c r="L97" s="49" t="s">
        <v>306</v>
      </c>
      <c r="M97" s="29"/>
      <c r="N97" s="29"/>
      <c r="O97" s="27"/>
      <c r="P97" s="30"/>
      <c r="Q97" s="31"/>
      <c r="R97" s="31"/>
      <c r="S97" s="32"/>
      <c r="T97" s="32"/>
      <c r="U97" s="32"/>
      <c r="V97" s="32"/>
      <c r="W97" s="32"/>
      <c r="X97" s="32"/>
      <c r="Y97" s="32"/>
      <c r="Z97" s="33"/>
    </row>
    <row r="98" ht="27.75" customHeight="1">
      <c r="A98" s="54" t="s">
        <v>307</v>
      </c>
      <c r="B98" s="55" t="s">
        <v>304</v>
      </c>
      <c r="C98" s="56" t="s">
        <v>308</v>
      </c>
      <c r="D98" s="55" t="s">
        <v>45</v>
      </c>
      <c r="E98" s="56" t="s">
        <v>30</v>
      </c>
      <c r="F98" s="55" t="s">
        <v>227</v>
      </c>
      <c r="G98" s="56"/>
      <c r="H98" s="56"/>
      <c r="I98" s="56"/>
      <c r="J98" s="55"/>
      <c r="K98" s="35"/>
      <c r="L98" s="36" t="s">
        <v>309</v>
      </c>
      <c r="M98" s="37"/>
      <c r="N98" s="37"/>
      <c r="O98" s="38"/>
      <c r="P98" s="38"/>
      <c r="Q98" s="39"/>
      <c r="R98" s="39"/>
      <c r="S98" s="40"/>
      <c r="T98" s="40"/>
      <c r="U98" s="40"/>
      <c r="V98" s="40"/>
      <c r="W98" s="40"/>
      <c r="X98" s="40"/>
      <c r="Y98" s="40"/>
      <c r="Z98" s="41"/>
    </row>
    <row r="99" ht="84.0" customHeight="1">
      <c r="A99" s="17" t="str">
        <f>HYPERLINK("http://purl.obolibrary.org/obo/OBI_0000734","http://purl.obolibrary.org/obo/OBI_0000734")</f>
        <v>http://purl.obolibrary.org/obo/OBI_0000734</v>
      </c>
      <c r="B99" s="18" t="s">
        <v>227</v>
      </c>
      <c r="C99" s="19" t="s">
        <v>310</v>
      </c>
      <c r="D99" s="18" t="s">
        <v>311</v>
      </c>
      <c r="E99" s="20" t="s">
        <v>30</v>
      </c>
      <c r="F99" s="18" t="s">
        <v>184</v>
      </c>
      <c r="G99" s="20"/>
      <c r="H99" s="18"/>
      <c r="I99" s="20" t="s">
        <v>312</v>
      </c>
      <c r="J99" s="18"/>
      <c r="K99" s="18"/>
      <c r="L99" s="20"/>
      <c r="M99" s="21"/>
      <c r="N99" s="21"/>
      <c r="O99" s="22"/>
      <c r="P99" s="22"/>
      <c r="Q99" s="23"/>
      <c r="R99" s="23"/>
      <c r="S99" s="43"/>
      <c r="T99" s="43"/>
      <c r="U99" s="43"/>
      <c r="V99" s="43"/>
      <c r="W99" s="43"/>
      <c r="X99" s="43"/>
      <c r="Y99" s="43"/>
      <c r="Z99" s="44"/>
    </row>
    <row r="100" ht="27.75" customHeight="1">
      <c r="A100" s="26" t="str">
        <f>A99</f>
        <v>http://purl.obolibrary.org/obo/OBI_0000734</v>
      </c>
      <c r="B100" s="27"/>
      <c r="C100" s="27"/>
      <c r="D100" s="27"/>
      <c r="E100" s="27"/>
      <c r="F100" s="27"/>
      <c r="G100" s="27"/>
      <c r="H100" s="28"/>
      <c r="I100" s="58" t="s">
        <v>313</v>
      </c>
      <c r="J100" s="28"/>
      <c r="K100" s="28"/>
      <c r="L100" s="27"/>
      <c r="M100" s="29"/>
      <c r="N100" s="29"/>
      <c r="O100" s="27"/>
      <c r="P100" s="30"/>
      <c r="Q100" s="31"/>
      <c r="R100" s="31"/>
      <c r="S100" s="45"/>
      <c r="T100" s="45"/>
      <c r="U100" s="45"/>
      <c r="V100" s="45"/>
      <c r="W100" s="45"/>
      <c r="X100" s="45"/>
      <c r="Y100" s="45"/>
      <c r="Z100" s="46"/>
    </row>
    <row r="101" ht="42.0" customHeight="1">
      <c r="A101" s="54" t="s">
        <v>314</v>
      </c>
      <c r="B101" s="55" t="s">
        <v>227</v>
      </c>
      <c r="C101" s="56" t="s">
        <v>315</v>
      </c>
      <c r="D101" s="55" t="s">
        <v>311</v>
      </c>
      <c r="E101" s="56" t="s">
        <v>30</v>
      </c>
      <c r="F101" s="55" t="s">
        <v>184</v>
      </c>
      <c r="G101" s="56"/>
      <c r="H101" s="56"/>
      <c r="I101" s="56" t="s">
        <v>312</v>
      </c>
      <c r="J101" s="55"/>
      <c r="K101" s="35"/>
      <c r="L101" s="36"/>
      <c r="M101" s="37"/>
      <c r="N101" s="37"/>
      <c r="O101" s="38"/>
      <c r="P101" s="38"/>
      <c r="Q101" s="39"/>
      <c r="R101" s="39"/>
      <c r="S101" s="47"/>
      <c r="T101" s="47"/>
      <c r="U101" s="47"/>
      <c r="V101" s="47"/>
      <c r="W101" s="47"/>
      <c r="X101" s="47"/>
      <c r="Y101" s="47"/>
      <c r="Z101" s="48"/>
    </row>
    <row r="102" ht="13.5" customHeight="1">
      <c r="A102" s="17" t="str">
        <f>HYPERLINK("http://purl.obolibrary.org/obo/OBI_0000743","http://purl.obolibrary.org/obo/OBI_0000743")</f>
        <v>http://purl.obolibrary.org/obo/OBI_0000743</v>
      </c>
      <c r="B102" s="18" t="s">
        <v>316</v>
      </c>
      <c r="C102" s="19" t="s">
        <v>317</v>
      </c>
      <c r="D102" s="18"/>
      <c r="E102" s="20" t="s">
        <v>30</v>
      </c>
      <c r="F102" s="18" t="s">
        <v>19</v>
      </c>
      <c r="G102" s="20" t="s">
        <v>318</v>
      </c>
      <c r="H102" s="18" t="s">
        <v>318</v>
      </c>
      <c r="I102" s="20"/>
      <c r="J102" s="18" t="s">
        <v>318</v>
      </c>
      <c r="K102" s="18"/>
      <c r="L102" s="20"/>
      <c r="M102" s="21"/>
      <c r="N102" s="21"/>
      <c r="O102" s="22"/>
      <c r="P102" s="22"/>
      <c r="Q102" s="23"/>
      <c r="R102" s="23"/>
      <c r="S102" s="24"/>
      <c r="T102" s="24"/>
      <c r="U102" s="24"/>
      <c r="V102" s="24"/>
      <c r="W102" s="24"/>
      <c r="X102" s="24"/>
      <c r="Y102" s="24"/>
      <c r="Z102" s="25"/>
    </row>
    <row r="103" ht="42.0" customHeight="1">
      <c r="A103" s="26" t="str">
        <f>A102</f>
        <v>http://purl.obolibrary.org/obo/OBI_0000743</v>
      </c>
      <c r="B103" s="27"/>
      <c r="C103" s="27"/>
      <c r="D103" s="27"/>
      <c r="E103" s="27"/>
      <c r="F103" s="27"/>
      <c r="G103" s="27"/>
      <c r="H103" s="28" t="s">
        <v>31</v>
      </c>
      <c r="I103" s="27"/>
      <c r="J103" s="28" t="s">
        <v>319</v>
      </c>
      <c r="K103" s="28" t="s">
        <v>320</v>
      </c>
      <c r="L103" s="27"/>
      <c r="M103" s="29"/>
      <c r="N103" s="29"/>
      <c r="O103" s="27"/>
      <c r="P103" s="30"/>
      <c r="Q103" s="31"/>
      <c r="R103" s="31"/>
      <c r="S103" s="32"/>
      <c r="T103" s="32"/>
      <c r="U103" s="32"/>
      <c r="V103" s="32"/>
      <c r="W103" s="32"/>
      <c r="X103" s="32"/>
      <c r="Y103" s="32"/>
      <c r="Z103" s="33"/>
    </row>
    <row r="104" ht="13.5" customHeight="1">
      <c r="A104" s="34" t="s">
        <v>321</v>
      </c>
      <c r="B104" s="35" t="s">
        <v>316</v>
      </c>
      <c r="C104" s="36" t="s">
        <v>322</v>
      </c>
      <c r="D104" s="36"/>
      <c r="E104" s="36" t="s">
        <v>30</v>
      </c>
      <c r="F104" s="35" t="s">
        <v>19</v>
      </c>
      <c r="G104" s="36" t="s">
        <v>323</v>
      </c>
      <c r="H104" s="35" t="s">
        <v>323</v>
      </c>
      <c r="I104" s="36"/>
      <c r="J104" s="35" t="s">
        <v>323</v>
      </c>
      <c r="K104" s="35"/>
      <c r="L104" s="36"/>
      <c r="M104" s="37"/>
      <c r="N104" s="37"/>
      <c r="O104" s="38"/>
      <c r="P104" s="38"/>
      <c r="Q104" s="39"/>
      <c r="R104" s="39"/>
      <c r="S104" s="40"/>
      <c r="T104" s="40"/>
      <c r="U104" s="40"/>
      <c r="V104" s="40"/>
      <c r="W104" s="40"/>
      <c r="X104" s="40"/>
      <c r="Y104" s="40"/>
      <c r="Z104" s="41"/>
    </row>
    <row r="105" ht="84.0" customHeight="1">
      <c r="A105" s="17" t="str">
        <f>HYPERLINK("http://purl.obolibrary.org/obo/OBI_0000748","http://purl.obolibrary.org/obo/OBI_0000748")</f>
        <v>http://purl.obolibrary.org/obo/OBI_0000748</v>
      </c>
      <c r="B105" s="18" t="s">
        <v>324</v>
      </c>
      <c r="C105" s="19" t="s">
        <v>325</v>
      </c>
      <c r="D105" s="18" t="s">
        <v>45</v>
      </c>
      <c r="E105" s="20" t="s">
        <v>30</v>
      </c>
      <c r="F105" s="18" t="s">
        <v>326</v>
      </c>
      <c r="G105" s="20"/>
      <c r="H105" s="18" t="s">
        <v>205</v>
      </c>
      <c r="I105" s="20" t="s">
        <v>214</v>
      </c>
      <c r="J105" s="18" t="s">
        <v>327</v>
      </c>
      <c r="K105" s="18"/>
      <c r="L105" s="20"/>
      <c r="M105" s="21" t="s">
        <v>328</v>
      </c>
      <c r="N105" s="21"/>
      <c r="O105" s="22" t="s">
        <v>214</v>
      </c>
      <c r="P105" s="22"/>
      <c r="Q105" s="23"/>
      <c r="R105" s="23"/>
      <c r="S105" s="43"/>
      <c r="T105" s="43"/>
      <c r="U105" s="43"/>
      <c r="V105" s="43"/>
      <c r="W105" s="43"/>
      <c r="X105" s="43"/>
      <c r="Y105" s="43"/>
      <c r="Z105" s="44"/>
    </row>
    <row r="106" ht="27.75" customHeight="1">
      <c r="A106" s="26" t="str">
        <f>A105</f>
        <v>http://purl.obolibrary.org/obo/OBI_0000748</v>
      </c>
      <c r="B106" s="27"/>
      <c r="C106" s="27"/>
      <c r="D106" s="27"/>
      <c r="E106" s="27"/>
      <c r="F106" s="27"/>
      <c r="G106" s="27"/>
      <c r="H106" s="52" t="s">
        <v>329</v>
      </c>
      <c r="I106" s="53" t="s">
        <v>189</v>
      </c>
      <c r="J106" s="52" t="s">
        <v>330</v>
      </c>
      <c r="K106" s="28" t="s">
        <v>331</v>
      </c>
      <c r="L106" s="49" t="s">
        <v>191</v>
      </c>
      <c r="M106" s="29" t="s">
        <v>184</v>
      </c>
      <c r="N106" s="29"/>
      <c r="O106" s="27"/>
      <c r="P106" s="30"/>
      <c r="Q106" s="31"/>
      <c r="R106" s="31"/>
      <c r="S106" s="45"/>
      <c r="T106" s="45"/>
      <c r="U106" s="45"/>
      <c r="V106" s="45"/>
      <c r="W106" s="45"/>
      <c r="X106" s="45"/>
      <c r="Y106" s="45"/>
      <c r="Z106" s="46"/>
    </row>
    <row r="107" ht="27.75" customHeight="1">
      <c r="A107" s="54" t="s">
        <v>332</v>
      </c>
      <c r="B107" s="55" t="s">
        <v>324</v>
      </c>
      <c r="C107" s="56" t="s">
        <v>333</v>
      </c>
      <c r="D107" s="55" t="s">
        <v>45</v>
      </c>
      <c r="E107" s="56" t="s">
        <v>30</v>
      </c>
      <c r="F107" s="55" t="s">
        <v>326</v>
      </c>
      <c r="G107" s="56"/>
      <c r="H107" s="55" t="s">
        <v>205</v>
      </c>
      <c r="I107" s="56" t="s">
        <v>214</v>
      </c>
      <c r="J107" s="55" t="s">
        <v>334</v>
      </c>
      <c r="K107" s="35"/>
      <c r="L107" s="36" t="s">
        <v>193</v>
      </c>
      <c r="M107" s="37" t="s">
        <v>335</v>
      </c>
      <c r="N107" s="37"/>
      <c r="O107" s="38" t="s">
        <v>214</v>
      </c>
      <c r="P107" s="38"/>
      <c r="Q107" s="39"/>
      <c r="R107" s="39"/>
      <c r="S107" s="47"/>
      <c r="T107" s="47"/>
      <c r="U107" s="47"/>
      <c r="V107" s="47"/>
      <c r="W107" s="47"/>
      <c r="X107" s="47"/>
      <c r="Y107" s="47"/>
      <c r="Z107" s="48"/>
    </row>
    <row r="108" ht="12.75" customHeight="1">
      <c r="A108" s="17" t="str">
        <f>HYPERLINK("http://purl.obolibrary.org/obo/OBI_0000787","http://purl.obolibrary.org/obo/OBI_0000787")</f>
        <v>http://purl.obolibrary.org/obo/OBI_0000787</v>
      </c>
      <c r="B108" s="18" t="s">
        <v>336</v>
      </c>
      <c r="C108" s="19" t="s">
        <v>337</v>
      </c>
      <c r="D108" s="18" t="s">
        <v>338</v>
      </c>
      <c r="E108" s="20" t="s">
        <v>30</v>
      </c>
      <c r="F108" s="18" t="s">
        <v>67</v>
      </c>
      <c r="G108" s="20"/>
      <c r="H108" s="18" t="s">
        <v>339</v>
      </c>
      <c r="I108" s="20" t="s">
        <v>339</v>
      </c>
      <c r="J108" s="18" t="s">
        <v>339</v>
      </c>
      <c r="K108" s="18"/>
      <c r="L108" s="20"/>
      <c r="M108" s="21"/>
      <c r="N108" s="21"/>
      <c r="O108" s="22"/>
      <c r="P108" s="22"/>
      <c r="Q108" s="23" t="s">
        <v>340</v>
      </c>
      <c r="R108" s="23"/>
      <c r="S108" s="24"/>
      <c r="T108" s="24"/>
      <c r="U108" s="24"/>
      <c r="V108" s="24"/>
      <c r="W108" s="24"/>
      <c r="X108" s="24"/>
      <c r="Y108" s="24"/>
      <c r="Z108" s="25"/>
    </row>
    <row r="109" ht="84.0" customHeight="1">
      <c r="A109" s="26" t="str">
        <f>A108</f>
        <v>http://purl.obolibrary.org/obo/OBI_0000787</v>
      </c>
      <c r="B109" s="27"/>
      <c r="C109" s="27"/>
      <c r="D109" s="27"/>
      <c r="E109" s="27"/>
      <c r="F109" s="27"/>
      <c r="G109" s="27"/>
      <c r="H109" s="28" t="s">
        <v>121</v>
      </c>
      <c r="I109" s="49" t="s">
        <v>71</v>
      </c>
      <c r="J109" s="28" t="s">
        <v>341</v>
      </c>
      <c r="K109" s="28" t="s">
        <v>342</v>
      </c>
      <c r="L109" s="27"/>
      <c r="M109" s="29"/>
      <c r="N109" s="29"/>
      <c r="O109" s="27"/>
      <c r="P109" s="30"/>
      <c r="Q109" s="31"/>
      <c r="R109" s="31" t="s">
        <v>343</v>
      </c>
      <c r="S109" s="32"/>
      <c r="T109" s="32"/>
      <c r="U109" s="32"/>
      <c r="V109" s="32"/>
      <c r="W109" s="32"/>
      <c r="X109" s="32"/>
      <c r="Y109" s="32"/>
      <c r="Z109" s="33"/>
    </row>
    <row r="110" ht="27.75" customHeight="1">
      <c r="A110" s="34" t="s">
        <v>344</v>
      </c>
      <c r="B110" s="35" t="s">
        <v>336</v>
      </c>
      <c r="C110" s="36" t="s">
        <v>345</v>
      </c>
      <c r="D110" s="35" t="s">
        <v>338</v>
      </c>
      <c r="E110" s="36" t="s">
        <v>30</v>
      </c>
      <c r="F110" s="35" t="s">
        <v>67</v>
      </c>
      <c r="G110" s="36"/>
      <c r="H110" s="35" t="s">
        <v>339</v>
      </c>
      <c r="I110" s="36" t="s">
        <v>339</v>
      </c>
      <c r="J110" s="35" t="s">
        <v>339</v>
      </c>
      <c r="K110" s="35"/>
      <c r="L110" s="36"/>
      <c r="M110" s="37"/>
      <c r="N110" s="37"/>
      <c r="O110" s="38"/>
      <c r="P110" s="38"/>
      <c r="Q110" s="39"/>
      <c r="R110" s="39" t="s">
        <v>346</v>
      </c>
      <c r="S110" s="40"/>
      <c r="T110" s="40"/>
      <c r="U110" s="40"/>
      <c r="V110" s="40"/>
      <c r="W110" s="40"/>
      <c r="X110" s="40"/>
      <c r="Y110" s="40"/>
      <c r="Z110" s="41"/>
    </row>
    <row r="111" ht="69.75" customHeight="1">
      <c r="A111" s="17" t="str">
        <f>HYPERLINK("http://purl.obolibrary.org/obo/OBI_0000802","http://purl.obolibrary.org/obo/OBI_0000802")</f>
        <v>http://purl.obolibrary.org/obo/OBI_0000802</v>
      </c>
      <c r="B111" s="18" t="s">
        <v>347</v>
      </c>
      <c r="C111" s="19" t="s">
        <v>348</v>
      </c>
      <c r="D111" s="18" t="s">
        <v>338</v>
      </c>
      <c r="E111" s="20" t="s">
        <v>30</v>
      </c>
      <c r="F111" s="18" t="s">
        <v>19</v>
      </c>
      <c r="G111" s="20"/>
      <c r="H111" s="18"/>
      <c r="I111" s="20" t="s">
        <v>349</v>
      </c>
      <c r="J111" s="18" t="s">
        <v>349</v>
      </c>
      <c r="K111" s="18"/>
      <c r="L111" s="20"/>
      <c r="M111" s="21"/>
      <c r="N111" s="21"/>
      <c r="O111" s="22"/>
      <c r="P111" s="22"/>
      <c r="Q111" s="23"/>
      <c r="R111" s="23"/>
      <c r="S111" s="43"/>
      <c r="T111" s="43"/>
      <c r="U111" s="43"/>
      <c r="V111" s="43"/>
      <c r="W111" s="43"/>
      <c r="X111" s="43"/>
      <c r="Y111" s="43"/>
      <c r="Z111" s="44"/>
    </row>
    <row r="112" ht="27.75" customHeight="1">
      <c r="A112" s="26" t="str">
        <f>A111</f>
        <v>http://purl.obolibrary.org/obo/OBI_0000802</v>
      </c>
      <c r="B112" s="27"/>
      <c r="C112" s="27"/>
      <c r="D112" s="27"/>
      <c r="E112" s="27"/>
      <c r="F112" s="27"/>
      <c r="G112" s="27"/>
      <c r="H112" s="28"/>
      <c r="I112" s="49" t="s">
        <v>71</v>
      </c>
      <c r="J112" s="28" t="s">
        <v>350</v>
      </c>
      <c r="K112" s="28" t="s">
        <v>342</v>
      </c>
      <c r="L112" s="27"/>
      <c r="M112" s="29"/>
      <c r="N112" s="29"/>
      <c r="O112" s="27"/>
      <c r="P112" s="30"/>
      <c r="Q112" s="31"/>
      <c r="R112" s="31"/>
      <c r="S112" s="45"/>
      <c r="T112" s="45"/>
      <c r="U112" s="45"/>
      <c r="V112" s="45"/>
      <c r="W112" s="45"/>
      <c r="X112" s="45"/>
      <c r="Y112" s="45"/>
      <c r="Z112" s="46"/>
    </row>
    <row r="113" ht="42.0" customHeight="1">
      <c r="A113" s="34" t="s">
        <v>351</v>
      </c>
      <c r="B113" s="35" t="s">
        <v>347</v>
      </c>
      <c r="C113" s="36" t="s">
        <v>352</v>
      </c>
      <c r="D113" s="35" t="s">
        <v>338</v>
      </c>
      <c r="E113" s="36" t="s">
        <v>30</v>
      </c>
      <c r="F113" s="35" t="s">
        <v>19</v>
      </c>
      <c r="G113" s="36"/>
      <c r="H113" s="36"/>
      <c r="I113" s="36" t="s">
        <v>349</v>
      </c>
      <c r="J113" s="35" t="s">
        <v>349</v>
      </c>
      <c r="K113" s="35"/>
      <c r="L113" s="36"/>
      <c r="M113" s="37"/>
      <c r="N113" s="37"/>
      <c r="O113" s="38"/>
      <c r="P113" s="38"/>
      <c r="Q113" s="39"/>
      <c r="R113" s="39"/>
      <c r="S113" s="47"/>
      <c r="T113" s="47"/>
      <c r="U113" s="47"/>
      <c r="V113" s="47"/>
      <c r="W113" s="47"/>
      <c r="X113" s="47"/>
      <c r="Y113" s="47"/>
      <c r="Z113" s="48"/>
    </row>
    <row r="114" ht="13.5" customHeight="1">
      <c r="A114" s="17" t="str">
        <f>HYPERLINK("http://purl.obolibrary.org/obo/OBI_0000805","http://purl.obolibrary.org/obo/OBI_0000805")</f>
        <v>http://purl.obolibrary.org/obo/OBI_0000805</v>
      </c>
      <c r="B114" s="18" t="s">
        <v>353</v>
      </c>
      <c r="C114" s="19" t="s">
        <v>354</v>
      </c>
      <c r="D114" s="18"/>
      <c r="E114" s="20" t="s">
        <v>30</v>
      </c>
      <c r="F114" s="18" t="s">
        <v>336</v>
      </c>
      <c r="G114" s="20"/>
      <c r="H114" s="18"/>
      <c r="I114" s="20"/>
      <c r="J114" s="18" t="s">
        <v>355</v>
      </c>
      <c r="K114" s="18"/>
      <c r="L114" s="20"/>
      <c r="M114" s="21"/>
      <c r="N114" s="21"/>
      <c r="O114" s="22"/>
      <c r="P114" s="22"/>
      <c r="Q114" s="23"/>
      <c r="R114" s="23"/>
      <c r="S114" s="24"/>
      <c r="T114" s="24"/>
      <c r="U114" s="24"/>
      <c r="V114" s="24"/>
      <c r="W114" s="24"/>
      <c r="X114" s="24"/>
      <c r="Y114" s="24"/>
      <c r="Z114" s="25"/>
    </row>
    <row r="115" ht="69.75" customHeight="1">
      <c r="A115" s="26" t="str">
        <f>A114</f>
        <v>http://purl.obolibrary.org/obo/OBI_0000805</v>
      </c>
      <c r="B115" s="27"/>
      <c r="C115" s="27"/>
      <c r="D115" s="27"/>
      <c r="E115" s="27"/>
      <c r="F115" s="27"/>
      <c r="G115" s="27"/>
      <c r="H115" s="28"/>
      <c r="I115" s="27"/>
      <c r="J115" s="52" t="s">
        <v>356</v>
      </c>
      <c r="K115" s="28"/>
      <c r="L115" s="49" t="s">
        <v>357</v>
      </c>
      <c r="M115" s="29"/>
      <c r="N115" s="29"/>
      <c r="O115" s="27"/>
      <c r="P115" s="30"/>
      <c r="Q115" s="31"/>
      <c r="R115" s="31"/>
      <c r="S115" s="32"/>
      <c r="T115" s="32"/>
      <c r="U115" s="32"/>
      <c r="V115" s="32"/>
      <c r="W115" s="32"/>
      <c r="X115" s="32"/>
      <c r="Y115" s="32"/>
      <c r="Z115" s="33"/>
    </row>
    <row r="116" ht="27.75" customHeight="1">
      <c r="A116" s="54" t="s">
        <v>358</v>
      </c>
      <c r="B116" s="55" t="s">
        <v>353</v>
      </c>
      <c r="C116" s="56" t="s">
        <v>359</v>
      </c>
      <c r="D116" s="56"/>
      <c r="E116" s="56" t="s">
        <v>30</v>
      </c>
      <c r="F116" s="55" t="s">
        <v>336</v>
      </c>
      <c r="G116" s="56"/>
      <c r="H116" s="56"/>
      <c r="I116" s="56"/>
      <c r="J116" s="55" t="s">
        <v>360</v>
      </c>
      <c r="K116" s="35"/>
      <c r="L116" s="36" t="s">
        <v>360</v>
      </c>
      <c r="M116" s="37"/>
      <c r="N116" s="37"/>
      <c r="O116" s="38"/>
      <c r="P116" s="38"/>
      <c r="Q116" s="39"/>
      <c r="R116" s="39"/>
      <c r="S116" s="40"/>
      <c r="T116" s="40"/>
      <c r="U116" s="40"/>
      <c r="V116" s="40"/>
      <c r="W116" s="40"/>
      <c r="X116" s="40"/>
      <c r="Y116" s="40"/>
      <c r="Z116" s="41"/>
    </row>
    <row r="117" ht="84.0" customHeight="1">
      <c r="A117" s="17" t="str">
        <f>HYPERLINK("http://purl.obolibrary.org/obo/OBI_0000808","http://purl.obolibrary.org/obo/OBI_0000808")</f>
        <v>http://purl.obolibrary.org/obo/OBI_0000808</v>
      </c>
      <c r="B117" s="18" t="s">
        <v>361</v>
      </c>
      <c r="C117" s="19" t="s">
        <v>362</v>
      </c>
      <c r="D117" s="18" t="s">
        <v>338</v>
      </c>
      <c r="E117" s="20" t="s">
        <v>30</v>
      </c>
      <c r="F117" s="18" t="s">
        <v>19</v>
      </c>
      <c r="G117" s="20"/>
      <c r="H117" s="18"/>
      <c r="I117" s="20" t="s">
        <v>349</v>
      </c>
      <c r="J117" s="18" t="s">
        <v>349</v>
      </c>
      <c r="K117" s="18"/>
      <c r="L117" s="20"/>
      <c r="M117" s="21"/>
      <c r="N117" s="21"/>
      <c r="O117" s="22"/>
      <c r="P117" s="22"/>
      <c r="Q117" s="23"/>
      <c r="R117" s="23"/>
      <c r="S117" s="43"/>
      <c r="T117" s="43"/>
      <c r="U117" s="43"/>
      <c r="V117" s="43"/>
      <c r="W117" s="43"/>
      <c r="X117" s="43"/>
      <c r="Y117" s="43"/>
      <c r="Z117" s="44"/>
    </row>
    <row r="118" ht="27.75" customHeight="1">
      <c r="A118" s="26" t="str">
        <f>A117</f>
        <v>http://purl.obolibrary.org/obo/OBI_0000808</v>
      </c>
      <c r="B118" s="27"/>
      <c r="C118" s="27"/>
      <c r="D118" s="27"/>
      <c r="E118" s="27"/>
      <c r="F118" s="27"/>
      <c r="G118" s="27"/>
      <c r="H118" s="28"/>
      <c r="I118" s="49" t="s">
        <v>71</v>
      </c>
      <c r="J118" s="28" t="s">
        <v>350</v>
      </c>
      <c r="K118" s="28" t="s">
        <v>342</v>
      </c>
      <c r="L118" s="27"/>
      <c r="M118" s="29"/>
      <c r="N118" s="29"/>
      <c r="O118" s="27"/>
      <c r="P118" s="30"/>
      <c r="Q118" s="31"/>
      <c r="R118" s="31"/>
      <c r="S118" s="45"/>
      <c r="T118" s="45"/>
      <c r="U118" s="45"/>
      <c r="V118" s="45"/>
      <c r="W118" s="45"/>
      <c r="X118" s="45"/>
      <c r="Y118" s="45"/>
      <c r="Z118" s="46"/>
    </row>
    <row r="119" ht="27.75" customHeight="1">
      <c r="A119" s="34" t="s">
        <v>363</v>
      </c>
      <c r="B119" s="35" t="s">
        <v>361</v>
      </c>
      <c r="C119" s="36" t="s">
        <v>364</v>
      </c>
      <c r="D119" s="35" t="s">
        <v>338</v>
      </c>
      <c r="E119" s="36" t="s">
        <v>30</v>
      </c>
      <c r="F119" s="35" t="s">
        <v>19</v>
      </c>
      <c r="G119" s="36"/>
      <c r="H119" s="36"/>
      <c r="I119" s="36" t="s">
        <v>349</v>
      </c>
      <c r="J119" s="35" t="s">
        <v>349</v>
      </c>
      <c r="K119" s="35"/>
      <c r="L119" s="36"/>
      <c r="M119" s="37"/>
      <c r="N119" s="37"/>
      <c r="O119" s="38"/>
      <c r="P119" s="38"/>
      <c r="Q119" s="39"/>
      <c r="R119" s="39"/>
      <c r="S119" s="47"/>
      <c r="T119" s="47"/>
      <c r="U119" s="47"/>
      <c r="V119" s="47"/>
      <c r="W119" s="47"/>
      <c r="X119" s="47"/>
      <c r="Y119" s="47"/>
      <c r="Z119" s="48"/>
    </row>
    <row r="120" ht="13.5" customHeight="1">
      <c r="A120" s="17" t="str">
        <f>HYPERLINK("http://purl.obolibrary.org/obo/OBI_0000812","http://purl.obolibrary.org/obo/OBI_0000812")</f>
        <v>http://purl.obolibrary.org/obo/OBI_0000812</v>
      </c>
      <c r="B120" s="18" t="s">
        <v>365</v>
      </c>
      <c r="C120" s="19" t="s">
        <v>366</v>
      </c>
      <c r="D120" s="18" t="s">
        <v>125</v>
      </c>
      <c r="E120" s="20" t="s">
        <v>30</v>
      </c>
      <c r="F120" s="18" t="s">
        <v>143</v>
      </c>
      <c r="G120" s="20"/>
      <c r="H120" s="18"/>
      <c r="I120" s="20"/>
      <c r="J120" s="18"/>
      <c r="K120" s="18"/>
      <c r="L120" s="20"/>
      <c r="M120" s="21"/>
      <c r="N120" s="21"/>
      <c r="O120" s="22"/>
      <c r="P120" s="22"/>
      <c r="Q120" s="23"/>
      <c r="R120" s="23"/>
      <c r="S120" s="24"/>
      <c r="T120" s="24"/>
      <c r="U120" s="24"/>
      <c r="V120" s="24"/>
      <c r="W120" s="24"/>
      <c r="X120" s="24"/>
      <c r="Y120" s="24"/>
      <c r="Z120" s="25"/>
    </row>
    <row r="121" ht="84.0" customHeight="1">
      <c r="A121" s="26" t="str">
        <f>A120</f>
        <v>http://purl.obolibrary.org/obo/OBI_0000812</v>
      </c>
      <c r="B121" s="27"/>
      <c r="C121" s="27"/>
      <c r="D121" s="27"/>
      <c r="E121" s="27"/>
      <c r="F121" s="27"/>
      <c r="G121" s="27"/>
      <c r="H121" s="28"/>
      <c r="I121" s="27"/>
      <c r="J121" s="28"/>
      <c r="K121" s="28"/>
      <c r="L121" s="27"/>
      <c r="M121" s="29"/>
      <c r="N121" s="29"/>
      <c r="O121" s="27"/>
      <c r="P121" s="30"/>
      <c r="Q121" s="31"/>
      <c r="R121" s="31"/>
      <c r="S121" s="32"/>
      <c r="T121" s="32"/>
      <c r="U121" s="32"/>
      <c r="V121" s="32"/>
      <c r="W121" s="32"/>
      <c r="X121" s="32"/>
      <c r="Y121" s="32"/>
      <c r="Z121" s="33"/>
    </row>
    <row r="122" ht="27.75" customHeight="1">
      <c r="A122" s="54" t="s">
        <v>367</v>
      </c>
      <c r="B122" s="55" t="s">
        <v>365</v>
      </c>
      <c r="C122" s="56" t="s">
        <v>368</v>
      </c>
      <c r="D122" s="55" t="s">
        <v>125</v>
      </c>
      <c r="E122" s="56" t="s">
        <v>30</v>
      </c>
      <c r="F122" s="55" t="s">
        <v>143</v>
      </c>
      <c r="G122" s="56"/>
      <c r="H122" s="56"/>
      <c r="I122" s="56"/>
      <c r="J122" s="55"/>
      <c r="K122" s="35"/>
      <c r="L122" s="36"/>
      <c r="M122" s="37"/>
      <c r="N122" s="37"/>
      <c r="O122" s="38"/>
      <c r="P122" s="38"/>
      <c r="Q122" s="39"/>
      <c r="R122" s="39"/>
      <c r="S122" s="40"/>
      <c r="T122" s="40"/>
      <c r="U122" s="40"/>
      <c r="V122" s="40"/>
      <c r="W122" s="40"/>
      <c r="X122" s="40"/>
      <c r="Y122" s="40"/>
      <c r="Z122" s="41"/>
    </row>
    <row r="123" ht="84.0" customHeight="1">
      <c r="A123" s="17" t="str">
        <f>HYPERLINK("http://purl.obolibrary.org/obo/OBI_0000820","http://purl.obolibrary.org/obo/OBI_0000820")</f>
        <v>http://purl.obolibrary.org/obo/OBI_0000820</v>
      </c>
      <c r="B123" s="18" t="s">
        <v>369</v>
      </c>
      <c r="C123" s="19" t="s">
        <v>370</v>
      </c>
      <c r="D123" s="18" t="s">
        <v>338</v>
      </c>
      <c r="E123" s="20" t="s">
        <v>30</v>
      </c>
      <c r="F123" s="18" t="s">
        <v>19</v>
      </c>
      <c r="G123" s="20"/>
      <c r="H123" s="18"/>
      <c r="I123" s="20" t="s">
        <v>349</v>
      </c>
      <c r="J123" s="18" t="s">
        <v>349</v>
      </c>
      <c r="K123" s="18"/>
      <c r="L123" s="20"/>
      <c r="M123" s="21"/>
      <c r="N123" s="21"/>
      <c r="O123" s="22"/>
      <c r="P123" s="22"/>
      <c r="Q123" s="23"/>
      <c r="R123" s="23"/>
      <c r="S123" s="43"/>
      <c r="T123" s="43"/>
      <c r="U123" s="43"/>
      <c r="V123" s="43"/>
      <c r="W123" s="43"/>
      <c r="X123" s="43"/>
      <c r="Y123" s="43"/>
      <c r="Z123" s="44"/>
    </row>
    <row r="124" ht="27.75" customHeight="1">
      <c r="A124" s="26" t="str">
        <f>A123</f>
        <v>http://purl.obolibrary.org/obo/OBI_0000820</v>
      </c>
      <c r="B124" s="27"/>
      <c r="C124" s="42" t="s">
        <v>371</v>
      </c>
      <c r="D124" s="27"/>
      <c r="E124" s="27"/>
      <c r="F124" s="27"/>
      <c r="G124" s="27"/>
      <c r="H124" s="28"/>
      <c r="I124" s="49" t="s">
        <v>71</v>
      </c>
      <c r="J124" s="28" t="s">
        <v>350</v>
      </c>
      <c r="K124" s="28" t="s">
        <v>342</v>
      </c>
      <c r="L124" s="27"/>
      <c r="M124" s="29"/>
      <c r="N124" s="29"/>
      <c r="O124" s="27"/>
      <c r="P124" s="30"/>
      <c r="Q124" s="31"/>
      <c r="R124" s="31"/>
      <c r="S124" s="45"/>
      <c r="T124" s="45"/>
      <c r="U124" s="45"/>
      <c r="V124" s="45"/>
      <c r="W124" s="45"/>
      <c r="X124" s="45"/>
      <c r="Y124" s="45"/>
      <c r="Z124" s="46"/>
    </row>
    <row r="125" ht="42.0" customHeight="1">
      <c r="A125" s="34" t="s">
        <v>372</v>
      </c>
      <c r="B125" s="35" t="s">
        <v>369</v>
      </c>
      <c r="C125" s="36" t="s">
        <v>373</v>
      </c>
      <c r="D125" s="35" t="s">
        <v>338</v>
      </c>
      <c r="E125" s="36" t="s">
        <v>30</v>
      </c>
      <c r="F125" s="35" t="s">
        <v>19</v>
      </c>
      <c r="G125" s="36"/>
      <c r="H125" s="36"/>
      <c r="I125" s="36" t="s">
        <v>349</v>
      </c>
      <c r="J125" s="35" t="s">
        <v>349</v>
      </c>
      <c r="K125" s="35"/>
      <c r="L125" s="36"/>
      <c r="M125" s="37"/>
      <c r="N125" s="37"/>
      <c r="O125" s="38"/>
      <c r="P125" s="38"/>
      <c r="Q125" s="39"/>
      <c r="R125" s="39"/>
      <c r="S125" s="47"/>
      <c r="T125" s="47"/>
      <c r="U125" s="47"/>
      <c r="V125" s="47"/>
      <c r="W125" s="47"/>
      <c r="X125" s="47"/>
      <c r="Y125" s="47"/>
      <c r="Z125" s="48"/>
    </row>
    <row r="126" ht="27.75" customHeight="1">
      <c r="A126" s="17" t="str">
        <f>HYPERLINK("http://purl.obolibrary.org/obo/OBI_0000823","http://purl.obolibrary.org/obo/OBI_0000823")</f>
        <v>http://purl.obolibrary.org/obo/OBI_0000823</v>
      </c>
      <c r="B126" s="18" t="s">
        <v>374</v>
      </c>
      <c r="C126" s="19" t="s">
        <v>375</v>
      </c>
      <c r="D126" s="18" t="s">
        <v>338</v>
      </c>
      <c r="E126" s="20" t="s">
        <v>30</v>
      </c>
      <c r="F126" s="18" t="s">
        <v>19</v>
      </c>
      <c r="G126" s="20"/>
      <c r="H126" s="18"/>
      <c r="I126" s="20" t="s">
        <v>349</v>
      </c>
      <c r="J126" s="18" t="s">
        <v>349</v>
      </c>
      <c r="K126" s="18"/>
      <c r="L126" s="20"/>
      <c r="M126" s="21"/>
      <c r="N126" s="21"/>
      <c r="O126" s="22"/>
      <c r="P126" s="22"/>
      <c r="Q126" s="23"/>
      <c r="R126" s="23"/>
      <c r="S126" s="24"/>
      <c r="T126" s="24"/>
      <c r="U126" s="24"/>
      <c r="V126" s="24"/>
      <c r="W126" s="24"/>
      <c r="X126" s="24"/>
      <c r="Y126" s="24"/>
      <c r="Z126" s="25"/>
    </row>
    <row r="127" ht="42.0" customHeight="1">
      <c r="A127" s="26" t="str">
        <f>A126</f>
        <v>http://purl.obolibrary.org/obo/OBI_0000823</v>
      </c>
      <c r="B127" s="27"/>
      <c r="C127" s="27"/>
      <c r="D127" s="27"/>
      <c r="E127" s="27"/>
      <c r="F127" s="27"/>
      <c r="G127" s="27"/>
      <c r="H127" s="28"/>
      <c r="I127" s="49" t="s">
        <v>71</v>
      </c>
      <c r="J127" s="28" t="s">
        <v>350</v>
      </c>
      <c r="K127" s="28" t="s">
        <v>342</v>
      </c>
      <c r="L127" s="27"/>
      <c r="M127" s="29"/>
      <c r="N127" s="29"/>
      <c r="O127" s="27"/>
      <c r="P127" s="30"/>
      <c r="Q127" s="31"/>
      <c r="R127" s="31"/>
      <c r="S127" s="32"/>
      <c r="T127" s="32"/>
      <c r="U127" s="32"/>
      <c r="V127" s="32"/>
      <c r="W127" s="32"/>
      <c r="X127" s="32"/>
      <c r="Y127" s="32"/>
      <c r="Z127" s="33"/>
    </row>
    <row r="128" ht="13.5" customHeight="1">
      <c r="A128" s="34" t="s">
        <v>376</v>
      </c>
      <c r="B128" s="35" t="s">
        <v>374</v>
      </c>
      <c r="C128" s="36" t="s">
        <v>377</v>
      </c>
      <c r="D128" s="35" t="s">
        <v>338</v>
      </c>
      <c r="E128" s="36" t="s">
        <v>30</v>
      </c>
      <c r="F128" s="35" t="s">
        <v>19</v>
      </c>
      <c r="G128" s="36"/>
      <c r="H128" s="36"/>
      <c r="I128" s="36" t="s">
        <v>349</v>
      </c>
      <c r="J128" s="35" t="s">
        <v>349</v>
      </c>
      <c r="K128" s="35"/>
      <c r="L128" s="36"/>
      <c r="M128" s="37"/>
      <c r="N128" s="37"/>
      <c r="O128" s="38"/>
      <c r="P128" s="38"/>
      <c r="Q128" s="39"/>
      <c r="R128" s="39"/>
      <c r="S128" s="40"/>
      <c r="T128" s="40"/>
      <c r="U128" s="40"/>
      <c r="V128" s="40"/>
      <c r="W128" s="40"/>
      <c r="X128" s="40"/>
      <c r="Y128" s="40"/>
      <c r="Z128" s="41"/>
    </row>
    <row r="129" ht="13.5" customHeight="1">
      <c r="A129" s="17" t="str">
        <f>HYPERLINK("http://purl.obolibrary.org/obo/OBI_0000860","http://purl.obolibrary.org/obo/OBI_0000860")</f>
        <v>http://purl.obolibrary.org/obo/OBI_0000860</v>
      </c>
      <c r="B129" s="18" t="s">
        <v>378</v>
      </c>
      <c r="C129" s="19" t="s">
        <v>379</v>
      </c>
      <c r="D129" s="18" t="s">
        <v>157</v>
      </c>
      <c r="E129" s="20" t="s">
        <v>30</v>
      </c>
      <c r="F129" s="18" t="s">
        <v>67</v>
      </c>
      <c r="G129" s="20"/>
      <c r="H129" s="18" t="s">
        <v>24</v>
      </c>
      <c r="I129" s="20"/>
      <c r="J129" s="18" t="s">
        <v>80</v>
      </c>
      <c r="K129" s="18"/>
      <c r="L129" s="20"/>
      <c r="M129" s="21"/>
      <c r="N129" s="21"/>
      <c r="O129" s="22" t="s">
        <v>380</v>
      </c>
      <c r="P129" s="22"/>
      <c r="Q129" s="23" t="s">
        <v>381</v>
      </c>
      <c r="R129" s="23"/>
      <c r="S129" s="24"/>
      <c r="T129" s="24"/>
      <c r="U129" s="24"/>
      <c r="V129" s="24"/>
      <c r="W129" s="24"/>
      <c r="X129" s="24"/>
      <c r="Y129" s="24"/>
      <c r="Z129" s="25"/>
    </row>
    <row r="130" ht="42.0" customHeight="1">
      <c r="A130" s="26" t="str">
        <f>A129</f>
        <v>http://purl.obolibrary.org/obo/OBI_0000860</v>
      </c>
      <c r="B130" s="27"/>
      <c r="C130" s="42" t="s">
        <v>382</v>
      </c>
      <c r="D130" s="27"/>
      <c r="E130" s="27"/>
      <c r="F130" s="27"/>
      <c r="G130" s="27"/>
      <c r="H130" s="52" t="s">
        <v>31</v>
      </c>
      <c r="I130" s="27"/>
      <c r="J130" s="52" t="s">
        <v>383</v>
      </c>
      <c r="K130" s="28" t="s">
        <v>86</v>
      </c>
      <c r="L130" s="27"/>
      <c r="M130" s="29"/>
      <c r="N130" s="29"/>
      <c r="O130" s="27"/>
      <c r="P130" s="30" t="s">
        <v>384</v>
      </c>
      <c r="Q130" s="59" t="s">
        <v>385</v>
      </c>
      <c r="R130" s="31"/>
      <c r="S130" s="32"/>
      <c r="T130" s="32"/>
      <c r="U130" s="32"/>
      <c r="V130" s="32"/>
      <c r="W130" s="32"/>
      <c r="X130" s="32"/>
      <c r="Y130" s="32"/>
      <c r="Z130" s="33"/>
    </row>
    <row r="131" ht="13.5" customHeight="1">
      <c r="A131" s="54" t="s">
        <v>386</v>
      </c>
      <c r="B131" s="55" t="s">
        <v>378</v>
      </c>
      <c r="C131" s="56" t="s">
        <v>387</v>
      </c>
      <c r="D131" s="55" t="s">
        <v>157</v>
      </c>
      <c r="E131" s="56" t="s">
        <v>30</v>
      </c>
      <c r="F131" s="55" t="s">
        <v>388</v>
      </c>
      <c r="G131" s="56"/>
      <c r="H131" s="55" t="s">
        <v>24</v>
      </c>
      <c r="I131" s="56"/>
      <c r="J131" s="55" t="s">
        <v>90</v>
      </c>
      <c r="K131" s="35"/>
      <c r="L131" s="36"/>
      <c r="M131" s="37"/>
      <c r="N131" s="37"/>
      <c r="O131" s="38" t="s">
        <v>380</v>
      </c>
      <c r="P131" s="38"/>
      <c r="Q131" s="39"/>
      <c r="R131" s="39" t="s">
        <v>381</v>
      </c>
      <c r="S131" s="40"/>
      <c r="T131" s="40"/>
      <c r="U131" s="40"/>
      <c r="V131" s="40"/>
      <c r="W131" s="40"/>
      <c r="X131" s="40"/>
      <c r="Y131" s="40"/>
      <c r="Z131" s="41"/>
    </row>
    <row r="132" ht="42.0" customHeight="1">
      <c r="A132" s="17" t="str">
        <f>HYPERLINK("http://purl.obolibrary.org/obo/OBI_0000865","http://purl.obolibrary.org/obo/OBI_0000865")</f>
        <v>http://purl.obolibrary.org/obo/OBI_0000865</v>
      </c>
      <c r="B132" s="18" t="s">
        <v>389</v>
      </c>
      <c r="C132" s="19" t="s">
        <v>390</v>
      </c>
      <c r="D132" s="18" t="s">
        <v>391</v>
      </c>
      <c r="E132" s="20" t="s">
        <v>30</v>
      </c>
      <c r="F132" s="18" t="s">
        <v>392</v>
      </c>
      <c r="G132" s="20"/>
      <c r="H132" s="18"/>
      <c r="I132" s="20"/>
      <c r="J132" s="18"/>
      <c r="K132" s="18"/>
      <c r="L132" s="20"/>
      <c r="M132" s="21"/>
      <c r="N132" s="21"/>
      <c r="O132" s="22"/>
      <c r="P132" s="22"/>
      <c r="Q132" s="23"/>
      <c r="R132" s="23"/>
      <c r="S132" s="43"/>
      <c r="T132" s="43"/>
      <c r="U132" s="43"/>
      <c r="V132" s="43"/>
      <c r="W132" s="43"/>
      <c r="X132" s="43"/>
      <c r="Y132" s="43"/>
      <c r="Z132" s="44"/>
    </row>
    <row r="133" ht="27.75" customHeight="1">
      <c r="A133" s="26" t="str">
        <f>A132</f>
        <v>http://purl.obolibrary.org/obo/OBI_0000865</v>
      </c>
      <c r="B133" s="27"/>
      <c r="C133" s="27"/>
      <c r="D133" s="27"/>
      <c r="E133" s="27"/>
      <c r="F133" s="27"/>
      <c r="G133" s="27"/>
      <c r="H133" s="28"/>
      <c r="I133" s="27"/>
      <c r="J133" s="28"/>
      <c r="K133" s="28"/>
      <c r="L133" s="27"/>
      <c r="M133" s="29"/>
      <c r="N133" s="29"/>
      <c r="O133" s="27"/>
      <c r="P133" s="30"/>
      <c r="Q133" s="31"/>
      <c r="R133" s="31"/>
      <c r="S133" s="45"/>
      <c r="T133" s="45"/>
      <c r="U133" s="45"/>
      <c r="V133" s="45"/>
      <c r="W133" s="45"/>
      <c r="X133" s="45"/>
      <c r="Y133" s="45"/>
      <c r="Z133" s="46"/>
    </row>
    <row r="134" ht="69.75" customHeight="1">
      <c r="A134" s="54" t="s">
        <v>393</v>
      </c>
      <c r="B134" s="55" t="s">
        <v>389</v>
      </c>
      <c r="C134" s="56" t="s">
        <v>394</v>
      </c>
      <c r="D134" s="55" t="s">
        <v>391</v>
      </c>
      <c r="E134" s="56" t="s">
        <v>30</v>
      </c>
      <c r="F134" s="55" t="s">
        <v>392</v>
      </c>
      <c r="G134" s="56"/>
      <c r="H134" s="56"/>
      <c r="I134" s="56"/>
      <c r="J134" s="55"/>
      <c r="K134" s="35"/>
      <c r="L134" s="36"/>
      <c r="M134" s="37"/>
      <c r="N134" s="37"/>
      <c r="O134" s="38"/>
      <c r="P134" s="38"/>
      <c r="Q134" s="39"/>
      <c r="R134" s="39"/>
      <c r="S134" s="47"/>
      <c r="T134" s="47"/>
      <c r="U134" s="47"/>
      <c r="V134" s="47"/>
      <c r="W134" s="47"/>
      <c r="X134" s="47"/>
      <c r="Y134" s="47"/>
      <c r="Z134" s="48"/>
    </row>
    <row r="135" ht="13.5" customHeight="1">
      <c r="A135" s="17" t="str">
        <f>HYPERLINK("http://purl.obolibrary.org/obo/OBI_0000870","http://purl.obolibrary.org/obo/OBI_0000870")</f>
        <v>http://purl.obolibrary.org/obo/OBI_0000870</v>
      </c>
      <c r="B135" s="18" t="s">
        <v>395</v>
      </c>
      <c r="C135" s="19" t="s">
        <v>396</v>
      </c>
      <c r="D135" s="18" t="s">
        <v>157</v>
      </c>
      <c r="E135" s="20" t="s">
        <v>30</v>
      </c>
      <c r="F135" s="18" t="s">
        <v>19</v>
      </c>
      <c r="G135" s="20" t="s">
        <v>397</v>
      </c>
      <c r="H135" s="18" t="s">
        <v>397</v>
      </c>
      <c r="I135" s="20"/>
      <c r="J135" s="18" t="s">
        <v>397</v>
      </c>
      <c r="K135" s="18"/>
      <c r="L135" s="20"/>
      <c r="M135" s="21"/>
      <c r="N135" s="21"/>
      <c r="O135" s="22"/>
      <c r="P135" s="22"/>
      <c r="Q135" s="23"/>
      <c r="R135" s="23"/>
      <c r="S135" s="24"/>
      <c r="T135" s="24"/>
      <c r="U135" s="24"/>
      <c r="V135" s="24"/>
      <c r="W135" s="24"/>
      <c r="X135" s="24"/>
      <c r="Y135" s="24"/>
      <c r="Z135" s="25"/>
    </row>
    <row r="136" ht="39.0" customHeight="1">
      <c r="A136" s="26" t="str">
        <f>A135</f>
        <v>http://purl.obolibrary.org/obo/OBI_0000870</v>
      </c>
      <c r="B136" s="27"/>
      <c r="C136" s="27"/>
      <c r="D136" s="27"/>
      <c r="E136" s="27"/>
      <c r="F136" s="27"/>
      <c r="G136" s="27"/>
      <c r="H136" s="28" t="s">
        <v>31</v>
      </c>
      <c r="I136" s="27"/>
      <c r="J136" s="28" t="s">
        <v>398</v>
      </c>
      <c r="K136" s="28" t="s">
        <v>399</v>
      </c>
      <c r="L136" s="27"/>
      <c r="M136" s="29"/>
      <c r="N136" s="29"/>
      <c r="O136" s="27"/>
      <c r="P136" s="30"/>
      <c r="Q136" s="31"/>
      <c r="R136" s="31"/>
      <c r="S136" s="32"/>
      <c r="T136" s="32"/>
      <c r="U136" s="32"/>
      <c r="V136" s="32"/>
      <c r="W136" s="32"/>
      <c r="X136" s="32"/>
      <c r="Y136" s="32"/>
      <c r="Z136" s="33"/>
    </row>
    <row r="137" ht="27.75" customHeight="1">
      <c r="A137" s="34" t="s">
        <v>400</v>
      </c>
      <c r="B137" s="35" t="s">
        <v>395</v>
      </c>
      <c r="C137" s="36" t="s">
        <v>401</v>
      </c>
      <c r="D137" s="35" t="s">
        <v>157</v>
      </c>
      <c r="E137" s="36" t="s">
        <v>30</v>
      </c>
      <c r="F137" s="35" t="s">
        <v>19</v>
      </c>
      <c r="G137" s="36" t="s">
        <v>402</v>
      </c>
      <c r="H137" s="35" t="s">
        <v>402</v>
      </c>
      <c r="I137" s="36"/>
      <c r="J137" s="35" t="s">
        <v>402</v>
      </c>
      <c r="K137" s="35"/>
      <c r="L137" s="36"/>
      <c r="M137" s="37"/>
      <c r="N137" s="37"/>
      <c r="O137" s="38"/>
      <c r="P137" s="38"/>
      <c r="Q137" s="39"/>
      <c r="R137" s="39"/>
      <c r="S137" s="40"/>
      <c r="T137" s="40"/>
      <c r="U137" s="40"/>
      <c r="V137" s="40"/>
      <c r="W137" s="40"/>
      <c r="X137" s="40"/>
      <c r="Y137" s="40"/>
      <c r="Z137" s="41"/>
    </row>
    <row r="138" ht="69.75" customHeight="1">
      <c r="A138" s="17" t="str">
        <f>HYPERLINK("http://purl.obolibrary.org/obo/OBI_0000871","http://purl.obolibrary.org/obo/OBI_0000871")</f>
        <v>http://purl.obolibrary.org/obo/OBI_0000871</v>
      </c>
      <c r="B138" s="18" t="s">
        <v>403</v>
      </c>
      <c r="C138" s="20" t="s">
        <v>404</v>
      </c>
      <c r="D138" s="18" t="s">
        <v>391</v>
      </c>
      <c r="E138" s="20" t="s">
        <v>30</v>
      </c>
      <c r="F138" s="18" t="s">
        <v>67</v>
      </c>
      <c r="G138" s="20"/>
      <c r="H138" s="18" t="s">
        <v>119</v>
      </c>
      <c r="I138" s="20"/>
      <c r="J138" s="18" t="s">
        <v>405</v>
      </c>
      <c r="K138" s="18"/>
      <c r="L138" s="20"/>
      <c r="M138" s="21" t="s">
        <v>406</v>
      </c>
      <c r="N138" s="21"/>
      <c r="O138" s="22"/>
      <c r="P138" s="22"/>
      <c r="Q138" s="23"/>
      <c r="R138" s="23"/>
      <c r="S138" s="43"/>
      <c r="T138" s="43"/>
      <c r="U138" s="43"/>
      <c r="V138" s="43"/>
      <c r="W138" s="43"/>
      <c r="X138" s="43"/>
      <c r="Y138" s="43"/>
      <c r="Z138" s="44"/>
    </row>
    <row r="139" ht="27.75" customHeight="1">
      <c r="A139" s="26" t="str">
        <f>A138</f>
        <v>http://purl.obolibrary.org/obo/OBI_0000871</v>
      </c>
      <c r="B139" s="27"/>
      <c r="C139" s="42" t="s">
        <v>407</v>
      </c>
      <c r="D139" s="27"/>
      <c r="E139" s="27"/>
      <c r="F139" s="27"/>
      <c r="G139" s="27"/>
      <c r="H139" s="28" t="s">
        <v>121</v>
      </c>
      <c r="I139" s="27"/>
      <c r="J139" s="28" t="s">
        <v>408</v>
      </c>
      <c r="K139" s="28" t="s">
        <v>409</v>
      </c>
      <c r="L139" s="27"/>
      <c r="M139" s="29" t="s">
        <v>410</v>
      </c>
      <c r="N139" s="29"/>
      <c r="O139" s="27"/>
      <c r="P139" s="30"/>
      <c r="Q139" s="31"/>
      <c r="R139" s="31"/>
      <c r="S139" s="45"/>
      <c r="T139" s="45"/>
      <c r="U139" s="45"/>
      <c r="V139" s="45"/>
      <c r="W139" s="45"/>
      <c r="X139" s="45"/>
      <c r="Y139" s="45"/>
      <c r="Z139" s="46"/>
    </row>
    <row r="140" ht="27.75" customHeight="1">
      <c r="A140" s="34" t="s">
        <v>411</v>
      </c>
      <c r="B140" s="35" t="s">
        <v>403</v>
      </c>
      <c r="C140" s="36" t="s">
        <v>404</v>
      </c>
      <c r="D140" s="35" t="s">
        <v>391</v>
      </c>
      <c r="E140" s="36" t="s">
        <v>30</v>
      </c>
      <c r="F140" s="35" t="s">
        <v>67</v>
      </c>
      <c r="G140" s="36"/>
      <c r="H140" s="35" t="s">
        <v>119</v>
      </c>
      <c r="I140" s="36"/>
      <c r="J140" s="35" t="s">
        <v>412</v>
      </c>
      <c r="K140" s="35"/>
      <c r="L140" s="36"/>
      <c r="M140" s="37" t="s">
        <v>413</v>
      </c>
      <c r="N140" s="37"/>
      <c r="O140" s="38"/>
      <c r="P140" s="38"/>
      <c r="Q140" s="39"/>
      <c r="R140" s="39"/>
      <c r="S140" s="47"/>
      <c r="T140" s="47"/>
      <c r="U140" s="47"/>
      <c r="V140" s="47"/>
      <c r="W140" s="47"/>
      <c r="X140" s="47"/>
      <c r="Y140" s="47"/>
      <c r="Z140" s="48"/>
    </row>
    <row r="141" ht="27.75" customHeight="1">
      <c r="A141" s="17" t="str">
        <f>HYPERLINK("http://purl.obolibrary.org/obo/OBI_0000872","http://purl.obolibrary.org/obo/OBI_0000872")</f>
        <v>http://purl.obolibrary.org/obo/OBI_0000872</v>
      </c>
      <c r="B141" s="18" t="s">
        <v>392</v>
      </c>
      <c r="C141" s="19" t="s">
        <v>414</v>
      </c>
      <c r="D141" s="18" t="s">
        <v>391</v>
      </c>
      <c r="E141" s="20" t="s">
        <v>30</v>
      </c>
      <c r="F141" s="18" t="s">
        <v>67</v>
      </c>
      <c r="G141" s="20"/>
      <c r="H141" s="18" t="s">
        <v>119</v>
      </c>
      <c r="I141" s="20"/>
      <c r="J141" s="18"/>
      <c r="K141" s="18"/>
      <c r="L141" s="20"/>
      <c r="M141" s="21"/>
      <c r="N141" s="21"/>
      <c r="O141" s="22"/>
      <c r="P141" s="22"/>
      <c r="Q141" s="23"/>
      <c r="R141" s="23"/>
      <c r="S141" s="24"/>
      <c r="T141" s="24"/>
      <c r="U141" s="24"/>
      <c r="V141" s="24"/>
      <c r="W141" s="24"/>
      <c r="X141" s="24"/>
      <c r="Y141" s="24"/>
      <c r="Z141" s="25"/>
    </row>
    <row r="142" ht="33.75" customHeight="1">
      <c r="A142" s="26" t="str">
        <f>A141</f>
        <v>http://purl.obolibrary.org/obo/OBI_0000872</v>
      </c>
      <c r="B142" s="27"/>
      <c r="C142" s="27"/>
      <c r="D142" s="27"/>
      <c r="E142" s="27"/>
      <c r="F142" s="27"/>
      <c r="G142" s="27"/>
      <c r="H142" s="28" t="s">
        <v>121</v>
      </c>
      <c r="I142" s="27"/>
      <c r="J142" s="28"/>
      <c r="K142" s="28"/>
      <c r="L142" s="27"/>
      <c r="M142" s="29"/>
      <c r="N142" s="29"/>
      <c r="O142" s="27"/>
      <c r="P142" s="30"/>
      <c r="Q142" s="31"/>
      <c r="R142" s="31"/>
      <c r="S142" s="32"/>
      <c r="T142" s="32"/>
      <c r="U142" s="32"/>
      <c r="V142" s="32"/>
      <c r="W142" s="32"/>
      <c r="X142" s="32"/>
      <c r="Y142" s="32"/>
      <c r="Z142" s="33"/>
    </row>
    <row r="143" ht="13.5" customHeight="1">
      <c r="A143" s="34" t="s">
        <v>415</v>
      </c>
      <c r="B143" s="35" t="s">
        <v>392</v>
      </c>
      <c r="C143" s="36" t="s">
        <v>416</v>
      </c>
      <c r="D143" s="35" t="s">
        <v>391</v>
      </c>
      <c r="E143" s="36" t="s">
        <v>30</v>
      </c>
      <c r="F143" s="35" t="s">
        <v>67</v>
      </c>
      <c r="G143" s="36"/>
      <c r="H143" s="35" t="s">
        <v>119</v>
      </c>
      <c r="I143" s="36"/>
      <c r="J143" s="35"/>
      <c r="K143" s="35"/>
      <c r="L143" s="36"/>
      <c r="M143" s="37"/>
      <c r="N143" s="37"/>
      <c r="O143" s="38"/>
      <c r="P143" s="38"/>
      <c r="Q143" s="39"/>
      <c r="R143" s="39"/>
      <c r="S143" s="40"/>
      <c r="T143" s="40"/>
      <c r="U143" s="40"/>
      <c r="V143" s="40"/>
      <c r="W143" s="40"/>
      <c r="X143" s="40"/>
      <c r="Y143" s="40"/>
      <c r="Z143" s="41"/>
    </row>
    <row r="144" ht="178.5" customHeight="1">
      <c r="A144" s="17" t="str">
        <f>HYPERLINK("http://purl.obolibrary.org/obo/OBI_0000875","http://purl.obolibrary.org/obo/OBI_0000875")</f>
        <v>http://purl.obolibrary.org/obo/OBI_0000875</v>
      </c>
      <c r="B144" s="18" t="s">
        <v>417</v>
      </c>
      <c r="C144" s="20" t="s">
        <v>418</v>
      </c>
      <c r="D144" s="18" t="s">
        <v>419</v>
      </c>
      <c r="E144" s="20" t="s">
        <v>30</v>
      </c>
      <c r="F144" s="18" t="s">
        <v>19</v>
      </c>
      <c r="G144" s="20" t="s">
        <v>420</v>
      </c>
      <c r="H144" s="18"/>
      <c r="I144" s="20" t="s">
        <v>420</v>
      </c>
      <c r="J144" s="18" t="s">
        <v>420</v>
      </c>
      <c r="K144" s="18"/>
      <c r="L144" s="20"/>
      <c r="M144" s="21"/>
      <c r="N144" s="21"/>
      <c r="O144" s="22"/>
      <c r="P144" s="22"/>
      <c r="Q144" s="23"/>
      <c r="R144" s="23"/>
      <c r="S144" s="43"/>
      <c r="T144" s="43"/>
      <c r="U144" s="43"/>
      <c r="V144" s="43"/>
      <c r="W144" s="43"/>
      <c r="X144" s="43"/>
      <c r="Y144" s="43"/>
      <c r="Z144" s="44"/>
    </row>
    <row r="145" ht="27.75" customHeight="1">
      <c r="A145" s="26" t="str">
        <f>A144</f>
        <v>http://purl.obolibrary.org/obo/OBI_0000875</v>
      </c>
      <c r="B145" s="27"/>
      <c r="C145" s="27"/>
      <c r="D145" s="27"/>
      <c r="E145" s="27"/>
      <c r="F145" s="27"/>
      <c r="G145" s="27"/>
      <c r="H145" s="28"/>
      <c r="I145" s="42" t="s">
        <v>421</v>
      </c>
      <c r="J145" s="28"/>
      <c r="K145" s="28"/>
      <c r="L145" s="27"/>
      <c r="M145" s="29"/>
      <c r="N145" s="29"/>
      <c r="O145" s="27"/>
      <c r="P145" s="30"/>
      <c r="Q145" s="31"/>
      <c r="R145" s="31"/>
      <c r="S145" s="45"/>
      <c r="T145" s="45"/>
      <c r="U145" s="45"/>
      <c r="V145" s="45"/>
      <c r="W145" s="45"/>
      <c r="X145" s="45"/>
      <c r="Y145" s="45"/>
      <c r="Z145" s="46"/>
    </row>
    <row r="146" ht="84.0" customHeight="1">
      <c r="A146" s="34" t="s">
        <v>422</v>
      </c>
      <c r="B146" s="35" t="s">
        <v>417</v>
      </c>
      <c r="C146" s="60" t="s">
        <v>418</v>
      </c>
      <c r="D146" s="35" t="s">
        <v>423</v>
      </c>
      <c r="E146" s="36" t="s">
        <v>30</v>
      </c>
      <c r="F146" s="35" t="s">
        <v>424</v>
      </c>
      <c r="G146" s="36"/>
      <c r="H146" s="35" t="s">
        <v>119</v>
      </c>
      <c r="I146" s="36"/>
      <c r="J146" s="35"/>
      <c r="K146" s="35"/>
      <c r="L146" s="36"/>
      <c r="M146" s="37"/>
      <c r="N146" s="37"/>
      <c r="O146" s="38"/>
      <c r="P146" s="38"/>
      <c r="Q146" s="39"/>
      <c r="R146" s="39"/>
      <c r="S146" s="47"/>
      <c r="T146" s="47"/>
      <c r="U146" s="47"/>
      <c r="V146" s="47"/>
      <c r="W146" s="47"/>
      <c r="X146" s="47"/>
      <c r="Y146" s="47"/>
      <c r="Z146" s="48"/>
    </row>
    <row r="147" ht="13.5" customHeight="1">
      <c r="A147" s="17" t="str">
        <f>HYPERLINK("http://purl.obolibrary.org/obo/OBI_0000892","http://purl.obolibrary.org/obo/OBI_0000892")</f>
        <v>http://purl.obolibrary.org/obo/OBI_0000892</v>
      </c>
      <c r="B147" s="18" t="s">
        <v>425</v>
      </c>
      <c r="C147" s="19" t="s">
        <v>426</v>
      </c>
      <c r="D147" s="18" t="s">
        <v>157</v>
      </c>
      <c r="E147" s="20" t="s">
        <v>30</v>
      </c>
      <c r="F147" s="18" t="s">
        <v>67</v>
      </c>
      <c r="G147" s="20"/>
      <c r="H147" s="18" t="s">
        <v>24</v>
      </c>
      <c r="I147" s="20"/>
      <c r="J147" s="18" t="s">
        <v>427</v>
      </c>
      <c r="K147" s="18"/>
      <c r="L147" s="20"/>
      <c r="M147" s="21"/>
      <c r="N147" s="21"/>
      <c r="O147" s="22" t="s">
        <v>428</v>
      </c>
      <c r="P147" s="22"/>
      <c r="Q147" s="23" t="s">
        <v>381</v>
      </c>
      <c r="R147" s="23"/>
      <c r="S147" s="24"/>
      <c r="T147" s="24"/>
      <c r="U147" s="24"/>
      <c r="V147" s="24"/>
      <c r="W147" s="24"/>
      <c r="X147" s="24"/>
      <c r="Y147" s="24"/>
      <c r="Z147" s="25"/>
    </row>
    <row r="148" ht="69.75" customHeight="1">
      <c r="A148" s="26" t="str">
        <f>A147</f>
        <v>http://purl.obolibrary.org/obo/OBI_0000892</v>
      </c>
      <c r="B148" s="27"/>
      <c r="C148" s="27"/>
      <c r="D148" s="27"/>
      <c r="E148" s="27"/>
      <c r="F148" s="27"/>
      <c r="G148" s="27"/>
      <c r="H148" s="52" t="s">
        <v>31</v>
      </c>
      <c r="I148" s="27"/>
      <c r="J148" s="52" t="s">
        <v>429</v>
      </c>
      <c r="K148" s="28" t="s">
        <v>430</v>
      </c>
      <c r="L148" s="27"/>
      <c r="M148" s="29"/>
      <c r="N148" s="29"/>
      <c r="O148" s="27"/>
      <c r="P148" s="30" t="s">
        <v>431</v>
      </c>
      <c r="Q148" s="59" t="s">
        <v>432</v>
      </c>
      <c r="R148" s="31"/>
      <c r="S148" s="32"/>
      <c r="T148" s="32"/>
      <c r="U148" s="32"/>
      <c r="V148" s="32"/>
      <c r="W148" s="32"/>
      <c r="X148" s="32"/>
      <c r="Y148" s="32"/>
      <c r="Z148" s="33"/>
    </row>
    <row r="149" ht="27.75" customHeight="1">
      <c r="A149" s="54" t="s">
        <v>433</v>
      </c>
      <c r="B149" s="55" t="s">
        <v>425</v>
      </c>
      <c r="C149" s="56" t="s">
        <v>434</v>
      </c>
      <c r="D149" s="55" t="s">
        <v>157</v>
      </c>
      <c r="E149" s="56" t="s">
        <v>30</v>
      </c>
      <c r="F149" s="55" t="s">
        <v>388</v>
      </c>
      <c r="G149" s="56"/>
      <c r="H149" s="55" t="s">
        <v>24</v>
      </c>
      <c r="I149" s="56"/>
      <c r="J149" s="55" t="s">
        <v>435</v>
      </c>
      <c r="K149" s="35"/>
      <c r="L149" s="36"/>
      <c r="M149" s="37"/>
      <c r="N149" s="37"/>
      <c r="O149" s="38" t="s">
        <v>428</v>
      </c>
      <c r="P149" s="38"/>
      <c r="Q149" s="39"/>
      <c r="R149" s="39" t="s">
        <v>381</v>
      </c>
      <c r="S149" s="40"/>
      <c r="T149" s="40"/>
      <c r="U149" s="40"/>
      <c r="V149" s="40"/>
      <c r="W149" s="40"/>
      <c r="X149" s="40"/>
      <c r="Y149" s="40"/>
      <c r="Z149" s="41"/>
    </row>
    <row r="150" ht="69.75" customHeight="1">
      <c r="A150" s="17" t="str">
        <f>HYPERLINK("http://purl.obolibrary.org/obo/OBI_0000893","http://purl.obolibrary.org/obo/OBI_0000893")</f>
        <v>http://purl.obolibrary.org/obo/OBI_0000893</v>
      </c>
      <c r="B150" s="18" t="s">
        <v>436</v>
      </c>
      <c r="C150" s="19" t="s">
        <v>437</v>
      </c>
      <c r="D150" s="18" t="s">
        <v>391</v>
      </c>
      <c r="E150" s="20" t="s">
        <v>30</v>
      </c>
      <c r="F150" s="18" t="s">
        <v>19</v>
      </c>
      <c r="G150" s="20"/>
      <c r="H150" s="18"/>
      <c r="I150" s="20"/>
      <c r="J150" s="18"/>
      <c r="K150" s="18"/>
      <c r="L150" s="20"/>
      <c r="M150" s="21" t="s">
        <v>438</v>
      </c>
      <c r="N150" s="21"/>
      <c r="O150" s="22"/>
      <c r="P150" s="22"/>
      <c r="Q150" s="23"/>
      <c r="R150" s="23"/>
      <c r="S150" s="43"/>
      <c r="T150" s="43"/>
      <c r="U150" s="43"/>
      <c r="V150" s="43"/>
      <c r="W150" s="43"/>
      <c r="X150" s="43"/>
      <c r="Y150" s="43"/>
      <c r="Z150" s="44"/>
    </row>
    <row r="151" ht="27.75" customHeight="1">
      <c r="A151" s="26" t="str">
        <f>A150</f>
        <v>http://purl.obolibrary.org/obo/OBI_0000893</v>
      </c>
      <c r="B151" s="27"/>
      <c r="C151" s="27"/>
      <c r="D151" s="27"/>
      <c r="E151" s="27"/>
      <c r="F151" s="27"/>
      <c r="G151" s="27"/>
      <c r="H151" s="28"/>
      <c r="I151" s="27"/>
      <c r="J151" s="28"/>
      <c r="K151" s="28"/>
      <c r="L151" s="27"/>
      <c r="M151" s="29" t="s">
        <v>439</v>
      </c>
      <c r="N151" s="29"/>
      <c r="O151" s="27"/>
      <c r="P151" s="30"/>
      <c r="Q151" s="31"/>
      <c r="R151" s="31"/>
      <c r="S151" s="45"/>
      <c r="T151" s="45"/>
      <c r="U151" s="45"/>
      <c r="V151" s="45"/>
      <c r="W151" s="45"/>
      <c r="X151" s="45"/>
      <c r="Y151" s="45"/>
      <c r="Z151" s="46"/>
    </row>
    <row r="152" ht="237.75" customHeight="1">
      <c r="A152" s="34" t="s">
        <v>440</v>
      </c>
      <c r="B152" s="35" t="s">
        <v>436</v>
      </c>
      <c r="C152" s="36" t="s">
        <v>441</v>
      </c>
      <c r="D152" s="35" t="s">
        <v>391</v>
      </c>
      <c r="E152" s="36" t="s">
        <v>30</v>
      </c>
      <c r="F152" s="35" t="s">
        <v>19</v>
      </c>
      <c r="G152" s="36"/>
      <c r="H152" s="36"/>
      <c r="I152" s="36"/>
      <c r="J152" s="35"/>
      <c r="K152" s="35"/>
      <c r="L152" s="36"/>
      <c r="M152" s="37" t="s">
        <v>442</v>
      </c>
      <c r="N152" s="37"/>
      <c r="O152" s="38"/>
      <c r="P152" s="38"/>
      <c r="Q152" s="39"/>
      <c r="R152" s="39"/>
      <c r="S152" s="47"/>
      <c r="T152" s="47"/>
      <c r="U152" s="47"/>
      <c r="V152" s="47"/>
      <c r="W152" s="47"/>
      <c r="X152" s="47"/>
      <c r="Y152" s="47"/>
      <c r="Z152" s="48"/>
    </row>
    <row r="153" ht="27.75" customHeight="1">
      <c r="A153" s="17" t="str">
        <f>HYPERLINK("http://purl.obolibrary.org/obo/OBI_0000897","http://purl.obolibrary.org/obo/OBI_0000897")</f>
        <v>http://purl.obolibrary.org/obo/OBI_0000897</v>
      </c>
      <c r="B153" s="18" t="s">
        <v>443</v>
      </c>
      <c r="C153" s="19" t="s">
        <v>444</v>
      </c>
      <c r="D153" s="18" t="s">
        <v>157</v>
      </c>
      <c r="E153" s="20" t="s">
        <v>30</v>
      </c>
      <c r="F153" s="18" t="s">
        <v>445</v>
      </c>
      <c r="G153" s="20"/>
      <c r="H153" s="18" t="s">
        <v>24</v>
      </c>
      <c r="I153" s="20" t="s">
        <v>446</v>
      </c>
      <c r="J153" s="18" t="s">
        <v>447</v>
      </c>
      <c r="K153" s="18"/>
      <c r="L153" s="20"/>
      <c r="M153" s="21"/>
      <c r="N153" s="21"/>
      <c r="O153" s="22"/>
      <c r="P153" s="22"/>
      <c r="Q153" s="23"/>
      <c r="R153" s="23"/>
      <c r="S153" s="24"/>
      <c r="T153" s="24"/>
      <c r="U153" s="24"/>
      <c r="V153" s="24"/>
      <c r="W153" s="24"/>
      <c r="X153" s="24"/>
      <c r="Y153" s="24"/>
      <c r="Z153" s="25"/>
    </row>
    <row r="154" ht="84.0" customHeight="1">
      <c r="A154" s="26" t="str">
        <f>A153</f>
        <v>http://purl.obolibrary.org/obo/OBI_0000897</v>
      </c>
      <c r="B154" s="27"/>
      <c r="C154" s="42" t="s">
        <v>448</v>
      </c>
      <c r="D154" s="27"/>
      <c r="E154" s="27"/>
      <c r="F154" s="27"/>
      <c r="G154" s="27"/>
      <c r="H154" s="52" t="s">
        <v>31</v>
      </c>
      <c r="I154" s="58" t="s">
        <v>449</v>
      </c>
      <c r="J154" s="52" t="s">
        <v>450</v>
      </c>
      <c r="K154" s="28" t="s">
        <v>451</v>
      </c>
      <c r="L154" s="27"/>
      <c r="M154" s="29"/>
      <c r="N154" s="29"/>
      <c r="O154" s="27"/>
      <c r="P154" s="30"/>
      <c r="Q154" s="31"/>
      <c r="R154" s="31"/>
      <c r="S154" s="32"/>
      <c r="T154" s="32"/>
      <c r="U154" s="32"/>
      <c r="V154" s="32"/>
      <c r="W154" s="32"/>
      <c r="X154" s="32"/>
      <c r="Y154" s="32"/>
      <c r="Z154" s="33"/>
    </row>
    <row r="155" ht="27.75" customHeight="1">
      <c r="A155" s="54" t="s">
        <v>452</v>
      </c>
      <c r="B155" s="55" t="s">
        <v>443</v>
      </c>
      <c r="C155" s="56" t="s">
        <v>453</v>
      </c>
      <c r="D155" s="55" t="s">
        <v>157</v>
      </c>
      <c r="E155" s="56" t="s">
        <v>30</v>
      </c>
      <c r="F155" s="55" t="s">
        <v>445</v>
      </c>
      <c r="G155" s="56"/>
      <c r="H155" s="55" t="s">
        <v>24</v>
      </c>
      <c r="I155" s="56" t="s">
        <v>446</v>
      </c>
      <c r="J155" s="55" t="s">
        <v>454</v>
      </c>
      <c r="K155" s="35"/>
      <c r="L155" s="36"/>
      <c r="M155" s="37"/>
      <c r="N155" s="37"/>
      <c r="O155" s="38"/>
      <c r="P155" s="38"/>
      <c r="Q155" s="39"/>
      <c r="R155" s="39"/>
      <c r="S155" s="40"/>
      <c r="T155" s="40"/>
      <c r="U155" s="40"/>
      <c r="V155" s="40"/>
      <c r="W155" s="40"/>
      <c r="X155" s="40"/>
      <c r="Y155" s="40"/>
      <c r="Z155" s="41"/>
    </row>
    <row r="156" ht="84.0" customHeight="1">
      <c r="A156" s="17" t="str">
        <f>HYPERLINK("http://purl.obolibrary.org/obo/OBI_0000911","http://purl.obolibrary.org/obo/OBI_0000911")</f>
        <v>http://purl.obolibrary.org/obo/OBI_0000911</v>
      </c>
      <c r="B156" s="18" t="s">
        <v>455</v>
      </c>
      <c r="C156" s="19" t="s">
        <v>456</v>
      </c>
      <c r="D156" s="18" t="s">
        <v>457</v>
      </c>
      <c r="E156" s="20" t="s">
        <v>30</v>
      </c>
      <c r="F156" s="18" t="s">
        <v>19</v>
      </c>
      <c r="G156" s="20" t="s">
        <v>458</v>
      </c>
      <c r="H156" s="18"/>
      <c r="I156" s="20"/>
      <c r="J156" s="18" t="s">
        <v>459</v>
      </c>
      <c r="K156" s="18"/>
      <c r="L156" s="20"/>
      <c r="M156" s="21" t="s">
        <v>458</v>
      </c>
      <c r="N156" s="21"/>
      <c r="O156" s="22"/>
      <c r="P156" s="22"/>
      <c r="Q156" s="23"/>
      <c r="R156" s="23"/>
      <c r="S156" s="43"/>
      <c r="T156" s="43"/>
      <c r="U156" s="43"/>
      <c r="V156" s="43"/>
      <c r="W156" s="43"/>
      <c r="X156" s="43"/>
      <c r="Y156" s="43"/>
      <c r="Z156" s="44"/>
    </row>
    <row r="157" ht="13.5" customHeight="1">
      <c r="A157" s="26" t="str">
        <f>A156</f>
        <v>http://purl.obolibrary.org/obo/OBI_0000911</v>
      </c>
      <c r="B157" s="27"/>
      <c r="C157" s="27"/>
      <c r="D157" s="27"/>
      <c r="E157" s="27"/>
      <c r="F157" s="27"/>
      <c r="G157" s="27"/>
      <c r="H157" s="28"/>
      <c r="I157" s="27"/>
      <c r="J157" s="28" t="s">
        <v>460</v>
      </c>
      <c r="K157" s="28" t="s">
        <v>86</v>
      </c>
      <c r="L157" s="27"/>
      <c r="M157" s="29" t="s">
        <v>436</v>
      </c>
      <c r="N157" s="29" t="s">
        <v>461</v>
      </c>
      <c r="O157" s="27"/>
      <c r="P157" s="30"/>
      <c r="Q157" s="31"/>
      <c r="R157" s="31"/>
      <c r="S157" s="45"/>
      <c r="T157" s="45"/>
      <c r="U157" s="45"/>
      <c r="V157" s="45"/>
      <c r="W157" s="45"/>
      <c r="X157" s="45"/>
      <c r="Y157" s="45"/>
      <c r="Z157" s="46"/>
    </row>
    <row r="158" ht="69.75" customHeight="1">
      <c r="A158" s="34" t="s">
        <v>462</v>
      </c>
      <c r="B158" s="35" t="s">
        <v>463</v>
      </c>
      <c r="C158" s="36" t="s">
        <v>464</v>
      </c>
      <c r="D158" s="35" t="s">
        <v>457</v>
      </c>
      <c r="E158" s="36" t="s">
        <v>30</v>
      </c>
      <c r="F158" s="35" t="s">
        <v>19</v>
      </c>
      <c r="G158" s="36" t="s">
        <v>465</v>
      </c>
      <c r="H158" s="36"/>
      <c r="I158" s="36"/>
      <c r="J158" s="35" t="s">
        <v>459</v>
      </c>
      <c r="K158" s="35"/>
      <c r="L158" s="36"/>
      <c r="M158" s="37" t="s">
        <v>465</v>
      </c>
      <c r="N158" s="37"/>
      <c r="O158" s="38"/>
      <c r="P158" s="38"/>
      <c r="Q158" s="39"/>
      <c r="R158" s="39"/>
      <c r="S158" s="47"/>
      <c r="T158" s="47"/>
      <c r="U158" s="47"/>
      <c r="V158" s="47"/>
      <c r="W158" s="47"/>
      <c r="X158" s="47"/>
      <c r="Y158" s="47"/>
      <c r="Z158" s="48"/>
    </row>
    <row r="159" ht="12.75" customHeight="1">
      <c r="A159" s="17" t="str">
        <f>HYPERLINK("http://purl.obolibrary.org/obo/OBI_0000944","http://purl.obolibrary.org/obo/OBI_0000944")</f>
        <v>http://purl.obolibrary.org/obo/OBI_0000944</v>
      </c>
      <c r="B159" s="18" t="s">
        <v>466</v>
      </c>
      <c r="C159" s="19" t="s">
        <v>467</v>
      </c>
      <c r="D159" s="18" t="s">
        <v>125</v>
      </c>
      <c r="E159" s="20" t="s">
        <v>30</v>
      </c>
      <c r="F159" s="18" t="s">
        <v>19</v>
      </c>
      <c r="G159" s="20" t="s">
        <v>468</v>
      </c>
      <c r="H159" s="18"/>
      <c r="I159" s="20"/>
      <c r="J159" s="18" t="s">
        <v>468</v>
      </c>
      <c r="K159" s="18"/>
      <c r="L159" s="20"/>
      <c r="M159" s="21"/>
      <c r="N159" s="21"/>
      <c r="O159" s="22"/>
      <c r="P159" s="22"/>
      <c r="Q159" s="23"/>
      <c r="R159" s="23"/>
      <c r="S159" s="24"/>
      <c r="T159" s="24"/>
      <c r="U159" s="24"/>
      <c r="V159" s="24"/>
      <c r="W159" s="24"/>
      <c r="X159" s="24"/>
      <c r="Y159" s="24"/>
      <c r="Z159" s="25"/>
    </row>
    <row r="160" ht="84.0" customHeight="1">
      <c r="A160" s="26" t="str">
        <f>A159</f>
        <v>http://purl.obolibrary.org/obo/OBI_0000944</v>
      </c>
      <c r="B160" s="27"/>
      <c r="C160" s="27"/>
      <c r="D160" s="27"/>
      <c r="E160" s="27"/>
      <c r="F160" s="27"/>
      <c r="G160" s="27"/>
      <c r="H160" s="28"/>
      <c r="I160" s="27"/>
      <c r="J160" s="28" t="s">
        <v>469</v>
      </c>
      <c r="K160" s="28" t="s">
        <v>470</v>
      </c>
      <c r="L160" s="27"/>
      <c r="M160" s="29"/>
      <c r="N160" s="29"/>
      <c r="O160" s="27"/>
      <c r="P160" s="30"/>
      <c r="Q160" s="31"/>
      <c r="R160" s="31"/>
      <c r="S160" s="32"/>
      <c r="T160" s="32"/>
      <c r="U160" s="32"/>
      <c r="V160" s="32"/>
      <c r="W160" s="32"/>
      <c r="X160" s="32"/>
      <c r="Y160" s="32"/>
      <c r="Z160" s="33"/>
    </row>
    <row r="161" ht="27.75" customHeight="1">
      <c r="A161" s="34" t="s">
        <v>471</v>
      </c>
      <c r="B161" s="35" t="s">
        <v>466</v>
      </c>
      <c r="C161" s="36" t="s">
        <v>472</v>
      </c>
      <c r="D161" s="35" t="s">
        <v>125</v>
      </c>
      <c r="E161" s="36" t="s">
        <v>30</v>
      </c>
      <c r="F161" s="35" t="s">
        <v>19</v>
      </c>
      <c r="G161" s="36" t="s">
        <v>473</v>
      </c>
      <c r="H161" s="36"/>
      <c r="I161" s="36"/>
      <c r="J161" s="35" t="s">
        <v>473</v>
      </c>
      <c r="K161" s="35"/>
      <c r="L161" s="36"/>
      <c r="M161" s="37"/>
      <c r="N161" s="37"/>
      <c r="O161" s="38"/>
      <c r="P161" s="38"/>
      <c r="Q161" s="39"/>
      <c r="R161" s="39"/>
      <c r="S161" s="40"/>
      <c r="T161" s="40"/>
      <c r="U161" s="40"/>
      <c r="V161" s="40"/>
      <c r="W161" s="40"/>
      <c r="X161" s="40"/>
      <c r="Y161" s="40"/>
      <c r="Z161" s="41"/>
    </row>
    <row r="162" ht="223.5" customHeight="1">
      <c r="A162" s="17" t="str">
        <f>HYPERLINK("http://purl.obolibrary.org/obo/OBI_0000957","http://purl.obolibrary.org/obo/OBI_0000957")</f>
        <v>http://purl.obolibrary.org/obo/OBI_0000957</v>
      </c>
      <c r="B162" s="18" t="s">
        <v>474</v>
      </c>
      <c r="C162" s="19" t="s">
        <v>475</v>
      </c>
      <c r="D162" s="18"/>
      <c r="E162" s="20" t="s">
        <v>30</v>
      </c>
      <c r="F162" s="18" t="s">
        <v>466</v>
      </c>
      <c r="G162" s="20"/>
      <c r="H162" s="18"/>
      <c r="I162" s="20"/>
      <c r="J162" s="18" t="s">
        <v>476</v>
      </c>
      <c r="K162" s="18"/>
      <c r="L162" s="20"/>
      <c r="M162" s="21"/>
      <c r="N162" s="21"/>
      <c r="O162" s="22"/>
      <c r="P162" s="22"/>
      <c r="Q162" s="23"/>
      <c r="R162" s="23"/>
      <c r="S162" s="43"/>
      <c r="T162" s="43"/>
      <c r="U162" s="43"/>
      <c r="V162" s="43"/>
      <c r="W162" s="43"/>
      <c r="X162" s="43"/>
      <c r="Y162" s="43"/>
      <c r="Z162" s="44"/>
    </row>
    <row r="163" ht="27.75" customHeight="1">
      <c r="A163" s="26" t="str">
        <f>A162</f>
        <v>http://purl.obolibrary.org/obo/OBI_0000957</v>
      </c>
      <c r="B163" s="27"/>
      <c r="C163" s="27"/>
      <c r="D163" s="27"/>
      <c r="E163" s="27"/>
      <c r="F163" s="27"/>
      <c r="G163" s="27"/>
      <c r="H163" s="28"/>
      <c r="I163" s="27"/>
      <c r="J163" s="52" t="s">
        <v>477</v>
      </c>
      <c r="K163" s="28"/>
      <c r="L163" s="27"/>
      <c r="M163" s="29"/>
      <c r="N163" s="29"/>
      <c r="O163" s="30"/>
      <c r="P163" s="30"/>
      <c r="Q163" s="31"/>
      <c r="R163" s="31"/>
      <c r="S163" s="45"/>
      <c r="T163" s="45"/>
      <c r="U163" s="45"/>
      <c r="V163" s="45"/>
      <c r="W163" s="45"/>
      <c r="X163" s="45"/>
      <c r="Y163" s="45"/>
      <c r="Z163" s="46"/>
    </row>
    <row r="164" ht="84.0" customHeight="1">
      <c r="A164" s="54" t="s">
        <v>478</v>
      </c>
      <c r="B164" s="55" t="s">
        <v>474</v>
      </c>
      <c r="C164" s="56" t="s">
        <v>479</v>
      </c>
      <c r="D164" s="56"/>
      <c r="E164" s="56" t="s">
        <v>30</v>
      </c>
      <c r="F164" s="55" t="s">
        <v>466</v>
      </c>
      <c r="G164" s="56"/>
      <c r="H164" s="56"/>
      <c r="I164" s="61"/>
      <c r="J164" s="55" t="s">
        <v>476</v>
      </c>
      <c r="K164" s="35"/>
      <c r="L164" s="36"/>
      <c r="M164" s="37"/>
      <c r="N164" s="37"/>
      <c r="O164" s="38"/>
      <c r="P164" s="38"/>
      <c r="Q164" s="39"/>
      <c r="R164" s="39"/>
      <c r="S164" s="47"/>
      <c r="T164" s="47"/>
      <c r="U164" s="47"/>
      <c r="V164" s="47"/>
      <c r="W164" s="47"/>
      <c r="X164" s="47"/>
      <c r="Y164" s="47"/>
      <c r="Z164" s="48"/>
    </row>
    <row r="165" ht="27.75" customHeight="1">
      <c r="A165" s="17" t="str">
        <f>HYPERLINK("http://purl.obolibrary.org/obo/OBI_0000964","http://purl.obolibrary.org/obo/OBI_0000964")</f>
        <v>http://purl.obolibrary.org/obo/OBI_0000964</v>
      </c>
      <c r="B165" s="18" t="s">
        <v>480</v>
      </c>
      <c r="C165" s="20" t="s">
        <v>481</v>
      </c>
      <c r="D165" s="18"/>
      <c r="E165" s="20" t="s">
        <v>30</v>
      </c>
      <c r="F165" s="18" t="s">
        <v>19</v>
      </c>
      <c r="G165" s="20"/>
      <c r="H165" s="18"/>
      <c r="I165" s="20"/>
      <c r="J165" s="18"/>
      <c r="K165" s="18"/>
      <c r="L165" s="20"/>
      <c r="M165" s="21"/>
      <c r="N165" s="21"/>
      <c r="O165" s="22"/>
      <c r="P165" s="22"/>
      <c r="Q165" s="23"/>
      <c r="R165" s="23"/>
      <c r="S165" s="24"/>
      <c r="T165" s="24"/>
      <c r="U165" s="24"/>
      <c r="V165" s="24"/>
      <c r="W165" s="24"/>
      <c r="X165" s="24"/>
      <c r="Y165" s="24"/>
      <c r="Z165" s="25"/>
    </row>
    <row r="166" ht="111.75" customHeight="1">
      <c r="A166" s="26" t="str">
        <f>A165</f>
        <v>http://purl.obolibrary.org/obo/OBI_0000964</v>
      </c>
      <c r="B166" s="27"/>
      <c r="C166" s="27"/>
      <c r="D166" s="27"/>
      <c r="E166" s="27"/>
      <c r="F166" s="27"/>
      <c r="G166" s="27"/>
      <c r="H166" s="28"/>
      <c r="I166" s="27"/>
      <c r="J166" s="28"/>
      <c r="K166" s="28"/>
      <c r="L166" s="27"/>
      <c r="M166" s="29"/>
      <c r="N166" s="29"/>
      <c r="O166" s="27"/>
      <c r="P166" s="30"/>
      <c r="Q166" s="31"/>
      <c r="R166" s="31"/>
      <c r="S166" s="32"/>
      <c r="T166" s="32"/>
      <c r="U166" s="32"/>
      <c r="V166" s="32"/>
      <c r="W166" s="32"/>
      <c r="X166" s="32"/>
      <c r="Y166" s="32"/>
      <c r="Z166" s="33"/>
    </row>
    <row r="167" ht="27.75" customHeight="1">
      <c r="A167" s="34" t="s">
        <v>482</v>
      </c>
      <c r="B167" s="35" t="s">
        <v>480</v>
      </c>
      <c r="C167" s="36" t="s">
        <v>481</v>
      </c>
      <c r="D167" s="36"/>
      <c r="E167" s="36" t="s">
        <v>30</v>
      </c>
      <c r="F167" s="35" t="s">
        <v>19</v>
      </c>
      <c r="G167" s="36"/>
      <c r="H167" s="36"/>
      <c r="I167" s="36"/>
      <c r="J167" s="35"/>
      <c r="K167" s="35"/>
      <c r="L167" s="36"/>
      <c r="M167" s="37"/>
      <c r="N167" s="37"/>
      <c r="O167" s="38"/>
      <c r="P167" s="38"/>
      <c r="Q167" s="39"/>
      <c r="R167" s="39"/>
      <c r="S167" s="40"/>
      <c r="T167" s="40"/>
      <c r="U167" s="40"/>
      <c r="V167" s="40"/>
      <c r="W167" s="40"/>
      <c r="X167" s="40"/>
      <c r="Y167" s="40"/>
      <c r="Z167" s="41"/>
    </row>
    <row r="168" ht="97.5" customHeight="1">
      <c r="A168" s="17" t="str">
        <f>HYPERLINK("http://purl.obolibrary.org/obo/OBI_0000966","http://purl.obolibrary.org/obo/OBI_0000966")</f>
        <v>http://purl.obolibrary.org/obo/OBI_0000966</v>
      </c>
      <c r="B168" s="18" t="s">
        <v>483</v>
      </c>
      <c r="C168" s="20" t="s">
        <v>484</v>
      </c>
      <c r="D168" s="18" t="s">
        <v>485</v>
      </c>
      <c r="E168" s="20" t="s">
        <v>30</v>
      </c>
      <c r="F168" s="18" t="s">
        <v>19</v>
      </c>
      <c r="G168" s="20" t="s">
        <v>486</v>
      </c>
      <c r="H168" s="18"/>
      <c r="I168" s="20"/>
      <c r="J168" s="18"/>
      <c r="K168" s="18"/>
      <c r="L168" s="20"/>
      <c r="M168" s="21"/>
      <c r="N168" s="21"/>
      <c r="O168" s="22"/>
      <c r="P168" s="22"/>
      <c r="Q168" s="23"/>
      <c r="R168" s="23"/>
      <c r="S168" s="43"/>
      <c r="T168" s="43"/>
      <c r="U168" s="43"/>
      <c r="V168" s="43"/>
      <c r="W168" s="43"/>
      <c r="X168" s="43"/>
      <c r="Y168" s="43"/>
      <c r="Z168" s="44"/>
    </row>
    <row r="169" ht="27.75" customHeight="1">
      <c r="A169" s="26" t="str">
        <f>A168</f>
        <v>http://purl.obolibrary.org/obo/OBI_0000966</v>
      </c>
      <c r="B169" s="27"/>
      <c r="C169" s="27"/>
      <c r="D169" s="27"/>
      <c r="E169" s="27"/>
      <c r="F169" s="27"/>
      <c r="G169" s="27"/>
      <c r="H169" s="28"/>
      <c r="I169" s="27"/>
      <c r="J169" s="28"/>
      <c r="K169" s="28"/>
      <c r="L169" s="27"/>
      <c r="M169" s="29"/>
      <c r="N169" s="29"/>
      <c r="O169" s="27"/>
      <c r="P169" s="30"/>
      <c r="Q169" s="31"/>
      <c r="R169" s="31"/>
      <c r="S169" s="45"/>
      <c r="T169" s="45"/>
      <c r="U169" s="45"/>
      <c r="V169" s="45"/>
      <c r="W169" s="45"/>
      <c r="X169" s="45"/>
      <c r="Y169" s="45"/>
      <c r="Z169" s="46"/>
    </row>
    <row r="170" ht="139.5" customHeight="1">
      <c r="A170" s="34" t="s">
        <v>487</v>
      </c>
      <c r="B170" s="35" t="s">
        <v>483</v>
      </c>
      <c r="C170" s="36" t="s">
        <v>484</v>
      </c>
      <c r="D170" s="35" t="s">
        <v>485</v>
      </c>
      <c r="E170" s="36" t="s">
        <v>30</v>
      </c>
      <c r="F170" s="35" t="s">
        <v>19</v>
      </c>
      <c r="G170" s="36" t="s">
        <v>488</v>
      </c>
      <c r="H170" s="36"/>
      <c r="I170" s="36"/>
      <c r="J170" s="35"/>
      <c r="K170" s="35"/>
      <c r="L170" s="36" t="s">
        <v>488</v>
      </c>
      <c r="M170" s="37"/>
      <c r="N170" s="37"/>
      <c r="O170" s="38"/>
      <c r="P170" s="38"/>
      <c r="Q170" s="39"/>
      <c r="R170" s="39"/>
      <c r="S170" s="47"/>
      <c r="T170" s="47"/>
      <c r="U170" s="47"/>
      <c r="V170" s="47"/>
      <c r="W170" s="47"/>
      <c r="X170" s="47"/>
      <c r="Y170" s="47"/>
      <c r="Z170" s="48"/>
    </row>
    <row r="171" ht="13.5" customHeight="1">
      <c r="A171" s="17" t="str">
        <f>HYPERLINK("http://purl.obolibrary.org/obo/OBI_0000978","http://purl.obolibrary.org/obo/OBI_0000978")</f>
        <v>http://purl.obolibrary.org/obo/OBI_0000978</v>
      </c>
      <c r="B171" s="18" t="s">
        <v>489</v>
      </c>
      <c r="C171" s="19" t="s">
        <v>490</v>
      </c>
      <c r="D171" s="18"/>
      <c r="E171" s="20" t="s">
        <v>30</v>
      </c>
      <c r="F171" s="18" t="s">
        <v>19</v>
      </c>
      <c r="G171" s="20"/>
      <c r="H171" s="18"/>
      <c r="I171" s="20"/>
      <c r="J171" s="18"/>
      <c r="K171" s="18"/>
      <c r="L171" s="20"/>
      <c r="M171" s="21"/>
      <c r="N171" s="21"/>
      <c r="O171" s="22"/>
      <c r="P171" s="22"/>
      <c r="Q171" s="23"/>
      <c r="R171" s="23"/>
      <c r="S171" s="24"/>
      <c r="T171" s="24"/>
      <c r="U171" s="24"/>
      <c r="V171" s="24"/>
      <c r="W171" s="24"/>
      <c r="X171" s="24"/>
      <c r="Y171" s="24"/>
      <c r="Z171" s="25"/>
    </row>
    <row r="172" ht="210.0" customHeight="1">
      <c r="A172" s="26" t="str">
        <f>A171</f>
        <v>http://purl.obolibrary.org/obo/OBI_0000978</v>
      </c>
      <c r="B172" s="27"/>
      <c r="C172" s="27"/>
      <c r="D172" s="27"/>
      <c r="E172" s="27"/>
      <c r="F172" s="27"/>
      <c r="G172" s="27"/>
      <c r="H172" s="28"/>
      <c r="I172" s="27"/>
      <c r="J172" s="28"/>
      <c r="K172" s="28"/>
      <c r="L172" s="27"/>
      <c r="M172" s="29"/>
      <c r="N172" s="29"/>
      <c r="O172" s="27"/>
      <c r="P172" s="30"/>
      <c r="Q172" s="31"/>
      <c r="R172" s="31"/>
      <c r="S172" s="32"/>
      <c r="T172" s="32"/>
      <c r="U172" s="32"/>
      <c r="V172" s="32"/>
      <c r="W172" s="32"/>
      <c r="X172" s="32"/>
      <c r="Y172" s="32"/>
      <c r="Z172" s="33"/>
    </row>
    <row r="173" ht="27.75" customHeight="1">
      <c r="A173" s="34" t="s">
        <v>491</v>
      </c>
      <c r="B173" s="35" t="s">
        <v>489</v>
      </c>
      <c r="C173" s="36" t="s">
        <v>492</v>
      </c>
      <c r="D173" s="36"/>
      <c r="E173" s="36" t="s">
        <v>30</v>
      </c>
      <c r="F173" s="35" t="s">
        <v>19</v>
      </c>
      <c r="G173" s="36"/>
      <c r="H173" s="36"/>
      <c r="I173" s="36"/>
      <c r="J173" s="35"/>
      <c r="K173" s="35"/>
      <c r="L173" s="36"/>
      <c r="M173" s="37"/>
      <c r="N173" s="37"/>
      <c r="O173" s="38"/>
      <c r="P173" s="38"/>
      <c r="Q173" s="39"/>
      <c r="R173" s="39"/>
      <c r="S173" s="40"/>
      <c r="T173" s="40"/>
      <c r="U173" s="40"/>
      <c r="V173" s="40"/>
      <c r="W173" s="40"/>
      <c r="X173" s="40"/>
      <c r="Y173" s="40"/>
      <c r="Z173" s="41"/>
    </row>
    <row r="174" ht="84.0" customHeight="1">
      <c r="A174" s="17" t="str">
        <f>HYPERLINK("http://purl.obolibrary.org/obo/OBI_0001001","http://purl.obolibrary.org/obo/OBI_0001001")</f>
        <v>http://purl.obolibrary.org/obo/OBI_0001001</v>
      </c>
      <c r="B174" s="18" t="s">
        <v>493</v>
      </c>
      <c r="C174" s="19" t="s">
        <v>494</v>
      </c>
      <c r="D174" s="18" t="s">
        <v>495</v>
      </c>
      <c r="E174" s="20" t="s">
        <v>30</v>
      </c>
      <c r="F174" s="18" t="s">
        <v>466</v>
      </c>
      <c r="G174" s="20"/>
      <c r="H174" s="18"/>
      <c r="I174" s="20" t="s">
        <v>496</v>
      </c>
      <c r="J174" s="18" t="s">
        <v>497</v>
      </c>
      <c r="K174" s="18"/>
      <c r="L174" s="20"/>
      <c r="M174" s="21"/>
      <c r="N174" s="21"/>
      <c r="O174" s="22"/>
      <c r="P174" s="22"/>
      <c r="Q174" s="23"/>
      <c r="R174" s="23"/>
      <c r="S174" s="43"/>
      <c r="T174" s="43"/>
      <c r="U174" s="43"/>
      <c r="V174" s="43"/>
      <c r="W174" s="43"/>
      <c r="X174" s="43"/>
      <c r="Y174" s="43"/>
      <c r="Z174" s="44"/>
    </row>
    <row r="175" ht="27.75" customHeight="1">
      <c r="A175" s="26" t="str">
        <f>A174</f>
        <v>http://purl.obolibrary.org/obo/OBI_0001001</v>
      </c>
      <c r="B175" s="27"/>
      <c r="C175" s="27"/>
      <c r="D175" s="27"/>
      <c r="E175" s="27"/>
      <c r="F175" s="27"/>
      <c r="G175" s="27"/>
      <c r="H175" s="28"/>
      <c r="I175" s="58" t="s">
        <v>498</v>
      </c>
      <c r="J175" s="52" t="s">
        <v>499</v>
      </c>
      <c r="K175" s="28"/>
      <c r="L175" s="27"/>
      <c r="M175" s="29"/>
      <c r="N175" s="29"/>
      <c r="O175" s="27"/>
      <c r="P175" s="30"/>
      <c r="Q175" s="31"/>
      <c r="R175" s="31"/>
      <c r="S175" s="45"/>
      <c r="T175" s="45"/>
      <c r="U175" s="45"/>
      <c r="V175" s="45"/>
      <c r="W175" s="45"/>
      <c r="X175" s="45"/>
      <c r="Y175" s="45"/>
      <c r="Z175" s="46"/>
    </row>
    <row r="176" ht="42.0" customHeight="1">
      <c r="A176" s="54" t="s">
        <v>500</v>
      </c>
      <c r="B176" s="55" t="s">
        <v>493</v>
      </c>
      <c r="C176" s="56" t="s">
        <v>501</v>
      </c>
      <c r="D176" s="55" t="s">
        <v>495</v>
      </c>
      <c r="E176" s="56" t="s">
        <v>30</v>
      </c>
      <c r="F176" s="55" t="s">
        <v>466</v>
      </c>
      <c r="G176" s="56"/>
      <c r="H176" s="56"/>
      <c r="I176" s="56" t="s">
        <v>496</v>
      </c>
      <c r="J176" s="55" t="s">
        <v>497</v>
      </c>
      <c r="K176" s="35"/>
      <c r="L176" s="36"/>
      <c r="M176" s="37"/>
      <c r="N176" s="37"/>
      <c r="O176" s="38"/>
      <c r="P176" s="38"/>
      <c r="Q176" s="39"/>
      <c r="R176" s="39"/>
      <c r="S176" s="47"/>
      <c r="T176" s="47"/>
      <c r="U176" s="47"/>
      <c r="V176" s="47"/>
      <c r="W176" s="47"/>
      <c r="X176" s="47"/>
      <c r="Y176" s="47"/>
      <c r="Z176" s="48"/>
    </row>
    <row r="177" ht="13.5" customHeight="1">
      <c r="A177" s="17" t="str">
        <f>HYPERLINK("http://purl.obolibrary.org/obo/OBI_0001005","http://purl.obolibrary.org/obo/OBI_0001005")</f>
        <v>http://purl.obolibrary.org/obo/OBI_0001005</v>
      </c>
      <c r="B177" s="18" t="s">
        <v>502</v>
      </c>
      <c r="C177" s="19" t="s">
        <v>503</v>
      </c>
      <c r="D177" s="18" t="s">
        <v>504</v>
      </c>
      <c r="E177" s="20" t="s">
        <v>30</v>
      </c>
      <c r="F177" s="18" t="s">
        <v>505</v>
      </c>
      <c r="G177" s="20"/>
      <c r="H177" s="18" t="s">
        <v>24</v>
      </c>
      <c r="I177" s="20" t="s">
        <v>506</v>
      </c>
      <c r="J177" s="18" t="s">
        <v>507</v>
      </c>
      <c r="K177" s="18"/>
      <c r="L177" s="20"/>
      <c r="M177" s="21"/>
      <c r="N177" s="21"/>
      <c r="O177" s="22"/>
      <c r="P177" s="22"/>
      <c r="Q177" s="23"/>
      <c r="R177" s="23"/>
      <c r="S177" s="24"/>
      <c r="T177" s="24"/>
      <c r="U177" s="24"/>
      <c r="V177" s="24"/>
      <c r="W177" s="24"/>
      <c r="X177" s="24"/>
      <c r="Y177" s="24"/>
      <c r="Z177" s="25"/>
    </row>
    <row r="178" ht="69.75" customHeight="1">
      <c r="A178" s="26" t="str">
        <f>A177</f>
        <v>http://purl.obolibrary.org/obo/OBI_0001005</v>
      </c>
      <c r="B178" s="27"/>
      <c r="C178" s="42" t="s">
        <v>508</v>
      </c>
      <c r="D178" s="27"/>
      <c r="E178" s="27"/>
      <c r="F178" s="27"/>
      <c r="G178" s="27"/>
      <c r="H178" s="52" t="s">
        <v>31</v>
      </c>
      <c r="I178" s="58" t="s">
        <v>87</v>
      </c>
      <c r="J178" s="52" t="s">
        <v>509</v>
      </c>
      <c r="K178" s="28" t="s">
        <v>510</v>
      </c>
      <c r="L178" s="27"/>
      <c r="M178" s="29"/>
      <c r="N178" s="29"/>
      <c r="O178" s="27"/>
      <c r="P178" s="30"/>
      <c r="Q178" s="31"/>
      <c r="R178" s="31"/>
      <c r="S178" s="32"/>
      <c r="T178" s="32"/>
      <c r="U178" s="32"/>
      <c r="V178" s="32"/>
      <c r="W178" s="32"/>
      <c r="X178" s="32"/>
      <c r="Y178" s="32"/>
      <c r="Z178" s="33"/>
    </row>
    <row r="179" ht="13.5" customHeight="1">
      <c r="A179" s="54" t="s">
        <v>511</v>
      </c>
      <c r="B179" s="55" t="s">
        <v>502</v>
      </c>
      <c r="C179" s="56" t="s">
        <v>512</v>
      </c>
      <c r="D179" s="55" t="s">
        <v>504</v>
      </c>
      <c r="E179" s="56" t="s">
        <v>30</v>
      </c>
      <c r="F179" s="55" t="s">
        <v>505</v>
      </c>
      <c r="G179" s="56"/>
      <c r="H179" s="55" t="s">
        <v>24</v>
      </c>
      <c r="I179" s="56" t="s">
        <v>506</v>
      </c>
      <c r="J179" s="55" t="s">
        <v>513</v>
      </c>
      <c r="K179" s="35"/>
      <c r="L179" s="36"/>
      <c r="M179" s="37"/>
      <c r="N179" s="37"/>
      <c r="O179" s="38"/>
      <c r="P179" s="38"/>
      <c r="Q179" s="39"/>
      <c r="R179" s="39"/>
      <c r="S179" s="40"/>
      <c r="T179" s="40"/>
      <c r="U179" s="40"/>
      <c r="V179" s="40"/>
      <c r="W179" s="40"/>
      <c r="X179" s="40"/>
      <c r="Y179" s="40"/>
      <c r="Z179" s="41"/>
    </row>
    <row r="180" ht="139.5" customHeight="1">
      <c r="A180" s="17" t="str">
        <f>HYPERLINK("http://purl.obolibrary.org/obo/OBI_0001006","http://purl.obolibrary.org/obo/OBI_0001006")</f>
        <v>http://purl.obolibrary.org/obo/OBI_0001006</v>
      </c>
      <c r="B180" s="18" t="s">
        <v>514</v>
      </c>
      <c r="C180" s="19" t="s">
        <v>515</v>
      </c>
      <c r="D180" s="18" t="s">
        <v>157</v>
      </c>
      <c r="E180" s="20" t="s">
        <v>30</v>
      </c>
      <c r="F180" s="18" t="s">
        <v>445</v>
      </c>
      <c r="G180" s="20"/>
      <c r="H180" s="18" t="s">
        <v>24</v>
      </c>
      <c r="I180" s="20" t="s">
        <v>446</v>
      </c>
      <c r="J180" s="18" t="s">
        <v>447</v>
      </c>
      <c r="K180" s="18"/>
      <c r="L180" s="20"/>
      <c r="M180" s="21"/>
      <c r="N180" s="21"/>
      <c r="O180" s="22"/>
      <c r="P180" s="22"/>
      <c r="Q180" s="23"/>
      <c r="R180" s="23"/>
      <c r="S180" s="43"/>
      <c r="T180" s="43"/>
      <c r="U180" s="43"/>
      <c r="V180" s="43"/>
      <c r="W180" s="43"/>
      <c r="X180" s="43"/>
      <c r="Y180" s="43"/>
      <c r="Z180" s="44"/>
    </row>
    <row r="181" ht="27.75" customHeight="1">
      <c r="A181" s="26" t="str">
        <f>A180</f>
        <v>http://purl.obolibrary.org/obo/OBI_0001006</v>
      </c>
      <c r="B181" s="27"/>
      <c r="C181" s="42" t="s">
        <v>516</v>
      </c>
      <c r="D181" s="27"/>
      <c r="E181" s="27"/>
      <c r="F181" s="27"/>
      <c r="G181" s="27"/>
      <c r="H181" s="52" t="s">
        <v>31</v>
      </c>
      <c r="I181" s="58" t="s">
        <v>449</v>
      </c>
      <c r="J181" s="52" t="s">
        <v>450</v>
      </c>
      <c r="K181" s="28" t="s">
        <v>451</v>
      </c>
      <c r="L181" s="27"/>
      <c r="M181" s="29"/>
      <c r="N181" s="29"/>
      <c r="O181" s="27"/>
      <c r="P181" s="30"/>
      <c r="Q181" s="31"/>
      <c r="R181" s="31"/>
      <c r="S181" s="45"/>
      <c r="T181" s="45"/>
      <c r="U181" s="45"/>
      <c r="V181" s="45"/>
      <c r="W181" s="45"/>
      <c r="X181" s="45"/>
      <c r="Y181" s="45"/>
      <c r="Z181" s="46"/>
    </row>
    <row r="182" ht="111.75" customHeight="1">
      <c r="A182" s="54" t="s">
        <v>517</v>
      </c>
      <c r="B182" s="55" t="s">
        <v>514</v>
      </c>
      <c r="C182" s="56" t="s">
        <v>518</v>
      </c>
      <c r="D182" s="55" t="s">
        <v>157</v>
      </c>
      <c r="E182" s="56" t="s">
        <v>30</v>
      </c>
      <c r="F182" s="55" t="s">
        <v>445</v>
      </c>
      <c r="G182" s="56"/>
      <c r="H182" s="55" t="s">
        <v>24</v>
      </c>
      <c r="I182" s="56" t="s">
        <v>446</v>
      </c>
      <c r="J182" s="55" t="s">
        <v>454</v>
      </c>
      <c r="K182" s="35"/>
      <c r="L182" s="36"/>
      <c r="M182" s="37"/>
      <c r="N182" s="37"/>
      <c r="O182" s="38"/>
      <c r="P182" s="38"/>
      <c r="Q182" s="39"/>
      <c r="R182" s="39"/>
      <c r="S182" s="47"/>
      <c r="T182" s="47"/>
      <c r="U182" s="47"/>
      <c r="V182" s="47"/>
      <c r="W182" s="47"/>
      <c r="X182" s="47"/>
      <c r="Y182" s="47"/>
      <c r="Z182" s="48"/>
    </row>
    <row r="183" ht="13.5" customHeight="1">
      <c r="A183" s="17" t="str">
        <f>HYPERLINK("http://purl.obolibrary.org/obo/OBI_0001008","http://purl.obolibrary.org/obo/OBI_0001008")</f>
        <v>http://purl.obolibrary.org/obo/OBI_0001008</v>
      </c>
      <c r="B183" s="18" t="s">
        <v>519</v>
      </c>
      <c r="C183" s="19" t="s">
        <v>520</v>
      </c>
      <c r="D183" s="18" t="s">
        <v>157</v>
      </c>
      <c r="E183" s="20" t="s">
        <v>30</v>
      </c>
      <c r="F183" s="18" t="s">
        <v>445</v>
      </c>
      <c r="G183" s="20"/>
      <c r="H183" s="18" t="s">
        <v>24</v>
      </c>
      <c r="I183" s="20" t="s">
        <v>506</v>
      </c>
      <c r="J183" s="18" t="s">
        <v>507</v>
      </c>
      <c r="K183" s="18"/>
      <c r="L183" s="20"/>
      <c r="M183" s="21"/>
      <c r="N183" s="21"/>
      <c r="O183" s="22"/>
      <c r="P183" s="22"/>
      <c r="Q183" s="23"/>
      <c r="R183" s="23"/>
      <c r="S183" s="24"/>
      <c r="T183" s="24"/>
      <c r="U183" s="24"/>
      <c r="V183" s="24"/>
      <c r="W183" s="24"/>
      <c r="X183" s="24"/>
      <c r="Y183" s="24"/>
      <c r="Z183" s="25"/>
    </row>
    <row r="184" ht="126.0" customHeight="1">
      <c r="A184" s="26" t="str">
        <f>A183</f>
        <v>http://purl.obolibrary.org/obo/OBI_0001008</v>
      </c>
      <c r="B184" s="27"/>
      <c r="C184" s="42" t="s">
        <v>516</v>
      </c>
      <c r="D184" s="27"/>
      <c r="E184" s="27"/>
      <c r="F184" s="27"/>
      <c r="G184" s="27"/>
      <c r="H184" s="52" t="s">
        <v>31</v>
      </c>
      <c r="I184" s="58" t="s">
        <v>87</v>
      </c>
      <c r="J184" s="52" t="s">
        <v>509</v>
      </c>
      <c r="K184" s="28" t="s">
        <v>510</v>
      </c>
      <c r="L184" s="27"/>
      <c r="M184" s="29"/>
      <c r="N184" s="29"/>
      <c r="O184" s="27"/>
      <c r="P184" s="30"/>
      <c r="Q184" s="31"/>
      <c r="R184" s="31"/>
      <c r="S184" s="32"/>
      <c r="T184" s="32"/>
      <c r="U184" s="32"/>
      <c r="V184" s="32"/>
      <c r="W184" s="32"/>
      <c r="X184" s="32"/>
      <c r="Y184" s="32"/>
      <c r="Z184" s="33"/>
    </row>
    <row r="185" ht="27.75" customHeight="1">
      <c r="A185" s="54" t="s">
        <v>521</v>
      </c>
      <c r="B185" s="55" t="s">
        <v>519</v>
      </c>
      <c r="C185" s="56" t="s">
        <v>522</v>
      </c>
      <c r="D185" s="55" t="s">
        <v>157</v>
      </c>
      <c r="E185" s="56" t="s">
        <v>30</v>
      </c>
      <c r="F185" s="55" t="s">
        <v>445</v>
      </c>
      <c r="G185" s="56"/>
      <c r="H185" s="55" t="s">
        <v>24</v>
      </c>
      <c r="I185" s="56" t="s">
        <v>506</v>
      </c>
      <c r="J185" s="55" t="s">
        <v>513</v>
      </c>
      <c r="K185" s="35"/>
      <c r="L185" s="36"/>
      <c r="M185" s="37"/>
      <c r="N185" s="37"/>
      <c r="O185" s="38"/>
      <c r="P185" s="38"/>
      <c r="Q185" s="39"/>
      <c r="R185" s="39"/>
      <c r="S185" s="40"/>
      <c r="T185" s="40"/>
      <c r="U185" s="40"/>
      <c r="V185" s="40"/>
      <c r="W185" s="40"/>
      <c r="X185" s="40"/>
      <c r="Y185" s="40"/>
      <c r="Z185" s="41"/>
    </row>
    <row r="186" ht="69.75" customHeight="1">
      <c r="A186" s="17" t="str">
        <f>HYPERLINK("http://purl.obolibrary.org/obo/OBI_0001011","http://purl.obolibrary.org/obo/OBI_0001011")</f>
        <v>http://purl.obolibrary.org/obo/OBI_0001011</v>
      </c>
      <c r="B186" s="18" t="s">
        <v>523</v>
      </c>
      <c r="C186" s="19" t="s">
        <v>524</v>
      </c>
      <c r="D186" s="18" t="s">
        <v>157</v>
      </c>
      <c r="E186" s="20" t="s">
        <v>30</v>
      </c>
      <c r="F186" s="18" t="s">
        <v>445</v>
      </c>
      <c r="G186" s="20"/>
      <c r="H186" s="18" t="s">
        <v>24</v>
      </c>
      <c r="I186" s="20" t="s">
        <v>446</v>
      </c>
      <c r="J186" s="18" t="s">
        <v>447</v>
      </c>
      <c r="K186" s="18"/>
      <c r="L186" s="20"/>
      <c r="M186" s="21"/>
      <c r="N186" s="21"/>
      <c r="O186" s="22"/>
      <c r="P186" s="22"/>
      <c r="Q186" s="23"/>
      <c r="R186" s="23"/>
      <c r="S186" s="43"/>
      <c r="T186" s="43"/>
      <c r="U186" s="43"/>
      <c r="V186" s="43"/>
      <c r="W186" s="43"/>
      <c r="X186" s="43"/>
      <c r="Y186" s="43"/>
      <c r="Z186" s="44"/>
    </row>
    <row r="187" ht="13.5" customHeight="1">
      <c r="A187" s="26" t="str">
        <f>A186</f>
        <v>http://purl.obolibrary.org/obo/OBI_0001011</v>
      </c>
      <c r="B187" s="27"/>
      <c r="C187" s="42" t="s">
        <v>516</v>
      </c>
      <c r="D187" s="27"/>
      <c r="E187" s="27"/>
      <c r="F187" s="27"/>
      <c r="G187" s="27"/>
      <c r="H187" s="52" t="s">
        <v>31</v>
      </c>
      <c r="I187" s="58" t="s">
        <v>449</v>
      </c>
      <c r="J187" s="52" t="s">
        <v>450</v>
      </c>
      <c r="K187" s="28" t="s">
        <v>451</v>
      </c>
      <c r="L187" s="27"/>
      <c r="M187" s="29"/>
      <c r="N187" s="29"/>
      <c r="O187" s="27"/>
      <c r="P187" s="30"/>
      <c r="Q187" s="31"/>
      <c r="R187" s="31"/>
      <c r="S187" s="45"/>
      <c r="T187" s="45"/>
      <c r="U187" s="45"/>
      <c r="V187" s="45"/>
      <c r="W187" s="45"/>
      <c r="X187" s="45"/>
      <c r="Y187" s="45"/>
      <c r="Z187" s="46"/>
    </row>
    <row r="188" ht="97.5" customHeight="1">
      <c r="A188" s="54" t="s">
        <v>525</v>
      </c>
      <c r="B188" s="55" t="s">
        <v>523</v>
      </c>
      <c r="C188" s="56" t="s">
        <v>526</v>
      </c>
      <c r="D188" s="55" t="s">
        <v>157</v>
      </c>
      <c r="E188" s="56" t="s">
        <v>30</v>
      </c>
      <c r="F188" s="55" t="s">
        <v>445</v>
      </c>
      <c r="G188" s="56"/>
      <c r="H188" s="55" t="s">
        <v>24</v>
      </c>
      <c r="I188" s="56" t="s">
        <v>446</v>
      </c>
      <c r="J188" s="55" t="s">
        <v>454</v>
      </c>
      <c r="K188" s="35"/>
      <c r="L188" s="36"/>
      <c r="M188" s="37"/>
      <c r="N188" s="37"/>
      <c r="O188" s="38"/>
      <c r="P188" s="38"/>
      <c r="Q188" s="39"/>
      <c r="R188" s="39"/>
      <c r="S188" s="47"/>
      <c r="T188" s="47"/>
      <c r="U188" s="47"/>
      <c r="V188" s="47"/>
      <c r="W188" s="47"/>
      <c r="X188" s="47"/>
      <c r="Y188" s="47"/>
      <c r="Z188" s="48"/>
    </row>
    <row r="189" ht="27.75" customHeight="1">
      <c r="A189" s="17" t="str">
        <f>HYPERLINK("http://purl.obolibrary.org/obo/OBI_0001012","http://purl.obolibrary.org/obo/OBI_0001012")</f>
        <v>http://purl.obolibrary.org/obo/OBI_0001012</v>
      </c>
      <c r="B189" s="18" t="s">
        <v>527</v>
      </c>
      <c r="C189" s="19" t="s">
        <v>528</v>
      </c>
      <c r="D189" s="18" t="s">
        <v>504</v>
      </c>
      <c r="E189" s="20" t="s">
        <v>30</v>
      </c>
      <c r="F189" s="18" t="s">
        <v>505</v>
      </c>
      <c r="G189" s="20"/>
      <c r="H189" s="18" t="s">
        <v>24</v>
      </c>
      <c r="I189" s="20" t="s">
        <v>506</v>
      </c>
      <c r="J189" s="18" t="s">
        <v>507</v>
      </c>
      <c r="K189" s="18"/>
      <c r="L189" s="20"/>
      <c r="M189" s="21"/>
      <c r="N189" s="21"/>
      <c r="O189" s="22"/>
      <c r="P189" s="22"/>
      <c r="Q189" s="23"/>
      <c r="R189" s="23"/>
      <c r="S189" s="24"/>
      <c r="T189" s="24"/>
      <c r="U189" s="24"/>
      <c r="V189" s="24"/>
      <c r="W189" s="24"/>
      <c r="X189" s="24"/>
      <c r="Y189" s="24"/>
      <c r="Z189" s="25"/>
    </row>
    <row r="190" ht="27.75" customHeight="1">
      <c r="A190" s="26" t="str">
        <f>A189</f>
        <v>http://purl.obolibrary.org/obo/OBI_0001012</v>
      </c>
      <c r="B190" s="27"/>
      <c r="C190" s="42" t="s">
        <v>508</v>
      </c>
      <c r="D190" s="27"/>
      <c r="E190" s="27"/>
      <c r="F190" s="27"/>
      <c r="G190" s="27"/>
      <c r="H190" s="52" t="s">
        <v>31</v>
      </c>
      <c r="I190" s="58" t="s">
        <v>87</v>
      </c>
      <c r="J190" s="52" t="s">
        <v>509</v>
      </c>
      <c r="K190" s="28" t="s">
        <v>510</v>
      </c>
      <c r="L190" s="27"/>
      <c r="M190" s="29"/>
      <c r="N190" s="29"/>
      <c r="O190" s="27"/>
      <c r="P190" s="30"/>
      <c r="Q190" s="31"/>
      <c r="R190" s="31"/>
      <c r="S190" s="32"/>
      <c r="T190" s="32"/>
      <c r="U190" s="32"/>
      <c r="V190" s="32"/>
      <c r="W190" s="32"/>
      <c r="X190" s="32"/>
      <c r="Y190" s="32"/>
      <c r="Z190" s="33"/>
    </row>
    <row r="191" ht="12.75" customHeight="1">
      <c r="A191" s="54" t="s">
        <v>529</v>
      </c>
      <c r="B191" s="55" t="s">
        <v>527</v>
      </c>
      <c r="C191" s="56" t="s">
        <v>530</v>
      </c>
      <c r="D191" s="55" t="s">
        <v>504</v>
      </c>
      <c r="E191" s="56" t="s">
        <v>30</v>
      </c>
      <c r="F191" s="55" t="s">
        <v>505</v>
      </c>
      <c r="G191" s="56"/>
      <c r="H191" s="55" t="s">
        <v>24</v>
      </c>
      <c r="I191" s="56" t="s">
        <v>506</v>
      </c>
      <c r="J191" s="55" t="s">
        <v>513</v>
      </c>
      <c r="K191" s="35"/>
      <c r="L191" s="36"/>
      <c r="M191" s="37"/>
      <c r="N191" s="37"/>
      <c r="O191" s="38"/>
      <c r="P191" s="38"/>
      <c r="Q191" s="39"/>
      <c r="R191" s="39"/>
      <c r="S191" s="40"/>
      <c r="T191" s="40"/>
      <c r="U191" s="40"/>
      <c r="V191" s="40"/>
      <c r="W191" s="40"/>
      <c r="X191" s="40"/>
      <c r="Y191" s="40"/>
      <c r="Z191" s="41"/>
    </row>
    <row r="192" ht="111.75" customHeight="1">
      <c r="A192" s="17" t="str">
        <f>HYPERLINK("http://purl.obolibrary.org/obo/OBI_0001013","http://purl.obolibrary.org/obo/OBI_0001013")</f>
        <v>http://purl.obolibrary.org/obo/OBI_0001013</v>
      </c>
      <c r="B192" s="18" t="s">
        <v>531</v>
      </c>
      <c r="C192" s="19" t="s">
        <v>532</v>
      </c>
      <c r="D192" s="18" t="s">
        <v>157</v>
      </c>
      <c r="E192" s="20" t="s">
        <v>30</v>
      </c>
      <c r="F192" s="18" t="s">
        <v>445</v>
      </c>
      <c r="G192" s="20"/>
      <c r="H192" s="18" t="s">
        <v>24</v>
      </c>
      <c r="I192" s="20" t="s">
        <v>446</v>
      </c>
      <c r="J192" s="18" t="s">
        <v>447</v>
      </c>
      <c r="K192" s="18"/>
      <c r="L192" s="20"/>
      <c r="M192" s="21"/>
      <c r="N192" s="21"/>
      <c r="O192" s="22"/>
      <c r="P192" s="22"/>
      <c r="Q192" s="23"/>
      <c r="R192" s="23"/>
      <c r="S192" s="43"/>
      <c r="T192" s="43"/>
      <c r="U192" s="43"/>
      <c r="V192" s="43"/>
      <c r="W192" s="43"/>
      <c r="X192" s="43"/>
      <c r="Y192" s="43"/>
      <c r="Z192" s="44"/>
    </row>
    <row r="193" ht="55.5" customHeight="1">
      <c r="A193" s="26" t="str">
        <f>A192</f>
        <v>http://purl.obolibrary.org/obo/OBI_0001013</v>
      </c>
      <c r="B193" s="27"/>
      <c r="C193" s="42" t="s">
        <v>516</v>
      </c>
      <c r="D193" s="27"/>
      <c r="E193" s="27"/>
      <c r="F193" s="27"/>
      <c r="G193" s="27"/>
      <c r="H193" s="52" t="s">
        <v>31</v>
      </c>
      <c r="I193" s="58" t="s">
        <v>449</v>
      </c>
      <c r="J193" s="52" t="s">
        <v>450</v>
      </c>
      <c r="K193" s="28" t="s">
        <v>451</v>
      </c>
      <c r="L193" s="27"/>
      <c r="M193" s="29"/>
      <c r="N193" s="29"/>
      <c r="O193" s="27"/>
      <c r="P193" s="30"/>
      <c r="Q193" s="31"/>
      <c r="R193" s="31"/>
      <c r="S193" s="45"/>
      <c r="T193" s="45"/>
      <c r="U193" s="45"/>
      <c r="V193" s="45"/>
      <c r="W193" s="45"/>
      <c r="X193" s="45"/>
      <c r="Y193" s="45"/>
      <c r="Z193" s="46"/>
    </row>
    <row r="194" ht="195.75" customHeight="1">
      <c r="A194" s="54" t="s">
        <v>533</v>
      </c>
      <c r="B194" s="55" t="s">
        <v>531</v>
      </c>
      <c r="C194" s="56" t="s">
        <v>534</v>
      </c>
      <c r="D194" s="55" t="s">
        <v>157</v>
      </c>
      <c r="E194" s="56" t="s">
        <v>30</v>
      </c>
      <c r="F194" s="55" t="s">
        <v>445</v>
      </c>
      <c r="G194" s="56"/>
      <c r="H194" s="55" t="s">
        <v>24</v>
      </c>
      <c r="I194" s="56" t="s">
        <v>446</v>
      </c>
      <c r="J194" s="55" t="s">
        <v>454</v>
      </c>
      <c r="K194" s="35"/>
      <c r="L194" s="36"/>
      <c r="M194" s="37"/>
      <c r="N194" s="37"/>
      <c r="O194" s="38"/>
      <c r="P194" s="38"/>
      <c r="Q194" s="39"/>
      <c r="R194" s="39"/>
      <c r="S194" s="47"/>
      <c r="T194" s="47"/>
      <c r="U194" s="47"/>
      <c r="V194" s="47"/>
      <c r="W194" s="47"/>
      <c r="X194" s="47"/>
      <c r="Y194" s="47"/>
      <c r="Z194" s="48"/>
    </row>
    <row r="195" ht="27.75" customHeight="1">
      <c r="A195" s="17" t="str">
        <f>HYPERLINK("http://purl.obolibrary.org/obo/OBI_0001014","http://purl.obolibrary.org/obo/OBI_0001014")</f>
        <v>http://purl.obolibrary.org/obo/OBI_0001014</v>
      </c>
      <c r="B195" s="18" t="s">
        <v>505</v>
      </c>
      <c r="C195" s="19" t="s">
        <v>535</v>
      </c>
      <c r="D195" s="18" t="s">
        <v>157</v>
      </c>
      <c r="E195" s="20" t="s">
        <v>30</v>
      </c>
      <c r="F195" s="18" t="s">
        <v>395</v>
      </c>
      <c r="G195" s="20" t="s">
        <v>536</v>
      </c>
      <c r="H195" s="18"/>
      <c r="I195" s="20"/>
      <c r="J195" s="18"/>
      <c r="K195" s="18"/>
      <c r="L195" s="20"/>
      <c r="M195" s="21"/>
      <c r="N195" s="21"/>
      <c r="O195" s="22"/>
      <c r="P195" s="22"/>
      <c r="Q195" s="23"/>
      <c r="R195" s="23"/>
      <c r="S195" s="24"/>
      <c r="T195" s="24"/>
      <c r="U195" s="24"/>
      <c r="V195" s="24"/>
      <c r="W195" s="24"/>
      <c r="X195" s="24"/>
      <c r="Y195" s="24"/>
      <c r="Z195" s="25"/>
    </row>
    <row r="196" ht="27.75" customHeight="1">
      <c r="A196" s="26" t="str">
        <f>A195</f>
        <v>http://purl.obolibrary.org/obo/OBI_0001014</v>
      </c>
      <c r="B196" s="27"/>
      <c r="C196" s="27"/>
      <c r="D196" s="27"/>
      <c r="E196" s="27"/>
      <c r="F196" s="27"/>
      <c r="G196" s="27"/>
      <c r="H196" s="28"/>
      <c r="I196" s="27"/>
      <c r="J196" s="28"/>
      <c r="K196" s="28"/>
      <c r="L196" s="27"/>
      <c r="M196" s="29"/>
      <c r="N196" s="29"/>
      <c r="O196" s="27"/>
      <c r="P196" s="30"/>
      <c r="Q196" s="31"/>
      <c r="R196" s="31"/>
      <c r="S196" s="32"/>
      <c r="T196" s="32"/>
      <c r="U196" s="32"/>
      <c r="V196" s="32"/>
      <c r="W196" s="32"/>
      <c r="X196" s="32"/>
      <c r="Y196" s="32"/>
      <c r="Z196" s="33"/>
    </row>
    <row r="197" ht="13.5" customHeight="1">
      <c r="A197" s="54" t="s">
        <v>537</v>
      </c>
      <c r="B197" s="55" t="s">
        <v>505</v>
      </c>
      <c r="C197" s="56" t="s">
        <v>538</v>
      </c>
      <c r="D197" s="55" t="s">
        <v>157</v>
      </c>
      <c r="E197" s="56" t="s">
        <v>30</v>
      </c>
      <c r="F197" s="55" t="s">
        <v>395</v>
      </c>
      <c r="G197" s="56" t="s">
        <v>536</v>
      </c>
      <c r="H197" s="56"/>
      <c r="I197" s="56"/>
      <c r="J197" s="55"/>
      <c r="K197" s="35"/>
      <c r="L197" s="36"/>
      <c r="M197" s="37"/>
      <c r="N197" s="37"/>
      <c r="O197" s="38"/>
      <c r="P197" s="38"/>
      <c r="Q197" s="39"/>
      <c r="R197" s="39"/>
      <c r="S197" s="40"/>
      <c r="T197" s="40"/>
      <c r="U197" s="40"/>
      <c r="V197" s="40"/>
      <c r="W197" s="40"/>
      <c r="X197" s="40"/>
      <c r="Y197" s="40"/>
      <c r="Z197" s="41"/>
    </row>
    <row r="198" ht="27.75" customHeight="1">
      <c r="A198" s="17" t="str">
        <f>HYPERLINK("http://purl.obolibrary.org/obo/OBI_0001015","http://purl.obolibrary.org/obo/OBI_0001015")</f>
        <v>http://purl.obolibrary.org/obo/OBI_0001015</v>
      </c>
      <c r="B198" s="18" t="s">
        <v>539</v>
      </c>
      <c r="C198" s="19" t="s">
        <v>540</v>
      </c>
      <c r="D198" s="18" t="s">
        <v>157</v>
      </c>
      <c r="E198" s="20" t="s">
        <v>30</v>
      </c>
      <c r="F198" s="18" t="s">
        <v>445</v>
      </c>
      <c r="G198" s="20"/>
      <c r="H198" s="18" t="s">
        <v>24</v>
      </c>
      <c r="I198" s="20" t="s">
        <v>446</v>
      </c>
      <c r="J198" s="18" t="s">
        <v>447</v>
      </c>
      <c r="K198" s="18"/>
      <c r="L198" s="20"/>
      <c r="M198" s="21"/>
      <c r="N198" s="21"/>
      <c r="O198" s="22"/>
      <c r="P198" s="22"/>
      <c r="Q198" s="23"/>
      <c r="R198" s="23"/>
      <c r="S198" s="43"/>
      <c r="T198" s="43"/>
      <c r="U198" s="43"/>
      <c r="V198" s="43"/>
      <c r="W198" s="43"/>
      <c r="X198" s="43"/>
      <c r="Y198" s="43"/>
      <c r="Z198" s="44"/>
    </row>
    <row r="199" ht="13.5" customHeight="1">
      <c r="A199" s="26" t="str">
        <f>A198</f>
        <v>http://purl.obolibrary.org/obo/OBI_0001015</v>
      </c>
      <c r="B199" s="27"/>
      <c r="C199" s="42" t="s">
        <v>516</v>
      </c>
      <c r="D199" s="27"/>
      <c r="E199" s="27"/>
      <c r="F199" s="27"/>
      <c r="G199" s="27"/>
      <c r="H199" s="52" t="s">
        <v>31</v>
      </c>
      <c r="I199" s="58" t="s">
        <v>449</v>
      </c>
      <c r="J199" s="52" t="s">
        <v>450</v>
      </c>
      <c r="K199" s="28" t="s">
        <v>451</v>
      </c>
      <c r="L199" s="27"/>
      <c r="M199" s="29"/>
      <c r="N199" s="29"/>
      <c r="O199" s="27"/>
      <c r="P199" s="30"/>
      <c r="Q199" s="31"/>
      <c r="R199" s="31"/>
      <c r="S199" s="45"/>
      <c r="T199" s="45"/>
      <c r="U199" s="45"/>
      <c r="V199" s="45"/>
      <c r="W199" s="45"/>
      <c r="X199" s="45"/>
      <c r="Y199" s="45"/>
      <c r="Z199" s="46"/>
    </row>
    <row r="200" ht="42.0" customHeight="1">
      <c r="A200" s="54" t="s">
        <v>541</v>
      </c>
      <c r="B200" s="55" t="s">
        <v>539</v>
      </c>
      <c r="C200" s="56" t="s">
        <v>542</v>
      </c>
      <c r="D200" s="55" t="s">
        <v>157</v>
      </c>
      <c r="E200" s="56" t="s">
        <v>30</v>
      </c>
      <c r="F200" s="55" t="s">
        <v>445</v>
      </c>
      <c r="G200" s="56"/>
      <c r="H200" s="55" t="s">
        <v>24</v>
      </c>
      <c r="I200" s="56" t="s">
        <v>446</v>
      </c>
      <c r="J200" s="55" t="s">
        <v>454</v>
      </c>
      <c r="K200" s="35"/>
      <c r="L200" s="36"/>
      <c r="M200" s="37"/>
      <c r="N200" s="37"/>
      <c r="O200" s="38"/>
      <c r="P200" s="38"/>
      <c r="Q200" s="39"/>
      <c r="R200" s="39"/>
      <c r="S200" s="47"/>
      <c r="T200" s="47"/>
      <c r="U200" s="47"/>
      <c r="V200" s="47"/>
      <c r="W200" s="47"/>
      <c r="X200" s="47"/>
      <c r="Y200" s="47"/>
      <c r="Z200" s="48"/>
    </row>
    <row r="201" ht="12.75" customHeight="1">
      <c r="A201" s="17" t="str">
        <f>HYPERLINK("http://purl.obolibrary.org/obo/OBI_0001016","http://purl.obolibrary.org/obo/OBI_0001016")</f>
        <v>http://purl.obolibrary.org/obo/OBI_0001016</v>
      </c>
      <c r="B201" s="18" t="s">
        <v>543</v>
      </c>
      <c r="C201" s="19" t="s">
        <v>544</v>
      </c>
      <c r="D201" s="18" t="s">
        <v>504</v>
      </c>
      <c r="E201" s="20" t="s">
        <v>30</v>
      </c>
      <c r="F201" s="18" t="s">
        <v>505</v>
      </c>
      <c r="G201" s="20"/>
      <c r="H201" s="18" t="s">
        <v>24</v>
      </c>
      <c r="I201" s="20" t="s">
        <v>96</v>
      </c>
      <c r="J201" s="18" t="s">
        <v>447</v>
      </c>
      <c r="K201" s="18"/>
      <c r="L201" s="20"/>
      <c r="M201" s="21"/>
      <c r="N201" s="21"/>
      <c r="O201" s="22"/>
      <c r="P201" s="22"/>
      <c r="Q201" s="23"/>
      <c r="R201" s="23"/>
      <c r="S201" s="24"/>
      <c r="T201" s="24"/>
      <c r="U201" s="24"/>
      <c r="V201" s="24"/>
      <c r="W201" s="24"/>
      <c r="X201" s="24"/>
      <c r="Y201" s="24"/>
      <c r="Z201" s="25"/>
    </row>
    <row r="202" ht="69.75" customHeight="1">
      <c r="A202" s="26" t="str">
        <f>A201</f>
        <v>http://purl.obolibrary.org/obo/OBI_0001016</v>
      </c>
      <c r="B202" s="27"/>
      <c r="C202" s="42" t="s">
        <v>508</v>
      </c>
      <c r="D202" s="27"/>
      <c r="E202" s="27"/>
      <c r="F202" s="27"/>
      <c r="G202" s="27"/>
      <c r="H202" s="52" t="s">
        <v>31</v>
      </c>
      <c r="I202" s="58" t="s">
        <v>98</v>
      </c>
      <c r="J202" s="52" t="s">
        <v>450</v>
      </c>
      <c r="K202" s="28" t="s">
        <v>451</v>
      </c>
      <c r="L202" s="27"/>
      <c r="M202" s="29"/>
      <c r="N202" s="29"/>
      <c r="O202" s="27"/>
      <c r="P202" s="30"/>
      <c r="Q202" s="31"/>
      <c r="R202" s="31"/>
      <c r="S202" s="32"/>
      <c r="T202" s="32"/>
      <c r="U202" s="32"/>
      <c r="V202" s="32"/>
      <c r="W202" s="32"/>
      <c r="X202" s="32"/>
      <c r="Y202" s="32"/>
      <c r="Z202" s="33"/>
    </row>
    <row r="203" ht="27.75" customHeight="1">
      <c r="A203" s="54" t="s">
        <v>545</v>
      </c>
      <c r="B203" s="55" t="s">
        <v>543</v>
      </c>
      <c r="C203" s="56" t="s">
        <v>546</v>
      </c>
      <c r="D203" s="55" t="s">
        <v>504</v>
      </c>
      <c r="E203" s="56" t="s">
        <v>30</v>
      </c>
      <c r="F203" s="55" t="s">
        <v>505</v>
      </c>
      <c r="G203" s="56"/>
      <c r="H203" s="55" t="s">
        <v>24</v>
      </c>
      <c r="I203" s="56" t="s">
        <v>96</v>
      </c>
      <c r="J203" s="55" t="s">
        <v>454</v>
      </c>
      <c r="K203" s="35"/>
      <c r="L203" s="36"/>
      <c r="M203" s="37"/>
      <c r="N203" s="37"/>
      <c r="O203" s="38"/>
      <c r="P203" s="38"/>
      <c r="Q203" s="39"/>
      <c r="R203" s="39"/>
      <c r="S203" s="40"/>
      <c r="T203" s="40"/>
      <c r="U203" s="40"/>
      <c r="V203" s="40"/>
      <c r="W203" s="40"/>
      <c r="X203" s="40"/>
      <c r="Y203" s="40"/>
      <c r="Z203" s="41"/>
    </row>
    <row r="204" ht="153.75" customHeight="1">
      <c r="A204" s="17" t="str">
        <f>HYPERLINK("http://purl.obolibrary.org/obo/OBI_0001017","http://purl.obolibrary.org/obo/OBI_0001017")</f>
        <v>http://purl.obolibrary.org/obo/OBI_0001017</v>
      </c>
      <c r="B204" s="18" t="s">
        <v>445</v>
      </c>
      <c r="C204" s="19" t="s">
        <v>547</v>
      </c>
      <c r="D204" s="18" t="s">
        <v>157</v>
      </c>
      <c r="E204" s="20" t="s">
        <v>30</v>
      </c>
      <c r="F204" s="18" t="s">
        <v>395</v>
      </c>
      <c r="G204" s="20" t="s">
        <v>548</v>
      </c>
      <c r="H204" s="18"/>
      <c r="I204" s="20"/>
      <c r="J204" s="18" t="s">
        <v>548</v>
      </c>
      <c r="K204" s="18"/>
      <c r="L204" s="20"/>
      <c r="M204" s="21"/>
      <c r="N204" s="21"/>
      <c r="O204" s="22"/>
      <c r="P204" s="22"/>
      <c r="Q204" s="23"/>
      <c r="R204" s="23"/>
      <c r="S204" s="43"/>
      <c r="T204" s="43"/>
      <c r="U204" s="43"/>
      <c r="V204" s="43"/>
      <c r="W204" s="43"/>
      <c r="X204" s="43"/>
      <c r="Y204" s="43"/>
      <c r="Z204" s="44"/>
    </row>
    <row r="205" ht="27.75" customHeight="1">
      <c r="A205" s="26" t="str">
        <f>A204</f>
        <v>http://purl.obolibrary.org/obo/OBI_0001017</v>
      </c>
      <c r="B205" s="27"/>
      <c r="C205" s="27"/>
      <c r="D205" s="27"/>
      <c r="E205" s="27"/>
      <c r="F205" s="27"/>
      <c r="G205" s="27"/>
      <c r="H205" s="28"/>
      <c r="I205" s="27"/>
      <c r="J205" s="52" t="s">
        <v>549</v>
      </c>
      <c r="K205" s="28" t="s">
        <v>451</v>
      </c>
      <c r="L205" s="27"/>
      <c r="M205" s="29"/>
      <c r="N205" s="29"/>
      <c r="O205" s="27"/>
      <c r="P205" s="30"/>
      <c r="Q205" s="31"/>
      <c r="R205" s="31"/>
      <c r="S205" s="45"/>
      <c r="T205" s="45"/>
      <c r="U205" s="45"/>
      <c r="V205" s="45"/>
      <c r="W205" s="45"/>
      <c r="X205" s="45"/>
      <c r="Y205" s="45"/>
      <c r="Z205" s="46"/>
    </row>
    <row r="206" ht="27.75" customHeight="1">
      <c r="A206" s="54" t="s">
        <v>550</v>
      </c>
      <c r="B206" s="55" t="s">
        <v>445</v>
      </c>
      <c r="C206" s="56" t="s">
        <v>551</v>
      </c>
      <c r="D206" s="55" t="s">
        <v>157</v>
      </c>
      <c r="E206" s="56" t="s">
        <v>30</v>
      </c>
      <c r="F206" s="55" t="s">
        <v>395</v>
      </c>
      <c r="G206" s="56" t="s">
        <v>552</v>
      </c>
      <c r="H206" s="56"/>
      <c r="I206" s="56"/>
      <c r="J206" s="55" t="s">
        <v>552</v>
      </c>
      <c r="K206" s="35"/>
      <c r="L206" s="36"/>
      <c r="M206" s="37"/>
      <c r="N206" s="37"/>
      <c r="O206" s="38"/>
      <c r="P206" s="38"/>
      <c r="Q206" s="39"/>
      <c r="R206" s="39"/>
      <c r="S206" s="47"/>
      <c r="T206" s="47"/>
      <c r="U206" s="47"/>
      <c r="V206" s="47"/>
      <c r="W206" s="47"/>
      <c r="X206" s="47"/>
      <c r="Y206" s="47"/>
      <c r="Z206" s="48"/>
    </row>
    <row r="207" ht="12.75" customHeight="1">
      <c r="A207" s="17" t="str">
        <f>HYPERLINK("http://purl.obolibrary.org/obo/OBI_0001018","http://purl.obolibrary.org/obo/OBI_0001018")</f>
        <v>http://purl.obolibrary.org/obo/OBI_0001018</v>
      </c>
      <c r="B207" s="18" t="s">
        <v>553</v>
      </c>
      <c r="C207" s="19" t="s">
        <v>554</v>
      </c>
      <c r="D207" s="18" t="s">
        <v>504</v>
      </c>
      <c r="E207" s="20" t="s">
        <v>30</v>
      </c>
      <c r="F207" s="18" t="s">
        <v>445</v>
      </c>
      <c r="G207" s="20"/>
      <c r="H207" s="18" t="s">
        <v>24</v>
      </c>
      <c r="I207" s="20" t="s">
        <v>446</v>
      </c>
      <c r="J207" s="18" t="s">
        <v>447</v>
      </c>
      <c r="K207" s="18"/>
      <c r="L207" s="20"/>
      <c r="M207" s="21"/>
      <c r="N207" s="21"/>
      <c r="O207" s="22"/>
      <c r="P207" s="22"/>
      <c r="Q207" s="23"/>
      <c r="R207" s="23"/>
      <c r="S207" s="24"/>
      <c r="T207" s="24"/>
      <c r="U207" s="24"/>
      <c r="V207" s="24"/>
      <c r="W207" s="24"/>
      <c r="X207" s="24"/>
      <c r="Y207" s="24"/>
      <c r="Z207" s="25"/>
    </row>
    <row r="208" ht="139.5" customHeight="1">
      <c r="A208" s="26" t="str">
        <f>A207</f>
        <v>http://purl.obolibrary.org/obo/OBI_0001018</v>
      </c>
      <c r="B208" s="27"/>
      <c r="C208" s="42" t="s">
        <v>555</v>
      </c>
      <c r="D208" s="27"/>
      <c r="E208" s="27"/>
      <c r="F208" s="27"/>
      <c r="G208" s="27"/>
      <c r="H208" s="52" t="s">
        <v>31</v>
      </c>
      <c r="I208" s="58" t="s">
        <v>449</v>
      </c>
      <c r="J208" s="52" t="s">
        <v>450</v>
      </c>
      <c r="K208" s="28" t="s">
        <v>451</v>
      </c>
      <c r="L208" s="27"/>
      <c r="M208" s="29"/>
      <c r="N208" s="29"/>
      <c r="O208" s="27"/>
      <c r="P208" s="30"/>
      <c r="Q208" s="31"/>
      <c r="R208" s="31"/>
      <c r="S208" s="32"/>
      <c r="T208" s="32"/>
      <c r="U208" s="32"/>
      <c r="V208" s="32"/>
      <c r="W208" s="32"/>
      <c r="X208" s="32"/>
      <c r="Y208" s="32"/>
      <c r="Z208" s="33"/>
    </row>
    <row r="209" ht="13.5" customHeight="1">
      <c r="A209" s="54" t="s">
        <v>556</v>
      </c>
      <c r="B209" s="55" t="s">
        <v>553</v>
      </c>
      <c r="C209" s="56" t="s">
        <v>557</v>
      </c>
      <c r="D209" s="55" t="s">
        <v>504</v>
      </c>
      <c r="E209" s="56" t="s">
        <v>30</v>
      </c>
      <c r="F209" s="55" t="s">
        <v>445</v>
      </c>
      <c r="G209" s="56"/>
      <c r="H209" s="55" t="s">
        <v>24</v>
      </c>
      <c r="I209" s="56" t="s">
        <v>446</v>
      </c>
      <c r="J209" s="55" t="s">
        <v>454</v>
      </c>
      <c r="K209" s="35"/>
      <c r="L209" s="36"/>
      <c r="M209" s="37"/>
      <c r="N209" s="37"/>
      <c r="O209" s="38"/>
      <c r="P209" s="38"/>
      <c r="Q209" s="39"/>
      <c r="R209" s="39"/>
      <c r="S209" s="40"/>
      <c r="T209" s="40"/>
      <c r="U209" s="40"/>
      <c r="V209" s="40"/>
      <c r="W209" s="40"/>
      <c r="X209" s="40"/>
      <c r="Y209" s="40"/>
      <c r="Z209" s="41"/>
    </row>
    <row r="210" ht="55.5" customHeight="1">
      <c r="A210" s="17" t="str">
        <f>HYPERLINK("http://purl.obolibrary.org/obo/OBI_0001019","http://purl.obolibrary.org/obo/OBI_0001019")</f>
        <v>http://purl.obolibrary.org/obo/OBI_0001019</v>
      </c>
      <c r="B210" s="18" t="s">
        <v>558</v>
      </c>
      <c r="C210" s="19" t="s">
        <v>559</v>
      </c>
      <c r="D210" s="18" t="s">
        <v>157</v>
      </c>
      <c r="E210" s="20" t="s">
        <v>30</v>
      </c>
      <c r="F210" s="18" t="s">
        <v>505</v>
      </c>
      <c r="G210" s="20"/>
      <c r="H210" s="18" t="s">
        <v>24</v>
      </c>
      <c r="I210" s="20" t="s">
        <v>506</v>
      </c>
      <c r="J210" s="18" t="s">
        <v>507</v>
      </c>
      <c r="K210" s="18"/>
      <c r="L210" s="20"/>
      <c r="M210" s="21"/>
      <c r="N210" s="21"/>
      <c r="O210" s="22"/>
      <c r="P210" s="22"/>
      <c r="Q210" s="23"/>
      <c r="R210" s="23"/>
      <c r="S210" s="43"/>
      <c r="T210" s="43"/>
      <c r="U210" s="43"/>
      <c r="V210" s="43"/>
      <c r="W210" s="43"/>
      <c r="X210" s="43"/>
      <c r="Y210" s="43"/>
      <c r="Z210" s="44"/>
    </row>
    <row r="211" ht="27.75" customHeight="1">
      <c r="A211" s="26" t="str">
        <f>A210</f>
        <v>http://purl.obolibrary.org/obo/OBI_0001019</v>
      </c>
      <c r="B211" s="27"/>
      <c r="C211" s="42" t="s">
        <v>508</v>
      </c>
      <c r="D211" s="27"/>
      <c r="E211" s="27"/>
      <c r="F211" s="27"/>
      <c r="G211" s="27"/>
      <c r="H211" s="52" t="s">
        <v>31</v>
      </c>
      <c r="I211" s="58" t="s">
        <v>87</v>
      </c>
      <c r="J211" s="52" t="s">
        <v>509</v>
      </c>
      <c r="K211" s="28" t="s">
        <v>510</v>
      </c>
      <c r="L211" s="27"/>
      <c r="M211" s="29"/>
      <c r="N211" s="29"/>
      <c r="O211" s="27"/>
      <c r="P211" s="30"/>
      <c r="Q211" s="31"/>
      <c r="R211" s="31"/>
      <c r="S211" s="45"/>
      <c r="T211" s="45"/>
      <c r="U211" s="45"/>
      <c r="V211" s="45"/>
      <c r="W211" s="45"/>
      <c r="X211" s="45"/>
      <c r="Y211" s="45"/>
      <c r="Z211" s="46"/>
    </row>
    <row r="212" ht="27.75" customHeight="1">
      <c r="A212" s="54" t="s">
        <v>560</v>
      </c>
      <c r="B212" s="55" t="s">
        <v>558</v>
      </c>
      <c r="C212" s="56" t="s">
        <v>561</v>
      </c>
      <c r="D212" s="55" t="s">
        <v>157</v>
      </c>
      <c r="E212" s="56" t="s">
        <v>30</v>
      </c>
      <c r="F212" s="55" t="s">
        <v>505</v>
      </c>
      <c r="G212" s="56"/>
      <c r="H212" s="55" t="s">
        <v>24</v>
      </c>
      <c r="I212" s="56" t="s">
        <v>506</v>
      </c>
      <c r="J212" s="55" t="s">
        <v>513</v>
      </c>
      <c r="K212" s="35"/>
      <c r="L212" s="36"/>
      <c r="M212" s="37"/>
      <c r="N212" s="37"/>
      <c r="O212" s="38"/>
      <c r="P212" s="38"/>
      <c r="Q212" s="39"/>
      <c r="R212" s="39"/>
      <c r="S212" s="47"/>
      <c r="T212" s="47"/>
      <c r="U212" s="47"/>
      <c r="V212" s="47"/>
      <c r="W212" s="47"/>
      <c r="X212" s="47"/>
      <c r="Y212" s="47"/>
      <c r="Z212" s="48"/>
    </row>
    <row r="213" ht="27.75" customHeight="1">
      <c r="A213" s="17" t="str">
        <f>HYPERLINK("http://purl.obolibrary.org/obo/OBI_0001020","http://purl.obolibrary.org/obo/OBI_0001020")</f>
        <v>http://purl.obolibrary.org/obo/OBI_0001020</v>
      </c>
      <c r="B213" s="18" t="s">
        <v>562</v>
      </c>
      <c r="C213" s="19" t="s">
        <v>563</v>
      </c>
      <c r="D213" s="18" t="s">
        <v>504</v>
      </c>
      <c r="E213" s="20" t="s">
        <v>30</v>
      </c>
      <c r="F213" s="18" t="s">
        <v>445</v>
      </c>
      <c r="G213" s="20"/>
      <c r="H213" s="18" t="s">
        <v>24</v>
      </c>
      <c r="I213" s="20" t="s">
        <v>446</v>
      </c>
      <c r="J213" s="18" t="s">
        <v>447</v>
      </c>
      <c r="K213" s="18"/>
      <c r="L213" s="20"/>
      <c r="M213" s="21"/>
      <c r="N213" s="21"/>
      <c r="O213" s="22"/>
      <c r="P213" s="22"/>
      <c r="Q213" s="23"/>
      <c r="R213" s="23"/>
      <c r="S213" s="24"/>
      <c r="T213" s="24"/>
      <c r="U213" s="24"/>
      <c r="V213" s="24"/>
      <c r="W213" s="24"/>
      <c r="X213" s="24"/>
      <c r="Y213" s="24"/>
      <c r="Z213" s="25"/>
    </row>
    <row r="214" ht="84.0" customHeight="1">
      <c r="A214" s="26" t="str">
        <f>A213</f>
        <v>http://purl.obolibrary.org/obo/OBI_0001020</v>
      </c>
      <c r="B214" s="27"/>
      <c r="C214" s="42" t="s">
        <v>555</v>
      </c>
      <c r="D214" s="27"/>
      <c r="E214" s="27"/>
      <c r="F214" s="27"/>
      <c r="G214" s="27"/>
      <c r="H214" s="52" t="s">
        <v>31</v>
      </c>
      <c r="I214" s="58" t="s">
        <v>449</v>
      </c>
      <c r="J214" s="52" t="s">
        <v>450</v>
      </c>
      <c r="K214" s="28" t="s">
        <v>451</v>
      </c>
      <c r="L214" s="27"/>
      <c r="M214" s="29"/>
      <c r="N214" s="29"/>
      <c r="O214" s="27"/>
      <c r="P214" s="30"/>
      <c r="Q214" s="31"/>
      <c r="R214" s="31"/>
      <c r="S214" s="32"/>
      <c r="T214" s="32"/>
      <c r="U214" s="32"/>
      <c r="V214" s="32"/>
      <c r="W214" s="32"/>
      <c r="X214" s="32"/>
      <c r="Y214" s="32"/>
      <c r="Z214" s="33"/>
    </row>
    <row r="215" ht="13.5" customHeight="1">
      <c r="A215" s="54" t="s">
        <v>564</v>
      </c>
      <c r="B215" s="55" t="s">
        <v>562</v>
      </c>
      <c r="C215" s="56" t="s">
        <v>565</v>
      </c>
      <c r="D215" s="55" t="s">
        <v>504</v>
      </c>
      <c r="E215" s="56" t="s">
        <v>30</v>
      </c>
      <c r="F215" s="55" t="s">
        <v>445</v>
      </c>
      <c r="G215" s="56"/>
      <c r="H215" s="55" t="s">
        <v>24</v>
      </c>
      <c r="I215" s="56" t="s">
        <v>446</v>
      </c>
      <c r="J215" s="55" t="s">
        <v>454</v>
      </c>
      <c r="K215" s="35"/>
      <c r="L215" s="36"/>
      <c r="M215" s="37"/>
      <c r="N215" s="37"/>
      <c r="O215" s="38"/>
      <c r="P215" s="38"/>
      <c r="Q215" s="39"/>
      <c r="R215" s="39"/>
      <c r="S215" s="40"/>
      <c r="T215" s="40"/>
      <c r="U215" s="40"/>
      <c r="V215" s="40"/>
      <c r="W215" s="40"/>
      <c r="X215" s="40"/>
      <c r="Y215" s="40"/>
      <c r="Z215" s="41"/>
    </row>
    <row r="216" ht="84.0" customHeight="1">
      <c r="A216" s="17" t="str">
        <f>HYPERLINK("http://purl.obolibrary.org/obo/OBI_0001021","http://purl.obolibrary.org/obo/OBI_0001021")</f>
        <v>http://purl.obolibrary.org/obo/OBI_0001021</v>
      </c>
      <c r="B216" s="18" t="s">
        <v>566</v>
      </c>
      <c r="C216" s="19" t="s">
        <v>567</v>
      </c>
      <c r="D216" s="18" t="s">
        <v>504</v>
      </c>
      <c r="E216" s="20" t="s">
        <v>30</v>
      </c>
      <c r="F216" s="18" t="s">
        <v>505</v>
      </c>
      <c r="G216" s="20"/>
      <c r="H216" s="18" t="s">
        <v>24</v>
      </c>
      <c r="I216" s="20" t="s">
        <v>506</v>
      </c>
      <c r="J216" s="18" t="s">
        <v>507</v>
      </c>
      <c r="K216" s="18"/>
      <c r="L216" s="20"/>
      <c r="M216" s="21"/>
      <c r="N216" s="21"/>
      <c r="O216" s="22"/>
      <c r="P216" s="22"/>
      <c r="Q216" s="23"/>
      <c r="R216" s="23"/>
      <c r="S216" s="43"/>
      <c r="T216" s="43"/>
      <c r="U216" s="43"/>
      <c r="V216" s="43"/>
      <c r="W216" s="43"/>
      <c r="X216" s="43"/>
      <c r="Y216" s="43"/>
      <c r="Z216" s="44"/>
    </row>
    <row r="217" ht="27.75" customHeight="1">
      <c r="A217" s="26" t="str">
        <f>A216</f>
        <v>http://purl.obolibrary.org/obo/OBI_0001021</v>
      </c>
      <c r="B217" s="27"/>
      <c r="C217" s="42" t="s">
        <v>508</v>
      </c>
      <c r="D217" s="27"/>
      <c r="E217" s="27"/>
      <c r="F217" s="27"/>
      <c r="G217" s="27"/>
      <c r="H217" s="52" t="s">
        <v>31</v>
      </c>
      <c r="I217" s="58" t="s">
        <v>87</v>
      </c>
      <c r="J217" s="52" t="s">
        <v>509</v>
      </c>
      <c r="K217" s="28" t="s">
        <v>510</v>
      </c>
      <c r="L217" s="27"/>
      <c r="M217" s="29"/>
      <c r="N217" s="29"/>
      <c r="O217" s="27"/>
      <c r="P217" s="30"/>
      <c r="Q217" s="31"/>
      <c r="R217" s="31"/>
      <c r="S217" s="45"/>
      <c r="T217" s="45"/>
      <c r="U217" s="45"/>
      <c r="V217" s="45"/>
      <c r="W217" s="45"/>
      <c r="X217" s="45"/>
      <c r="Y217" s="45"/>
      <c r="Z217" s="46"/>
    </row>
    <row r="218" ht="42.0" customHeight="1">
      <c r="A218" s="54" t="s">
        <v>568</v>
      </c>
      <c r="B218" s="55" t="s">
        <v>566</v>
      </c>
      <c r="C218" s="56" t="s">
        <v>569</v>
      </c>
      <c r="D218" s="55" t="s">
        <v>504</v>
      </c>
      <c r="E218" s="56" t="s">
        <v>30</v>
      </c>
      <c r="F218" s="55" t="s">
        <v>505</v>
      </c>
      <c r="G218" s="56"/>
      <c r="H218" s="55" t="s">
        <v>24</v>
      </c>
      <c r="I218" s="56" t="s">
        <v>506</v>
      </c>
      <c r="J218" s="55" t="s">
        <v>513</v>
      </c>
      <c r="K218" s="35"/>
      <c r="L218" s="36"/>
      <c r="M218" s="37"/>
      <c r="N218" s="37"/>
      <c r="O218" s="38"/>
      <c r="P218" s="38"/>
      <c r="Q218" s="39"/>
      <c r="R218" s="39"/>
      <c r="S218" s="47"/>
      <c r="T218" s="47"/>
      <c r="U218" s="47"/>
      <c r="V218" s="47"/>
      <c r="W218" s="47"/>
      <c r="X218" s="47"/>
      <c r="Y218" s="47"/>
      <c r="Z218" s="48"/>
    </row>
    <row r="219" ht="27.75" customHeight="1">
      <c r="A219" s="17" t="str">
        <f>HYPERLINK("http://purl.obolibrary.org/obo/OBI_0001022","http://purl.obolibrary.org/obo/OBI_0001022")</f>
        <v>http://purl.obolibrary.org/obo/OBI_0001022</v>
      </c>
      <c r="B219" s="18" t="s">
        <v>570</v>
      </c>
      <c r="C219" s="19" t="s">
        <v>571</v>
      </c>
      <c r="D219" s="18" t="s">
        <v>572</v>
      </c>
      <c r="E219" s="20" t="s">
        <v>30</v>
      </c>
      <c r="F219" s="18" t="s">
        <v>19</v>
      </c>
      <c r="G219" s="20"/>
      <c r="H219" s="18"/>
      <c r="I219" s="20"/>
      <c r="J219" s="18"/>
      <c r="K219" s="18"/>
      <c r="L219" s="20"/>
      <c r="M219" s="21"/>
      <c r="N219" s="21"/>
      <c r="O219" s="22"/>
      <c r="P219" s="22"/>
      <c r="Q219" s="23"/>
      <c r="R219" s="23"/>
      <c r="S219" s="24"/>
      <c r="T219" s="24"/>
      <c r="U219" s="24"/>
      <c r="V219" s="24"/>
      <c r="W219" s="24"/>
      <c r="X219" s="24"/>
      <c r="Y219" s="24"/>
      <c r="Z219" s="25"/>
    </row>
    <row r="220" ht="111.75" customHeight="1">
      <c r="A220" s="26" t="str">
        <f>A219</f>
        <v>http://purl.obolibrary.org/obo/OBI_0001022</v>
      </c>
      <c r="B220" s="27"/>
      <c r="C220" s="27"/>
      <c r="D220" s="27"/>
      <c r="E220" s="27"/>
      <c r="F220" s="27"/>
      <c r="G220" s="27"/>
      <c r="H220" s="28"/>
      <c r="I220" s="27"/>
      <c r="J220" s="28"/>
      <c r="K220" s="28"/>
      <c r="L220" s="27"/>
      <c r="M220" s="29"/>
      <c r="N220" s="29"/>
      <c r="O220" s="27"/>
      <c r="P220" s="30"/>
      <c r="Q220" s="31"/>
      <c r="R220" s="31"/>
      <c r="S220" s="32"/>
      <c r="T220" s="32"/>
      <c r="U220" s="32"/>
      <c r="V220" s="32"/>
      <c r="W220" s="32"/>
      <c r="X220" s="32"/>
      <c r="Y220" s="32"/>
      <c r="Z220" s="33"/>
    </row>
    <row r="221" ht="42.0" customHeight="1">
      <c r="A221" s="34" t="s">
        <v>573</v>
      </c>
      <c r="B221" s="35" t="s">
        <v>570</v>
      </c>
      <c r="C221" s="36" t="s">
        <v>574</v>
      </c>
      <c r="D221" s="35" t="s">
        <v>572</v>
      </c>
      <c r="E221" s="36" t="s">
        <v>30</v>
      </c>
      <c r="F221" s="35" t="s">
        <v>19</v>
      </c>
      <c r="G221" s="36"/>
      <c r="H221" s="36"/>
      <c r="I221" s="36"/>
      <c r="J221" s="35"/>
      <c r="K221" s="35"/>
      <c r="L221" s="36"/>
      <c r="M221" s="37"/>
      <c r="N221" s="37"/>
      <c r="O221" s="38"/>
      <c r="P221" s="38"/>
      <c r="Q221" s="39"/>
      <c r="R221" s="39"/>
      <c r="S221" s="40"/>
      <c r="T221" s="40"/>
      <c r="U221" s="40"/>
      <c r="V221" s="40"/>
      <c r="W221" s="40"/>
      <c r="X221" s="40"/>
      <c r="Y221" s="40"/>
      <c r="Z221" s="41"/>
    </row>
    <row r="222" ht="55.5" customHeight="1">
      <c r="A222" s="17" t="str">
        <f>HYPERLINK("http://purl.obolibrary.org/obo/OBI_0001023","http://purl.obolibrary.org/obo/OBI_0001023")</f>
        <v>http://purl.obolibrary.org/obo/OBI_0001023</v>
      </c>
      <c r="B222" s="18" t="s">
        <v>575</v>
      </c>
      <c r="C222" s="19" t="s">
        <v>576</v>
      </c>
      <c r="D222" s="18" t="s">
        <v>504</v>
      </c>
      <c r="E222" s="20" t="s">
        <v>30</v>
      </c>
      <c r="F222" s="18" t="s">
        <v>445</v>
      </c>
      <c r="G222" s="20"/>
      <c r="H222" s="18" t="s">
        <v>24</v>
      </c>
      <c r="I222" s="20" t="s">
        <v>506</v>
      </c>
      <c r="J222" s="18" t="s">
        <v>507</v>
      </c>
      <c r="K222" s="18"/>
      <c r="L222" s="20"/>
      <c r="M222" s="21"/>
      <c r="N222" s="21"/>
      <c r="O222" s="22"/>
      <c r="P222" s="22"/>
      <c r="Q222" s="23"/>
      <c r="R222" s="23"/>
      <c r="S222" s="43"/>
      <c r="T222" s="43"/>
      <c r="U222" s="43"/>
      <c r="V222" s="43"/>
      <c r="W222" s="43"/>
      <c r="X222" s="43"/>
      <c r="Y222" s="43"/>
      <c r="Z222" s="44"/>
    </row>
    <row r="223" ht="42.0" customHeight="1">
      <c r="A223" s="26" t="str">
        <f>A222</f>
        <v>http://purl.obolibrary.org/obo/OBI_0001023</v>
      </c>
      <c r="B223" s="27"/>
      <c r="C223" s="42" t="s">
        <v>516</v>
      </c>
      <c r="D223" s="27"/>
      <c r="E223" s="27"/>
      <c r="F223" s="27"/>
      <c r="G223" s="27"/>
      <c r="H223" s="52" t="s">
        <v>31</v>
      </c>
      <c r="I223" s="58" t="s">
        <v>87</v>
      </c>
      <c r="J223" s="52" t="s">
        <v>509</v>
      </c>
      <c r="K223" s="28" t="s">
        <v>510</v>
      </c>
      <c r="L223" s="27"/>
      <c r="M223" s="29"/>
      <c r="N223" s="29"/>
      <c r="O223" s="27"/>
      <c r="P223" s="30"/>
      <c r="Q223" s="31"/>
      <c r="R223" s="31"/>
      <c r="S223" s="45"/>
      <c r="T223" s="45"/>
      <c r="U223" s="45"/>
      <c r="V223" s="45"/>
      <c r="W223" s="45"/>
      <c r="X223" s="45"/>
      <c r="Y223" s="45"/>
      <c r="Z223" s="46"/>
    </row>
    <row r="224" ht="42.0" customHeight="1">
      <c r="A224" s="54" t="s">
        <v>577</v>
      </c>
      <c r="B224" s="55" t="s">
        <v>575</v>
      </c>
      <c r="C224" s="56" t="s">
        <v>578</v>
      </c>
      <c r="D224" s="55" t="s">
        <v>504</v>
      </c>
      <c r="E224" s="56" t="s">
        <v>30</v>
      </c>
      <c r="F224" s="55" t="s">
        <v>445</v>
      </c>
      <c r="G224" s="56"/>
      <c r="H224" s="55" t="s">
        <v>24</v>
      </c>
      <c r="I224" s="56" t="s">
        <v>506</v>
      </c>
      <c r="J224" s="55" t="s">
        <v>513</v>
      </c>
      <c r="K224" s="35"/>
      <c r="L224" s="36"/>
      <c r="M224" s="37"/>
      <c r="N224" s="37"/>
      <c r="O224" s="38"/>
      <c r="P224" s="38"/>
      <c r="Q224" s="39"/>
      <c r="R224" s="39"/>
      <c r="S224" s="47"/>
      <c r="T224" s="47"/>
      <c r="U224" s="47"/>
      <c r="V224" s="47"/>
      <c r="W224" s="47"/>
      <c r="X224" s="47"/>
      <c r="Y224" s="47"/>
      <c r="Z224" s="48"/>
    </row>
    <row r="225" ht="13.5" customHeight="1">
      <c r="A225" s="17" t="str">
        <f>HYPERLINK("http://purl.obolibrary.org/obo/OBI_0001024","http://purl.obolibrary.org/obo/OBI_0001024")</f>
        <v>http://purl.obolibrary.org/obo/OBI_0001024</v>
      </c>
      <c r="B225" s="18" t="s">
        <v>579</v>
      </c>
      <c r="C225" s="19" t="s">
        <v>580</v>
      </c>
      <c r="D225" s="18" t="s">
        <v>504</v>
      </c>
      <c r="E225" s="20" t="s">
        <v>30</v>
      </c>
      <c r="F225" s="18" t="s">
        <v>505</v>
      </c>
      <c r="G225" s="20"/>
      <c r="H225" s="18" t="s">
        <v>24</v>
      </c>
      <c r="I225" s="20" t="s">
        <v>506</v>
      </c>
      <c r="J225" s="18" t="s">
        <v>507</v>
      </c>
      <c r="K225" s="18"/>
      <c r="L225" s="20"/>
      <c r="M225" s="21"/>
      <c r="N225" s="21"/>
      <c r="O225" s="22"/>
      <c r="P225" s="22"/>
      <c r="Q225" s="23"/>
      <c r="R225" s="23"/>
      <c r="S225" s="24"/>
      <c r="T225" s="24"/>
      <c r="U225" s="24"/>
      <c r="V225" s="24"/>
      <c r="W225" s="24"/>
      <c r="X225" s="24"/>
      <c r="Y225" s="24"/>
      <c r="Z225" s="25"/>
    </row>
    <row r="226" ht="97.5" customHeight="1">
      <c r="A226" s="26" t="str">
        <f>A225</f>
        <v>http://purl.obolibrary.org/obo/OBI_0001024</v>
      </c>
      <c r="B226" s="27"/>
      <c r="C226" s="42" t="s">
        <v>508</v>
      </c>
      <c r="D226" s="27"/>
      <c r="E226" s="27"/>
      <c r="F226" s="27"/>
      <c r="G226" s="27"/>
      <c r="H226" s="52" t="s">
        <v>31</v>
      </c>
      <c r="I226" s="58" t="s">
        <v>87</v>
      </c>
      <c r="J226" s="52" t="s">
        <v>509</v>
      </c>
      <c r="K226" s="28" t="s">
        <v>510</v>
      </c>
      <c r="L226" s="27"/>
      <c r="M226" s="29"/>
      <c r="N226" s="29"/>
      <c r="O226" s="27"/>
      <c r="P226" s="30"/>
      <c r="Q226" s="31"/>
      <c r="R226" s="31"/>
      <c r="S226" s="32"/>
      <c r="T226" s="32"/>
      <c r="U226" s="32"/>
      <c r="V226" s="32"/>
      <c r="W226" s="32"/>
      <c r="X226" s="32"/>
      <c r="Y226" s="32"/>
      <c r="Z226" s="33"/>
    </row>
    <row r="227" ht="13.5" customHeight="1">
      <c r="A227" s="54" t="s">
        <v>581</v>
      </c>
      <c r="B227" s="55" t="s">
        <v>579</v>
      </c>
      <c r="C227" s="56" t="s">
        <v>582</v>
      </c>
      <c r="D227" s="55" t="s">
        <v>504</v>
      </c>
      <c r="E227" s="56" t="s">
        <v>30</v>
      </c>
      <c r="F227" s="55" t="s">
        <v>505</v>
      </c>
      <c r="G227" s="56"/>
      <c r="H227" s="55" t="s">
        <v>24</v>
      </c>
      <c r="I227" s="56" t="s">
        <v>506</v>
      </c>
      <c r="J227" s="55" t="s">
        <v>513</v>
      </c>
      <c r="K227" s="35"/>
      <c r="L227" s="36"/>
      <c r="M227" s="37"/>
      <c r="N227" s="37"/>
      <c r="O227" s="38"/>
      <c r="P227" s="38"/>
      <c r="Q227" s="39"/>
      <c r="R227" s="39"/>
      <c r="S227" s="40"/>
      <c r="T227" s="40"/>
      <c r="U227" s="40"/>
      <c r="V227" s="40"/>
      <c r="W227" s="40"/>
      <c r="X227" s="40"/>
      <c r="Y227" s="40"/>
      <c r="Z227" s="41"/>
    </row>
    <row r="228" ht="153.75" customHeight="1">
      <c r="A228" s="17" t="str">
        <f>HYPERLINK("http://purl.obolibrary.org/obo/OBI_0001025","http://purl.obolibrary.org/obo/OBI_0001025")</f>
        <v>http://purl.obolibrary.org/obo/OBI_0001025</v>
      </c>
      <c r="B228" s="18" t="s">
        <v>583</v>
      </c>
      <c r="C228" s="19" t="s">
        <v>584</v>
      </c>
      <c r="D228" s="18" t="s">
        <v>585</v>
      </c>
      <c r="E228" s="20" t="s">
        <v>30</v>
      </c>
      <c r="F228" s="18" t="s">
        <v>46</v>
      </c>
      <c r="G228" s="20" t="s">
        <v>586</v>
      </c>
      <c r="H228" s="18"/>
      <c r="I228" s="20"/>
      <c r="J228" s="18" t="s">
        <v>586</v>
      </c>
      <c r="K228" s="18"/>
      <c r="L228" s="20"/>
      <c r="M228" s="21"/>
      <c r="N228" s="21"/>
      <c r="O228" s="22"/>
      <c r="P228" s="22"/>
      <c r="Q228" s="23"/>
      <c r="R228" s="23"/>
      <c r="S228" s="43"/>
      <c r="T228" s="43"/>
      <c r="U228" s="43"/>
      <c r="V228" s="43"/>
      <c r="W228" s="43"/>
      <c r="X228" s="43"/>
      <c r="Y228" s="43"/>
      <c r="Z228" s="44"/>
    </row>
    <row r="229" ht="27.75" customHeight="1">
      <c r="A229" s="26" t="str">
        <f>A228</f>
        <v>http://purl.obolibrary.org/obo/OBI_0001025</v>
      </c>
      <c r="B229" s="27"/>
      <c r="C229" s="27"/>
      <c r="D229" s="27"/>
      <c r="E229" s="27"/>
      <c r="F229" s="27"/>
      <c r="G229" s="27"/>
      <c r="H229" s="28"/>
      <c r="I229" s="27"/>
      <c r="J229" s="28" t="s">
        <v>587</v>
      </c>
      <c r="K229" s="28"/>
      <c r="L229" s="27"/>
      <c r="M229" s="29"/>
      <c r="N229" s="29"/>
      <c r="O229" s="27"/>
      <c r="P229" s="30"/>
      <c r="Q229" s="31"/>
      <c r="R229" s="31"/>
      <c r="S229" s="45"/>
      <c r="T229" s="45"/>
      <c r="U229" s="45"/>
      <c r="V229" s="45"/>
      <c r="W229" s="45"/>
      <c r="X229" s="45"/>
      <c r="Y229" s="45"/>
      <c r="Z229" s="46"/>
    </row>
    <row r="230" ht="84.0" customHeight="1">
      <c r="A230" s="34" t="s">
        <v>588</v>
      </c>
      <c r="B230" s="35" t="s">
        <v>583</v>
      </c>
      <c r="C230" s="36" t="s">
        <v>589</v>
      </c>
      <c r="D230" s="35" t="s">
        <v>585</v>
      </c>
      <c r="E230" s="36" t="s">
        <v>30</v>
      </c>
      <c r="F230" s="35" t="s">
        <v>46</v>
      </c>
      <c r="G230" s="36" t="s">
        <v>590</v>
      </c>
      <c r="H230" s="36"/>
      <c r="I230" s="36"/>
      <c r="J230" s="35" t="s">
        <v>590</v>
      </c>
      <c r="K230" s="35"/>
      <c r="L230" s="36"/>
      <c r="M230" s="37"/>
      <c r="N230" s="37"/>
      <c r="O230" s="38"/>
      <c r="P230" s="38"/>
      <c r="Q230" s="39"/>
      <c r="R230" s="39"/>
      <c r="S230" s="47"/>
      <c r="T230" s="47"/>
      <c r="U230" s="47"/>
      <c r="V230" s="47"/>
      <c r="W230" s="47"/>
      <c r="X230" s="47"/>
      <c r="Y230" s="47"/>
      <c r="Z230" s="48"/>
    </row>
    <row r="231" ht="27.75" customHeight="1">
      <c r="A231" s="17" t="str">
        <f>HYPERLINK("http://purl.obolibrary.org/obo/OBI_0001026","http://purl.obolibrary.org/obo/OBI_0001026")</f>
        <v>http://purl.obolibrary.org/obo/OBI_0001026</v>
      </c>
      <c r="B231" s="18" t="s">
        <v>591</v>
      </c>
      <c r="C231" s="19" t="s">
        <v>592</v>
      </c>
      <c r="D231" s="18" t="s">
        <v>504</v>
      </c>
      <c r="E231" s="20" t="s">
        <v>30</v>
      </c>
      <c r="F231" s="18" t="s">
        <v>445</v>
      </c>
      <c r="G231" s="20"/>
      <c r="H231" s="18" t="s">
        <v>24</v>
      </c>
      <c r="I231" s="20" t="s">
        <v>506</v>
      </c>
      <c r="J231" s="18" t="s">
        <v>507</v>
      </c>
      <c r="K231" s="18"/>
      <c r="L231" s="20"/>
      <c r="M231" s="21"/>
      <c r="N231" s="21"/>
      <c r="O231" s="22"/>
      <c r="P231" s="22"/>
      <c r="Q231" s="23"/>
      <c r="R231" s="23"/>
      <c r="S231" s="24"/>
      <c r="T231" s="24"/>
      <c r="U231" s="24"/>
      <c r="V231" s="24"/>
      <c r="W231" s="24"/>
      <c r="X231" s="24"/>
      <c r="Y231" s="24"/>
      <c r="Z231" s="25"/>
    </row>
    <row r="232" ht="210.0" customHeight="1">
      <c r="A232" s="26" t="str">
        <f>A231</f>
        <v>http://purl.obolibrary.org/obo/OBI_0001026</v>
      </c>
      <c r="B232" s="27"/>
      <c r="C232" s="42" t="s">
        <v>516</v>
      </c>
      <c r="D232" s="27"/>
      <c r="E232" s="27"/>
      <c r="F232" s="27"/>
      <c r="G232" s="27"/>
      <c r="H232" s="52" t="s">
        <v>31</v>
      </c>
      <c r="I232" s="58" t="s">
        <v>87</v>
      </c>
      <c r="J232" s="52" t="s">
        <v>509</v>
      </c>
      <c r="K232" s="28" t="s">
        <v>510</v>
      </c>
      <c r="L232" s="27"/>
      <c r="M232" s="29"/>
      <c r="N232" s="29"/>
      <c r="O232" s="27"/>
      <c r="P232" s="30"/>
      <c r="Q232" s="31"/>
      <c r="R232" s="31"/>
      <c r="S232" s="32"/>
      <c r="T232" s="32"/>
      <c r="U232" s="32"/>
      <c r="V232" s="32"/>
      <c r="W232" s="32"/>
      <c r="X232" s="32"/>
      <c r="Y232" s="32"/>
      <c r="Z232" s="33"/>
    </row>
    <row r="233" ht="24.75" customHeight="1">
      <c r="A233" s="54" t="s">
        <v>593</v>
      </c>
      <c r="B233" s="55" t="s">
        <v>591</v>
      </c>
      <c r="C233" s="56" t="s">
        <v>594</v>
      </c>
      <c r="D233" s="55" t="s">
        <v>504</v>
      </c>
      <c r="E233" s="56" t="s">
        <v>30</v>
      </c>
      <c r="F233" s="55" t="s">
        <v>445</v>
      </c>
      <c r="G233" s="56"/>
      <c r="H233" s="55" t="s">
        <v>24</v>
      </c>
      <c r="I233" s="56" t="s">
        <v>506</v>
      </c>
      <c r="J233" s="55" t="s">
        <v>513</v>
      </c>
      <c r="K233" s="35"/>
      <c r="L233" s="36"/>
      <c r="M233" s="37"/>
      <c r="N233" s="37"/>
      <c r="O233" s="38"/>
      <c r="P233" s="38"/>
      <c r="Q233" s="39"/>
      <c r="R233" s="39"/>
      <c r="S233" s="40"/>
      <c r="T233" s="40"/>
      <c r="U233" s="40"/>
      <c r="V233" s="40"/>
      <c r="W233" s="40"/>
      <c r="X233" s="40"/>
      <c r="Y233" s="40"/>
      <c r="Z233" s="41"/>
    </row>
    <row r="234" ht="111.75" customHeight="1">
      <c r="A234" s="17" t="str">
        <f>HYPERLINK("http://purl.obolibrary.org/obo/OBI_0001027","http://purl.obolibrary.org/obo/OBI_0001027")</f>
        <v>http://purl.obolibrary.org/obo/OBI_0001027</v>
      </c>
      <c r="B234" s="18" t="s">
        <v>595</v>
      </c>
      <c r="C234" s="19" t="s">
        <v>596</v>
      </c>
      <c r="D234" s="18" t="s">
        <v>504</v>
      </c>
      <c r="E234" s="20" t="s">
        <v>30</v>
      </c>
      <c r="F234" s="18" t="s">
        <v>445</v>
      </c>
      <c r="G234" s="20"/>
      <c r="H234" s="18" t="s">
        <v>24</v>
      </c>
      <c r="I234" s="20" t="s">
        <v>506</v>
      </c>
      <c r="J234" s="18" t="s">
        <v>507</v>
      </c>
      <c r="K234" s="18"/>
      <c r="L234" s="20"/>
      <c r="M234" s="21"/>
      <c r="N234" s="21"/>
      <c r="O234" s="22"/>
      <c r="P234" s="22"/>
      <c r="Q234" s="23"/>
      <c r="R234" s="23"/>
      <c r="S234" s="43"/>
      <c r="T234" s="43"/>
      <c r="U234" s="43"/>
      <c r="V234" s="43"/>
      <c r="W234" s="43"/>
      <c r="X234" s="43"/>
      <c r="Y234" s="43"/>
      <c r="Z234" s="44"/>
    </row>
    <row r="235" ht="13.5" customHeight="1">
      <c r="A235" s="26" t="str">
        <f>A234</f>
        <v>http://purl.obolibrary.org/obo/OBI_0001027</v>
      </c>
      <c r="B235" s="27"/>
      <c r="C235" s="42" t="s">
        <v>516</v>
      </c>
      <c r="D235" s="27"/>
      <c r="E235" s="27"/>
      <c r="F235" s="27"/>
      <c r="G235" s="27"/>
      <c r="H235" s="52" t="s">
        <v>31</v>
      </c>
      <c r="I235" s="58" t="s">
        <v>87</v>
      </c>
      <c r="J235" s="52" t="s">
        <v>509</v>
      </c>
      <c r="K235" s="28" t="s">
        <v>510</v>
      </c>
      <c r="L235" s="27"/>
      <c r="M235" s="29"/>
      <c r="N235" s="29"/>
      <c r="O235" s="27"/>
      <c r="P235" s="30"/>
      <c r="Q235" s="31"/>
      <c r="R235" s="31"/>
      <c r="S235" s="45"/>
      <c r="T235" s="45"/>
      <c r="U235" s="45"/>
      <c r="V235" s="45"/>
      <c r="W235" s="45"/>
      <c r="X235" s="45"/>
      <c r="Y235" s="45"/>
      <c r="Z235" s="46"/>
    </row>
    <row r="236" ht="97.5" customHeight="1">
      <c r="A236" s="54" t="s">
        <v>597</v>
      </c>
      <c r="B236" s="55" t="s">
        <v>595</v>
      </c>
      <c r="C236" s="56" t="s">
        <v>598</v>
      </c>
      <c r="D236" s="55" t="s">
        <v>504</v>
      </c>
      <c r="E236" s="56" t="s">
        <v>30</v>
      </c>
      <c r="F236" s="55" t="s">
        <v>445</v>
      </c>
      <c r="G236" s="56"/>
      <c r="H236" s="55" t="s">
        <v>24</v>
      </c>
      <c r="I236" s="56" t="s">
        <v>506</v>
      </c>
      <c r="J236" s="55" t="s">
        <v>513</v>
      </c>
      <c r="K236" s="35"/>
      <c r="L236" s="36"/>
      <c r="M236" s="37"/>
      <c r="N236" s="37"/>
      <c r="O236" s="38"/>
      <c r="P236" s="38"/>
      <c r="Q236" s="39"/>
      <c r="R236" s="39"/>
      <c r="S236" s="47"/>
      <c r="T236" s="47"/>
      <c r="U236" s="47"/>
      <c r="V236" s="47"/>
      <c r="W236" s="47"/>
      <c r="X236" s="47"/>
      <c r="Y236" s="47"/>
      <c r="Z236" s="48"/>
    </row>
    <row r="237" ht="13.5" customHeight="1">
      <c r="A237" s="17" t="str">
        <f>HYPERLINK("http://purl.obolibrary.org/obo/OBI_0001029","http://purl.obolibrary.org/obo/OBI_0001029")</f>
        <v>http://purl.obolibrary.org/obo/OBI_0001029</v>
      </c>
      <c r="B237" s="18" t="s">
        <v>599</v>
      </c>
      <c r="C237" s="19" t="s">
        <v>600</v>
      </c>
      <c r="D237" s="18" t="s">
        <v>504</v>
      </c>
      <c r="E237" s="20" t="s">
        <v>30</v>
      </c>
      <c r="F237" s="18" t="s">
        <v>445</v>
      </c>
      <c r="G237" s="20"/>
      <c r="H237" s="18" t="s">
        <v>24</v>
      </c>
      <c r="I237" s="20" t="s">
        <v>446</v>
      </c>
      <c r="J237" s="18" t="s">
        <v>447</v>
      </c>
      <c r="K237" s="18"/>
      <c r="L237" s="20"/>
      <c r="M237" s="21"/>
      <c r="N237" s="21"/>
      <c r="O237" s="22"/>
      <c r="P237" s="22"/>
      <c r="Q237" s="23"/>
      <c r="R237" s="23"/>
      <c r="S237" s="24"/>
      <c r="T237" s="24"/>
      <c r="U237" s="24"/>
      <c r="V237" s="24"/>
      <c r="W237" s="24"/>
      <c r="X237" s="24"/>
      <c r="Y237" s="24"/>
      <c r="Z237" s="25"/>
    </row>
    <row r="238" ht="55.5" customHeight="1">
      <c r="A238" s="26" t="str">
        <f>A237</f>
        <v>http://purl.obolibrary.org/obo/OBI_0001029</v>
      </c>
      <c r="B238" s="27"/>
      <c r="C238" s="42" t="s">
        <v>516</v>
      </c>
      <c r="D238" s="27"/>
      <c r="E238" s="27"/>
      <c r="F238" s="27"/>
      <c r="G238" s="27"/>
      <c r="H238" s="52" t="s">
        <v>31</v>
      </c>
      <c r="I238" s="58" t="s">
        <v>449</v>
      </c>
      <c r="J238" s="52" t="s">
        <v>450</v>
      </c>
      <c r="K238" s="28" t="s">
        <v>451</v>
      </c>
      <c r="L238" s="27"/>
      <c r="M238" s="29"/>
      <c r="N238" s="29"/>
      <c r="O238" s="27"/>
      <c r="P238" s="30"/>
      <c r="Q238" s="31"/>
      <c r="R238" s="31"/>
      <c r="S238" s="32"/>
      <c r="T238" s="32"/>
      <c r="U238" s="32"/>
      <c r="V238" s="32"/>
      <c r="W238" s="32"/>
      <c r="X238" s="32"/>
      <c r="Y238" s="32"/>
      <c r="Z238" s="33"/>
    </row>
    <row r="239" ht="13.5" customHeight="1">
      <c r="A239" s="54" t="s">
        <v>601</v>
      </c>
      <c r="B239" s="55" t="s">
        <v>599</v>
      </c>
      <c r="C239" s="56" t="s">
        <v>602</v>
      </c>
      <c r="D239" s="55" t="s">
        <v>504</v>
      </c>
      <c r="E239" s="56" t="s">
        <v>30</v>
      </c>
      <c r="F239" s="55" t="s">
        <v>445</v>
      </c>
      <c r="G239" s="56"/>
      <c r="H239" s="55" t="s">
        <v>24</v>
      </c>
      <c r="I239" s="56" t="s">
        <v>446</v>
      </c>
      <c r="J239" s="55" t="s">
        <v>454</v>
      </c>
      <c r="K239" s="35"/>
      <c r="L239" s="36"/>
      <c r="M239" s="37"/>
      <c r="N239" s="37"/>
      <c r="O239" s="38"/>
      <c r="P239" s="38"/>
      <c r="Q239" s="39"/>
      <c r="R239" s="39"/>
      <c r="S239" s="40"/>
      <c r="T239" s="40"/>
      <c r="U239" s="40"/>
      <c r="V239" s="40"/>
      <c r="W239" s="40"/>
      <c r="X239" s="40"/>
      <c r="Y239" s="40"/>
      <c r="Z239" s="41"/>
    </row>
    <row r="240" ht="84.0" customHeight="1">
      <c r="A240" s="17" t="str">
        <f>HYPERLINK("http://purl.obolibrary.org/obo/OBI_0001030","http://purl.obolibrary.org/obo/OBI_0001030")</f>
        <v>http://purl.obolibrary.org/obo/OBI_0001030</v>
      </c>
      <c r="B240" s="18" t="s">
        <v>603</v>
      </c>
      <c r="C240" s="19" t="s">
        <v>604</v>
      </c>
      <c r="D240" s="18" t="s">
        <v>504</v>
      </c>
      <c r="E240" s="20" t="s">
        <v>30</v>
      </c>
      <c r="F240" s="18" t="s">
        <v>505</v>
      </c>
      <c r="G240" s="20"/>
      <c r="H240" s="18" t="s">
        <v>24</v>
      </c>
      <c r="I240" s="20" t="s">
        <v>506</v>
      </c>
      <c r="J240" s="18" t="s">
        <v>507</v>
      </c>
      <c r="K240" s="18"/>
      <c r="L240" s="20"/>
      <c r="M240" s="21"/>
      <c r="N240" s="21"/>
      <c r="O240" s="22"/>
      <c r="P240" s="22"/>
      <c r="Q240" s="23"/>
      <c r="R240" s="23"/>
      <c r="S240" s="43"/>
      <c r="T240" s="43"/>
      <c r="U240" s="43"/>
      <c r="V240" s="43"/>
      <c r="W240" s="43"/>
      <c r="X240" s="43"/>
      <c r="Y240" s="43"/>
      <c r="Z240" s="44"/>
    </row>
    <row r="241" ht="13.5" customHeight="1">
      <c r="A241" s="26" t="str">
        <f>A240</f>
        <v>http://purl.obolibrary.org/obo/OBI_0001030</v>
      </c>
      <c r="B241" s="27"/>
      <c r="C241" s="42" t="s">
        <v>508</v>
      </c>
      <c r="D241" s="27"/>
      <c r="E241" s="27"/>
      <c r="F241" s="27"/>
      <c r="G241" s="27"/>
      <c r="H241" s="52" t="s">
        <v>31</v>
      </c>
      <c r="I241" s="58" t="s">
        <v>87</v>
      </c>
      <c r="J241" s="52" t="s">
        <v>509</v>
      </c>
      <c r="K241" s="28" t="s">
        <v>510</v>
      </c>
      <c r="L241" s="27"/>
      <c r="M241" s="29"/>
      <c r="N241" s="29"/>
      <c r="O241" s="27"/>
      <c r="P241" s="30"/>
      <c r="Q241" s="31"/>
      <c r="R241" s="31"/>
      <c r="S241" s="45"/>
      <c r="T241" s="45"/>
      <c r="U241" s="45"/>
      <c r="V241" s="45"/>
      <c r="W241" s="45"/>
      <c r="X241" s="45"/>
      <c r="Y241" s="45"/>
      <c r="Z241" s="46"/>
    </row>
    <row r="242" ht="42.0" customHeight="1">
      <c r="A242" s="54" t="s">
        <v>605</v>
      </c>
      <c r="B242" s="55" t="s">
        <v>603</v>
      </c>
      <c r="C242" s="56" t="s">
        <v>606</v>
      </c>
      <c r="D242" s="55" t="s">
        <v>504</v>
      </c>
      <c r="E242" s="56" t="s">
        <v>30</v>
      </c>
      <c r="F242" s="55" t="s">
        <v>505</v>
      </c>
      <c r="G242" s="56"/>
      <c r="H242" s="55" t="s">
        <v>24</v>
      </c>
      <c r="I242" s="56" t="s">
        <v>506</v>
      </c>
      <c r="J242" s="55" t="s">
        <v>513</v>
      </c>
      <c r="K242" s="35"/>
      <c r="L242" s="36"/>
      <c r="M242" s="37"/>
      <c r="N242" s="37"/>
      <c r="O242" s="38"/>
      <c r="P242" s="38"/>
      <c r="Q242" s="39"/>
      <c r="R242" s="39"/>
      <c r="S242" s="47"/>
      <c r="T242" s="47"/>
      <c r="U242" s="47"/>
      <c r="V242" s="47"/>
      <c r="W242" s="47"/>
      <c r="X242" s="47"/>
      <c r="Y242" s="47"/>
      <c r="Z242" s="48"/>
    </row>
    <row r="243" ht="27.75" customHeight="1">
      <c r="A243" s="17" t="str">
        <f>HYPERLINK("http://purl.obolibrary.org/obo/OBI_0001035","http://purl.obolibrary.org/obo/OBI_0001035")</f>
        <v>http://purl.obolibrary.org/obo/OBI_0001035</v>
      </c>
      <c r="B243" s="18" t="s">
        <v>607</v>
      </c>
      <c r="C243" s="19" t="s">
        <v>544</v>
      </c>
      <c r="D243" s="18" t="s">
        <v>157</v>
      </c>
      <c r="E243" s="20" t="s">
        <v>30</v>
      </c>
      <c r="F243" s="18" t="s">
        <v>505</v>
      </c>
      <c r="G243" s="20"/>
      <c r="H243" s="18" t="s">
        <v>24</v>
      </c>
      <c r="I243" s="20" t="s">
        <v>506</v>
      </c>
      <c r="J243" s="18" t="s">
        <v>447</v>
      </c>
      <c r="K243" s="18"/>
      <c r="L243" s="20"/>
      <c r="M243" s="21"/>
      <c r="N243" s="21"/>
      <c r="O243" s="22"/>
      <c r="P243" s="22"/>
      <c r="Q243" s="23"/>
      <c r="R243" s="23"/>
      <c r="S243" s="24"/>
      <c r="T243" s="24"/>
      <c r="U243" s="24"/>
      <c r="V243" s="24"/>
      <c r="W243" s="24"/>
      <c r="X243" s="24"/>
      <c r="Y243" s="24"/>
      <c r="Z243" s="25"/>
    </row>
    <row r="244" ht="84.0" customHeight="1">
      <c r="A244" s="26" t="str">
        <f>A243</f>
        <v>http://purl.obolibrary.org/obo/OBI_0001035</v>
      </c>
      <c r="B244" s="27"/>
      <c r="C244" s="42" t="s">
        <v>508</v>
      </c>
      <c r="D244" s="27"/>
      <c r="E244" s="27"/>
      <c r="F244" s="27"/>
      <c r="G244" s="27"/>
      <c r="H244" s="52" t="s">
        <v>31</v>
      </c>
      <c r="I244" s="58" t="s">
        <v>87</v>
      </c>
      <c r="J244" s="52" t="s">
        <v>450</v>
      </c>
      <c r="K244" s="28" t="s">
        <v>451</v>
      </c>
      <c r="L244" s="27"/>
      <c r="M244" s="29"/>
      <c r="N244" s="29"/>
      <c r="O244" s="27"/>
      <c r="P244" s="30"/>
      <c r="Q244" s="31"/>
      <c r="R244" s="31"/>
      <c r="S244" s="32"/>
      <c r="T244" s="32"/>
      <c r="U244" s="32"/>
      <c r="V244" s="32"/>
      <c r="W244" s="32"/>
      <c r="X244" s="32"/>
      <c r="Y244" s="32"/>
      <c r="Z244" s="33"/>
    </row>
    <row r="245" ht="27.75" customHeight="1">
      <c r="A245" s="54" t="s">
        <v>608</v>
      </c>
      <c r="B245" s="55" t="s">
        <v>607</v>
      </c>
      <c r="C245" s="56" t="s">
        <v>546</v>
      </c>
      <c r="D245" s="55" t="s">
        <v>157</v>
      </c>
      <c r="E245" s="56" t="s">
        <v>30</v>
      </c>
      <c r="F245" s="55" t="s">
        <v>505</v>
      </c>
      <c r="G245" s="56"/>
      <c r="H245" s="55" t="s">
        <v>24</v>
      </c>
      <c r="I245" s="56" t="s">
        <v>506</v>
      </c>
      <c r="J245" s="55" t="s">
        <v>454</v>
      </c>
      <c r="K245" s="35"/>
      <c r="L245" s="36"/>
      <c r="M245" s="37"/>
      <c r="N245" s="37"/>
      <c r="O245" s="38"/>
      <c r="P245" s="38"/>
      <c r="Q245" s="39"/>
      <c r="R245" s="39"/>
      <c r="S245" s="40"/>
      <c r="T245" s="40"/>
      <c r="U245" s="40"/>
      <c r="V245" s="40"/>
      <c r="W245" s="40"/>
      <c r="X245" s="40"/>
      <c r="Y245" s="40"/>
      <c r="Z245" s="41"/>
    </row>
    <row r="246" ht="69.75" customHeight="1">
      <c r="A246" s="17" t="str">
        <f>HYPERLINK("http://purl.obolibrary.org/obo/OBI_0001038","http://purl.obolibrary.org/obo/OBI_0001038")</f>
        <v>http://purl.obolibrary.org/obo/OBI_0001038</v>
      </c>
      <c r="B246" s="18" t="s">
        <v>609</v>
      </c>
      <c r="C246" s="19" t="s">
        <v>610</v>
      </c>
      <c r="D246" s="18" t="s">
        <v>504</v>
      </c>
      <c r="E246" s="20" t="s">
        <v>30</v>
      </c>
      <c r="F246" s="18" t="s">
        <v>445</v>
      </c>
      <c r="G246" s="20"/>
      <c r="H246" s="18" t="s">
        <v>24</v>
      </c>
      <c r="I246" s="20" t="s">
        <v>446</v>
      </c>
      <c r="J246" s="18" t="s">
        <v>507</v>
      </c>
      <c r="K246" s="18"/>
      <c r="L246" s="20"/>
      <c r="M246" s="21"/>
      <c r="N246" s="21"/>
      <c r="O246" s="22"/>
      <c r="P246" s="22"/>
      <c r="Q246" s="23"/>
      <c r="R246" s="23"/>
      <c r="S246" s="43"/>
      <c r="T246" s="43"/>
      <c r="U246" s="43"/>
      <c r="V246" s="43"/>
      <c r="W246" s="43"/>
      <c r="X246" s="43"/>
      <c r="Y246" s="43"/>
      <c r="Z246" s="44"/>
    </row>
    <row r="247" ht="13.5" customHeight="1">
      <c r="A247" s="26" t="str">
        <f>A246</f>
        <v>http://purl.obolibrary.org/obo/OBI_0001038</v>
      </c>
      <c r="B247" s="27"/>
      <c r="C247" s="42" t="s">
        <v>516</v>
      </c>
      <c r="D247" s="27"/>
      <c r="E247" s="27"/>
      <c r="F247" s="27"/>
      <c r="G247" s="27"/>
      <c r="H247" s="52" t="s">
        <v>31</v>
      </c>
      <c r="I247" s="58" t="s">
        <v>449</v>
      </c>
      <c r="J247" s="52" t="s">
        <v>509</v>
      </c>
      <c r="K247" s="28" t="s">
        <v>510</v>
      </c>
      <c r="L247" s="27"/>
      <c r="M247" s="29"/>
      <c r="N247" s="29"/>
      <c r="O247" s="27"/>
      <c r="P247" s="30"/>
      <c r="Q247" s="31"/>
      <c r="R247" s="31"/>
      <c r="S247" s="45"/>
      <c r="T247" s="45"/>
      <c r="U247" s="45"/>
      <c r="V247" s="45"/>
      <c r="W247" s="45"/>
      <c r="X247" s="45"/>
      <c r="Y247" s="45"/>
      <c r="Z247" s="46"/>
    </row>
    <row r="248" ht="69.75" customHeight="1">
      <c r="A248" s="54" t="s">
        <v>611</v>
      </c>
      <c r="B248" s="55" t="s">
        <v>609</v>
      </c>
      <c r="C248" s="56" t="s">
        <v>612</v>
      </c>
      <c r="D248" s="55" t="s">
        <v>504</v>
      </c>
      <c r="E248" s="56" t="s">
        <v>30</v>
      </c>
      <c r="F248" s="55" t="s">
        <v>445</v>
      </c>
      <c r="G248" s="56"/>
      <c r="H248" s="55" t="s">
        <v>24</v>
      </c>
      <c r="I248" s="56" t="s">
        <v>446</v>
      </c>
      <c r="J248" s="55" t="s">
        <v>513</v>
      </c>
      <c r="K248" s="35"/>
      <c r="L248" s="36"/>
      <c r="M248" s="37"/>
      <c r="N248" s="37"/>
      <c r="O248" s="38"/>
      <c r="P248" s="38"/>
      <c r="Q248" s="39"/>
      <c r="R248" s="39"/>
      <c r="S248" s="47"/>
      <c r="T248" s="47"/>
      <c r="U248" s="47"/>
      <c r="V248" s="47"/>
      <c r="W248" s="47"/>
      <c r="X248" s="47"/>
      <c r="Y248" s="47"/>
      <c r="Z248" s="48"/>
    </row>
    <row r="249" ht="27.75" customHeight="1">
      <c r="A249" s="17" t="str">
        <f>HYPERLINK("http://purl.obolibrary.org/obo/OBI_0001039","http://purl.obolibrary.org/obo/OBI_0001039")</f>
        <v>http://purl.obolibrary.org/obo/OBI_0001039</v>
      </c>
      <c r="B249" s="18" t="s">
        <v>613</v>
      </c>
      <c r="C249" s="19" t="s">
        <v>614</v>
      </c>
      <c r="D249" s="18" t="s">
        <v>157</v>
      </c>
      <c r="E249" s="20" t="s">
        <v>30</v>
      </c>
      <c r="F249" s="18" t="s">
        <v>445</v>
      </c>
      <c r="G249" s="20"/>
      <c r="H249" s="18" t="s">
        <v>24</v>
      </c>
      <c r="I249" s="20" t="s">
        <v>506</v>
      </c>
      <c r="J249" s="18" t="s">
        <v>507</v>
      </c>
      <c r="K249" s="18"/>
      <c r="L249" s="20"/>
      <c r="M249" s="21"/>
      <c r="N249" s="21"/>
      <c r="O249" s="22"/>
      <c r="P249" s="22"/>
      <c r="Q249" s="23"/>
      <c r="R249" s="23"/>
      <c r="S249" s="24"/>
      <c r="T249" s="24"/>
      <c r="U249" s="24"/>
      <c r="V249" s="24"/>
      <c r="W249" s="24"/>
      <c r="X249" s="24"/>
      <c r="Y249" s="24"/>
      <c r="Z249" s="25"/>
    </row>
    <row r="250" ht="42.0" customHeight="1">
      <c r="A250" s="26" t="str">
        <f>A249</f>
        <v>http://purl.obolibrary.org/obo/OBI_0001039</v>
      </c>
      <c r="B250" s="27"/>
      <c r="C250" s="42" t="s">
        <v>516</v>
      </c>
      <c r="D250" s="27"/>
      <c r="E250" s="27"/>
      <c r="F250" s="27"/>
      <c r="G250" s="27"/>
      <c r="H250" s="52" t="s">
        <v>31</v>
      </c>
      <c r="I250" s="58" t="s">
        <v>87</v>
      </c>
      <c r="J250" s="52" t="s">
        <v>509</v>
      </c>
      <c r="K250" s="28" t="s">
        <v>510</v>
      </c>
      <c r="L250" s="27"/>
      <c r="M250" s="29"/>
      <c r="N250" s="29"/>
      <c r="O250" s="27"/>
      <c r="P250" s="30"/>
      <c r="Q250" s="31"/>
      <c r="R250" s="31"/>
      <c r="S250" s="32"/>
      <c r="T250" s="32"/>
      <c r="U250" s="32"/>
      <c r="V250" s="32"/>
      <c r="W250" s="32"/>
      <c r="X250" s="32"/>
      <c r="Y250" s="32"/>
      <c r="Z250" s="33"/>
    </row>
    <row r="251" ht="69.75" customHeight="1">
      <c r="A251" s="54" t="s">
        <v>615</v>
      </c>
      <c r="B251" s="55" t="s">
        <v>613</v>
      </c>
      <c r="C251" s="56" t="s">
        <v>616</v>
      </c>
      <c r="D251" s="55" t="s">
        <v>157</v>
      </c>
      <c r="E251" s="56" t="s">
        <v>30</v>
      </c>
      <c r="F251" s="55" t="s">
        <v>445</v>
      </c>
      <c r="G251" s="56"/>
      <c r="H251" s="55" t="s">
        <v>24</v>
      </c>
      <c r="I251" s="56" t="s">
        <v>506</v>
      </c>
      <c r="J251" s="55" t="s">
        <v>513</v>
      </c>
      <c r="K251" s="35"/>
      <c r="L251" s="36"/>
      <c r="M251" s="37"/>
      <c r="N251" s="37"/>
      <c r="O251" s="38"/>
      <c r="P251" s="38"/>
      <c r="Q251" s="39"/>
      <c r="R251" s="39"/>
      <c r="S251" s="47"/>
      <c r="T251" s="47"/>
      <c r="U251" s="47"/>
      <c r="V251" s="47"/>
      <c r="W251" s="47"/>
      <c r="X251" s="47"/>
      <c r="Y251" s="47"/>
      <c r="Z251" s="48"/>
    </row>
    <row r="252" ht="42.0" customHeight="1">
      <c r="A252" s="17" t="str">
        <f>HYPERLINK("http://purl.obolibrary.org/obo/OBI_0001146","http://purl.obolibrary.org/obo/OBI_0001146")</f>
        <v>http://purl.obolibrary.org/obo/OBI_0001146</v>
      </c>
      <c r="B252" s="18" t="s">
        <v>46</v>
      </c>
      <c r="C252" s="20" t="s">
        <v>617</v>
      </c>
      <c r="D252" s="18" t="s">
        <v>618</v>
      </c>
      <c r="E252" s="20" t="s">
        <v>30</v>
      </c>
      <c r="F252" s="18" t="s">
        <v>19</v>
      </c>
      <c r="G252" s="20" t="s">
        <v>619</v>
      </c>
      <c r="H252" s="18"/>
      <c r="I252" s="20"/>
      <c r="J252" s="18" t="s">
        <v>619</v>
      </c>
      <c r="K252" s="18"/>
      <c r="L252" s="20"/>
      <c r="M252" s="21"/>
      <c r="N252" s="21"/>
      <c r="O252" s="22"/>
      <c r="P252" s="22"/>
      <c r="Q252" s="23"/>
      <c r="R252" s="23"/>
      <c r="S252" s="43"/>
      <c r="T252" s="43"/>
      <c r="U252" s="43"/>
      <c r="V252" s="43"/>
      <c r="W252" s="43"/>
      <c r="X252" s="43"/>
      <c r="Y252" s="43"/>
      <c r="Z252" s="44"/>
    </row>
    <row r="253" ht="42.0" customHeight="1">
      <c r="A253" s="26" t="str">
        <f>A252</f>
        <v>http://purl.obolibrary.org/obo/OBI_0001146</v>
      </c>
      <c r="B253" s="27"/>
      <c r="C253" s="27"/>
      <c r="D253" s="27"/>
      <c r="E253" s="27"/>
      <c r="F253" s="27"/>
      <c r="G253" s="27"/>
      <c r="H253" s="28"/>
      <c r="I253" s="27"/>
      <c r="J253" s="28" t="s">
        <v>620</v>
      </c>
      <c r="K253" s="28"/>
      <c r="L253" s="27"/>
      <c r="M253" s="29"/>
      <c r="N253" s="29"/>
      <c r="O253" s="27"/>
      <c r="P253" s="30"/>
      <c r="Q253" s="31"/>
      <c r="R253" s="31"/>
      <c r="S253" s="32"/>
      <c r="T253" s="32"/>
      <c r="U253" s="32"/>
      <c r="V253" s="32"/>
      <c r="W253" s="32"/>
      <c r="X253" s="32"/>
      <c r="Y253" s="32"/>
      <c r="Z253" s="33"/>
    </row>
    <row r="254" ht="13.5" customHeight="1">
      <c r="A254" s="34" t="s">
        <v>621</v>
      </c>
      <c r="B254" s="35" t="s">
        <v>46</v>
      </c>
      <c r="C254" s="36" t="s">
        <v>617</v>
      </c>
      <c r="D254" s="35" t="s">
        <v>618</v>
      </c>
      <c r="E254" s="36" t="s">
        <v>30</v>
      </c>
      <c r="F254" s="35" t="s">
        <v>19</v>
      </c>
      <c r="G254" s="36" t="s">
        <v>622</v>
      </c>
      <c r="H254" s="36"/>
      <c r="I254" s="36"/>
      <c r="J254" s="35" t="s">
        <v>623</v>
      </c>
      <c r="K254" s="35"/>
      <c r="L254" s="36"/>
      <c r="M254" s="37"/>
      <c r="N254" s="37"/>
      <c r="O254" s="38"/>
      <c r="P254" s="38"/>
      <c r="Q254" s="39"/>
      <c r="R254" s="39"/>
      <c r="S254" s="47"/>
      <c r="T254" s="47"/>
      <c r="U254" s="47"/>
      <c r="V254" s="47"/>
      <c r="W254" s="47"/>
      <c r="X254" s="47"/>
      <c r="Y254" s="47"/>
      <c r="Z254" s="48"/>
    </row>
    <row r="255" ht="111.75" customHeight="1">
      <c r="A255" s="17" t="str">
        <f>HYPERLINK("http://purl.obolibrary.org/obo/OBI_0001158","http://purl.obolibrary.org/obo/OBI_0001158")</f>
        <v>http://purl.obolibrary.org/obo/OBI_0001158</v>
      </c>
      <c r="B255" s="18" t="s">
        <v>624</v>
      </c>
      <c r="C255" s="19" t="s">
        <v>625</v>
      </c>
      <c r="D255" s="18" t="s">
        <v>626</v>
      </c>
      <c r="E255" s="20" t="s">
        <v>30</v>
      </c>
      <c r="F255" s="18" t="s">
        <v>19</v>
      </c>
      <c r="G255" s="20"/>
      <c r="H255" s="18"/>
      <c r="I255" s="20"/>
      <c r="J255" s="18" t="s">
        <v>627</v>
      </c>
      <c r="K255" s="18"/>
      <c r="L255" s="20"/>
      <c r="M255" s="21"/>
      <c r="N255" s="21"/>
      <c r="O255" s="22"/>
      <c r="P255" s="22"/>
      <c r="Q255" s="23"/>
      <c r="R255" s="23"/>
      <c r="S255" s="43"/>
      <c r="T255" s="43"/>
      <c r="U255" s="43"/>
      <c r="V255" s="43"/>
      <c r="W255" s="43"/>
      <c r="X255" s="43"/>
      <c r="Y255" s="43"/>
      <c r="Z255" s="44"/>
    </row>
    <row r="256" ht="13.5" customHeight="1">
      <c r="A256" s="26" t="str">
        <f>A255</f>
        <v>http://purl.obolibrary.org/obo/OBI_0001158</v>
      </c>
      <c r="B256" s="27"/>
      <c r="C256" s="27"/>
      <c r="D256" s="27"/>
      <c r="E256" s="27"/>
      <c r="F256" s="27"/>
      <c r="G256" s="27"/>
      <c r="H256" s="28"/>
      <c r="I256" s="27"/>
      <c r="J256" s="28" t="s">
        <v>628</v>
      </c>
      <c r="K256" s="28"/>
      <c r="L256" s="27"/>
      <c r="M256" s="29"/>
      <c r="N256" s="29"/>
      <c r="O256" s="27"/>
      <c r="P256" s="30"/>
      <c r="Q256" s="31"/>
      <c r="R256" s="31"/>
      <c r="S256" s="32"/>
      <c r="T256" s="32"/>
      <c r="U256" s="32"/>
      <c r="V256" s="32"/>
      <c r="W256" s="32"/>
      <c r="X256" s="32"/>
      <c r="Y256" s="32"/>
      <c r="Z256" s="33"/>
    </row>
    <row r="257" ht="27.75" customHeight="1">
      <c r="A257" s="34" t="s">
        <v>629</v>
      </c>
      <c r="B257" s="35" t="s">
        <v>624</v>
      </c>
      <c r="C257" s="36" t="s">
        <v>630</v>
      </c>
      <c r="D257" s="35" t="s">
        <v>626</v>
      </c>
      <c r="E257" s="36" t="s">
        <v>30</v>
      </c>
      <c r="F257" s="35" t="s">
        <v>19</v>
      </c>
      <c r="G257" s="36"/>
      <c r="H257" s="36"/>
      <c r="I257" s="36"/>
      <c r="J257" s="35" t="s">
        <v>627</v>
      </c>
      <c r="K257" s="35"/>
      <c r="L257" s="36"/>
      <c r="M257" s="37"/>
      <c r="N257" s="37"/>
      <c r="O257" s="38"/>
      <c r="P257" s="38"/>
      <c r="Q257" s="39"/>
      <c r="R257" s="39"/>
      <c r="S257" s="47"/>
      <c r="T257" s="47"/>
      <c r="U257" s="47"/>
      <c r="V257" s="47"/>
      <c r="W257" s="47"/>
      <c r="X257" s="47"/>
      <c r="Y257" s="47"/>
      <c r="Z257" s="48"/>
    </row>
    <row r="258" ht="13.5" customHeight="1">
      <c r="A258" s="17" t="str">
        <f>HYPERLINK("http://purl.obolibrary.org/obo/OBI_0001170","http://purl.obolibrary.org/obo/OBI_0001170")</f>
        <v>http://purl.obolibrary.org/obo/OBI_0001170</v>
      </c>
      <c r="B258" s="18" t="s">
        <v>631</v>
      </c>
      <c r="C258" s="19" t="s">
        <v>632</v>
      </c>
      <c r="D258" s="18" t="s">
        <v>633</v>
      </c>
      <c r="E258" s="20" t="s">
        <v>30</v>
      </c>
      <c r="F258" s="18" t="s">
        <v>19</v>
      </c>
      <c r="G258" s="20"/>
      <c r="H258" s="18"/>
      <c r="I258" s="20" t="s">
        <v>634</v>
      </c>
      <c r="J258" s="18" t="s">
        <v>459</v>
      </c>
      <c r="K258" s="18"/>
      <c r="L258" s="20"/>
      <c r="M258" s="21" t="s">
        <v>635</v>
      </c>
      <c r="N258" s="21"/>
      <c r="O258" s="22" t="s">
        <v>634</v>
      </c>
      <c r="P258" s="22"/>
      <c r="Q258" s="23"/>
      <c r="R258" s="23"/>
      <c r="S258" s="24"/>
      <c r="T258" s="24"/>
      <c r="U258" s="24"/>
      <c r="V258" s="24"/>
      <c r="W258" s="24"/>
      <c r="X258" s="24"/>
      <c r="Y258" s="24"/>
      <c r="Z258" s="25"/>
    </row>
    <row r="259" ht="13.5" customHeight="1">
      <c r="A259" s="26"/>
      <c r="B259" s="28"/>
      <c r="C259" s="27"/>
      <c r="D259" s="28"/>
      <c r="E259" s="27"/>
      <c r="F259" s="28"/>
      <c r="G259" s="27"/>
      <c r="H259" s="28"/>
      <c r="I259" s="42" t="s">
        <v>636</v>
      </c>
      <c r="J259" s="62" t="s">
        <v>637</v>
      </c>
      <c r="K259" s="62" t="s">
        <v>86</v>
      </c>
      <c r="L259" s="27"/>
      <c r="M259" s="63" t="s">
        <v>638</v>
      </c>
      <c r="N259" s="29"/>
      <c r="O259" s="30"/>
      <c r="P259" s="30"/>
      <c r="Q259" s="31"/>
      <c r="R259" s="31"/>
      <c r="S259" s="45"/>
      <c r="T259" s="45"/>
      <c r="U259" s="45"/>
      <c r="V259" s="45"/>
      <c r="W259" s="45"/>
      <c r="X259" s="45"/>
      <c r="Y259" s="45"/>
      <c r="Z259" s="46"/>
    </row>
    <row r="260" ht="84.0" customHeight="1">
      <c r="A260" s="34" t="s">
        <v>639</v>
      </c>
      <c r="B260" s="35" t="s">
        <v>631</v>
      </c>
      <c r="C260" s="36" t="s">
        <v>640</v>
      </c>
      <c r="D260" s="35" t="s">
        <v>633</v>
      </c>
      <c r="E260" s="36" t="s">
        <v>30</v>
      </c>
      <c r="F260" s="35" t="s">
        <v>19</v>
      </c>
      <c r="G260" s="36"/>
      <c r="H260" s="36"/>
      <c r="I260" s="36" t="s">
        <v>634</v>
      </c>
      <c r="J260" s="35" t="s">
        <v>459</v>
      </c>
      <c r="K260" s="35"/>
      <c r="L260" s="36"/>
      <c r="M260" s="37" t="s">
        <v>641</v>
      </c>
      <c r="N260" s="37"/>
      <c r="O260" s="38" t="s">
        <v>634</v>
      </c>
      <c r="P260" s="38"/>
      <c r="Q260" s="39"/>
      <c r="R260" s="39"/>
      <c r="S260" s="47"/>
      <c r="T260" s="47"/>
      <c r="U260" s="47"/>
      <c r="V260" s="47"/>
      <c r="W260" s="47"/>
      <c r="X260" s="47"/>
      <c r="Y260" s="47"/>
      <c r="Z260" s="48"/>
    </row>
    <row r="261" ht="27.75" customHeight="1">
      <c r="A261" s="17" t="str">
        <f>HYPERLINK("http://purl.obolibrary.org/obo/OBI_0001177","http://purl.obolibrary.org/obo/OBI_0001177")</f>
        <v>http://purl.obolibrary.org/obo/OBI_0001177</v>
      </c>
      <c r="B261" s="18" t="s">
        <v>642</v>
      </c>
      <c r="C261" s="19" t="s">
        <v>643</v>
      </c>
      <c r="D261" s="18" t="s">
        <v>644</v>
      </c>
      <c r="E261" s="20" t="s">
        <v>30</v>
      </c>
      <c r="F261" s="18" t="s">
        <v>186</v>
      </c>
      <c r="G261" s="20" t="s">
        <v>645</v>
      </c>
      <c r="H261" s="18"/>
      <c r="I261" s="20" t="s">
        <v>645</v>
      </c>
      <c r="J261" s="18" t="s">
        <v>645</v>
      </c>
      <c r="K261" s="18"/>
      <c r="L261" s="20"/>
      <c r="M261" s="21"/>
      <c r="N261" s="21"/>
      <c r="O261" s="22" t="s">
        <v>645</v>
      </c>
      <c r="P261" s="22"/>
      <c r="Q261" s="23"/>
      <c r="R261" s="23"/>
      <c r="S261" s="24"/>
      <c r="T261" s="24"/>
      <c r="U261" s="24"/>
      <c r="V261" s="24"/>
      <c r="W261" s="24"/>
      <c r="X261" s="24"/>
      <c r="Y261" s="24"/>
      <c r="Z261" s="25"/>
    </row>
    <row r="262" ht="69.75" customHeight="1">
      <c r="A262" s="26" t="str">
        <f>A261</f>
        <v>http://purl.obolibrary.org/obo/OBI_0001177</v>
      </c>
      <c r="B262" s="27"/>
      <c r="C262" s="27"/>
      <c r="D262" s="27"/>
      <c r="E262" s="27"/>
      <c r="F262" s="27"/>
      <c r="G262" s="27"/>
      <c r="H262" s="28"/>
      <c r="I262" s="53" t="s">
        <v>636</v>
      </c>
      <c r="J262" s="52" t="s">
        <v>646</v>
      </c>
      <c r="K262" s="28"/>
      <c r="L262" s="27"/>
      <c r="M262" s="29"/>
      <c r="N262" s="29"/>
      <c r="O262" s="27"/>
      <c r="P262" s="30"/>
      <c r="Q262" s="31"/>
      <c r="R262" s="31"/>
      <c r="S262" s="32"/>
      <c r="T262" s="32"/>
      <c r="U262" s="32"/>
      <c r="V262" s="32"/>
      <c r="W262" s="32"/>
      <c r="X262" s="32"/>
      <c r="Y262" s="32"/>
      <c r="Z262" s="33"/>
    </row>
    <row r="263" ht="13.5" customHeight="1">
      <c r="A263" s="54" t="s">
        <v>647</v>
      </c>
      <c r="B263" s="55" t="s">
        <v>642</v>
      </c>
      <c r="C263" s="56" t="s">
        <v>648</v>
      </c>
      <c r="D263" s="55" t="s">
        <v>644</v>
      </c>
      <c r="E263" s="56" t="s">
        <v>30</v>
      </c>
      <c r="F263" s="55" t="s">
        <v>186</v>
      </c>
      <c r="G263" s="56" t="s">
        <v>645</v>
      </c>
      <c r="H263" s="56"/>
      <c r="I263" s="56" t="s">
        <v>645</v>
      </c>
      <c r="J263" s="55" t="s">
        <v>645</v>
      </c>
      <c r="K263" s="35"/>
      <c r="L263" s="36"/>
      <c r="M263" s="37"/>
      <c r="N263" s="37"/>
      <c r="O263" s="38" t="s">
        <v>645</v>
      </c>
      <c r="P263" s="38"/>
      <c r="Q263" s="39"/>
      <c r="R263" s="39"/>
      <c r="S263" s="47"/>
      <c r="T263" s="47"/>
      <c r="U263" s="47"/>
      <c r="V263" s="47"/>
      <c r="W263" s="47"/>
      <c r="X263" s="47"/>
      <c r="Y263" s="47"/>
      <c r="Z263" s="48"/>
    </row>
    <row r="264" ht="84.0" customHeight="1">
      <c r="A264" s="17" t="str">
        <f>HYPERLINK("http://purl.obolibrary.org/obo/OBI_0001187","http://purl.obolibrary.org/obo/OBI_0001187")</f>
        <v>http://purl.obolibrary.org/obo/OBI_0001187</v>
      </c>
      <c r="B264" s="18" t="s">
        <v>649</v>
      </c>
      <c r="C264" s="19" t="s">
        <v>650</v>
      </c>
      <c r="D264" s="18" t="s">
        <v>651</v>
      </c>
      <c r="E264" s="20" t="s">
        <v>30</v>
      </c>
      <c r="F264" s="18" t="s">
        <v>19</v>
      </c>
      <c r="G264" s="20"/>
      <c r="H264" s="18"/>
      <c r="I264" s="20"/>
      <c r="J264" s="18"/>
      <c r="K264" s="18"/>
      <c r="L264" s="20"/>
      <c r="M264" s="21"/>
      <c r="N264" s="21"/>
      <c r="O264" s="22"/>
      <c r="P264" s="22"/>
      <c r="Q264" s="23"/>
      <c r="R264" s="23"/>
      <c r="S264" s="43"/>
      <c r="T264" s="43"/>
      <c r="U264" s="43"/>
      <c r="V264" s="43"/>
      <c r="W264" s="43"/>
      <c r="X264" s="43"/>
      <c r="Y264" s="43"/>
      <c r="Z264" s="44"/>
    </row>
    <row r="265" ht="27.75" customHeight="1">
      <c r="A265" s="26" t="str">
        <f>A264</f>
        <v>http://purl.obolibrary.org/obo/OBI_0001187</v>
      </c>
      <c r="B265" s="27"/>
      <c r="C265" s="27"/>
      <c r="D265" s="27"/>
      <c r="E265" s="27"/>
      <c r="F265" s="27"/>
      <c r="G265" s="27"/>
      <c r="H265" s="28"/>
      <c r="I265" s="27"/>
      <c r="J265" s="28"/>
      <c r="K265" s="28"/>
      <c r="L265" s="27"/>
      <c r="M265" s="29"/>
      <c r="N265" s="29"/>
      <c r="O265" s="27"/>
      <c r="P265" s="30"/>
      <c r="Q265" s="31"/>
      <c r="R265" s="31"/>
      <c r="S265" s="45"/>
      <c r="T265" s="45"/>
      <c r="U265" s="45"/>
      <c r="V265" s="45"/>
      <c r="W265" s="45"/>
      <c r="X265" s="45"/>
      <c r="Y265" s="45"/>
      <c r="Z265" s="46"/>
    </row>
    <row r="266" ht="55.5" customHeight="1">
      <c r="A266" s="34" t="s">
        <v>652</v>
      </c>
      <c r="B266" s="35" t="s">
        <v>649</v>
      </c>
      <c r="C266" s="36" t="s">
        <v>653</v>
      </c>
      <c r="D266" s="35" t="s">
        <v>651</v>
      </c>
      <c r="E266" s="36" t="s">
        <v>30</v>
      </c>
      <c r="F266" s="35" t="s">
        <v>19</v>
      </c>
      <c r="G266" s="36"/>
      <c r="H266" s="36"/>
      <c r="I266" s="36"/>
      <c r="J266" s="35"/>
      <c r="K266" s="35"/>
      <c r="L266" s="36"/>
      <c r="M266" s="37"/>
      <c r="N266" s="37"/>
      <c r="O266" s="38"/>
      <c r="P266" s="38"/>
      <c r="Q266" s="39"/>
      <c r="R266" s="39"/>
      <c r="S266" s="47"/>
      <c r="T266" s="47"/>
      <c r="U266" s="47"/>
      <c r="V266" s="47"/>
      <c r="W266" s="47"/>
      <c r="X266" s="47"/>
      <c r="Y266" s="47"/>
      <c r="Z266" s="48"/>
    </row>
    <row r="267" ht="13.5" customHeight="1">
      <c r="A267" s="17" t="str">
        <f>HYPERLINK("http://purl.obolibrary.org/obo/OBI_0001221","http://purl.obolibrary.org/obo/OBI_0001221")</f>
        <v>http://purl.obolibrary.org/obo/OBI_0001221</v>
      </c>
      <c r="B267" s="18" t="s">
        <v>654</v>
      </c>
      <c r="C267" s="19" t="s">
        <v>655</v>
      </c>
      <c r="D267" s="18" t="s">
        <v>656</v>
      </c>
      <c r="E267" s="20" t="s">
        <v>30</v>
      </c>
      <c r="F267" s="18" t="s">
        <v>657</v>
      </c>
      <c r="G267" s="20"/>
      <c r="H267" s="18"/>
      <c r="I267" s="20"/>
      <c r="J267" s="18"/>
      <c r="K267" s="18"/>
      <c r="L267" s="20"/>
      <c r="M267" s="21"/>
      <c r="N267" s="21"/>
      <c r="O267" s="22"/>
      <c r="P267" s="22"/>
      <c r="Q267" s="23"/>
      <c r="R267" s="23"/>
      <c r="S267" s="43"/>
      <c r="T267" s="43"/>
      <c r="U267" s="43"/>
      <c r="V267" s="43"/>
      <c r="W267" s="43"/>
      <c r="X267" s="43"/>
      <c r="Y267" s="43"/>
      <c r="Z267" s="44"/>
    </row>
    <row r="268" ht="84.0" customHeight="1">
      <c r="A268" s="26" t="str">
        <f>A267</f>
        <v>http://purl.obolibrary.org/obo/OBI_0001221</v>
      </c>
      <c r="B268" s="27"/>
      <c r="C268" s="27"/>
      <c r="D268" s="27"/>
      <c r="E268" s="27"/>
      <c r="F268" s="27"/>
      <c r="G268" s="27"/>
      <c r="H268" s="28"/>
      <c r="I268" s="27"/>
      <c r="J268" s="28"/>
      <c r="K268" s="28"/>
      <c r="L268" s="49" t="s">
        <v>658</v>
      </c>
      <c r="M268" s="29"/>
      <c r="N268" s="29"/>
      <c r="O268" s="27"/>
      <c r="P268" s="30"/>
      <c r="Q268" s="31"/>
      <c r="R268" s="31"/>
      <c r="S268" s="32"/>
      <c r="T268" s="32"/>
      <c r="U268" s="32"/>
      <c r="V268" s="32"/>
      <c r="W268" s="32"/>
      <c r="X268" s="32"/>
      <c r="Y268" s="32"/>
      <c r="Z268" s="33"/>
    </row>
    <row r="269" ht="27.75" customHeight="1">
      <c r="A269" s="34" t="s">
        <v>659</v>
      </c>
      <c r="B269" s="35" t="s">
        <v>654</v>
      </c>
      <c r="C269" s="36" t="s">
        <v>660</v>
      </c>
      <c r="D269" s="35" t="s">
        <v>656</v>
      </c>
      <c r="E269" s="36" t="s">
        <v>30</v>
      </c>
      <c r="F269" s="35" t="s">
        <v>657</v>
      </c>
      <c r="G269" s="36"/>
      <c r="H269" s="36"/>
      <c r="I269" s="36"/>
      <c r="J269" s="35"/>
      <c r="K269" s="35"/>
      <c r="L269" s="36" t="s">
        <v>661</v>
      </c>
      <c r="M269" s="37"/>
      <c r="N269" s="37"/>
      <c r="O269" s="38"/>
      <c r="P269" s="38"/>
      <c r="Q269" s="39"/>
      <c r="R269" s="39"/>
      <c r="S269" s="40"/>
      <c r="T269" s="40"/>
      <c r="U269" s="40"/>
      <c r="V269" s="40"/>
      <c r="W269" s="40"/>
      <c r="X269" s="40"/>
      <c r="Y269" s="40"/>
      <c r="Z269" s="41"/>
    </row>
    <row r="270" ht="69.75" customHeight="1">
      <c r="A270" s="17" t="str">
        <f>HYPERLINK("http://purl.obolibrary.org/obo/OBI_0001235","http://purl.obolibrary.org/obo/OBI_0001235")</f>
        <v>http://purl.obolibrary.org/obo/OBI_0001235</v>
      </c>
      <c r="B270" s="18" t="s">
        <v>662</v>
      </c>
      <c r="C270" s="19" t="s">
        <v>663</v>
      </c>
      <c r="D270" s="18" t="s">
        <v>664</v>
      </c>
      <c r="E270" s="20" t="s">
        <v>30</v>
      </c>
      <c r="F270" s="18" t="s">
        <v>76</v>
      </c>
      <c r="G270" s="20"/>
      <c r="H270" s="18" t="s">
        <v>665</v>
      </c>
      <c r="I270" s="20" t="s">
        <v>79</v>
      </c>
      <c r="J270" s="18" t="s">
        <v>80</v>
      </c>
      <c r="K270" s="18"/>
      <c r="L270" s="20"/>
      <c r="M270" s="21" t="s">
        <v>79</v>
      </c>
      <c r="N270" s="21"/>
      <c r="O270" s="22"/>
      <c r="P270" s="22"/>
      <c r="Q270" s="23" t="s">
        <v>81</v>
      </c>
      <c r="R270" s="23"/>
      <c r="S270" s="43"/>
      <c r="T270" s="43"/>
      <c r="U270" s="43"/>
      <c r="V270" s="43"/>
      <c r="W270" s="43"/>
      <c r="X270" s="43"/>
      <c r="Y270" s="43"/>
      <c r="Z270" s="44"/>
    </row>
    <row r="271" ht="13.5" customHeight="1">
      <c r="A271" s="26" t="str">
        <f>A270</f>
        <v>http://purl.obolibrary.org/obo/OBI_0001235</v>
      </c>
      <c r="B271" s="27"/>
      <c r="C271" s="27"/>
      <c r="D271" s="27"/>
      <c r="E271" s="27"/>
      <c r="F271" s="27"/>
      <c r="G271" s="27"/>
      <c r="H271" s="52" t="s">
        <v>83</v>
      </c>
      <c r="I271" s="58" t="s">
        <v>666</v>
      </c>
      <c r="J271" s="52" t="s">
        <v>667</v>
      </c>
      <c r="K271" s="28" t="s">
        <v>86</v>
      </c>
      <c r="L271" s="49" t="s">
        <v>668</v>
      </c>
      <c r="M271" s="29"/>
      <c r="N271" s="29"/>
      <c r="O271" s="27"/>
      <c r="P271" s="30"/>
      <c r="Q271" s="31"/>
      <c r="R271" s="31" t="s">
        <v>87</v>
      </c>
      <c r="S271" s="32"/>
      <c r="T271" s="32"/>
      <c r="U271" s="32"/>
      <c r="V271" s="32"/>
      <c r="W271" s="32"/>
      <c r="X271" s="32"/>
      <c r="Y271" s="32"/>
      <c r="Z271" s="33"/>
    </row>
    <row r="272" ht="27.75" customHeight="1">
      <c r="A272" s="54" t="s">
        <v>669</v>
      </c>
      <c r="B272" s="55" t="s">
        <v>662</v>
      </c>
      <c r="C272" s="56" t="s">
        <v>670</v>
      </c>
      <c r="D272" s="55" t="s">
        <v>664</v>
      </c>
      <c r="E272" s="56" t="s">
        <v>30</v>
      </c>
      <c r="F272" s="55" t="s">
        <v>76</v>
      </c>
      <c r="G272" s="56"/>
      <c r="H272" s="55" t="s">
        <v>665</v>
      </c>
      <c r="I272" s="56" t="s">
        <v>79</v>
      </c>
      <c r="J272" s="55" t="s">
        <v>90</v>
      </c>
      <c r="K272" s="35"/>
      <c r="L272" s="36" t="s">
        <v>671</v>
      </c>
      <c r="M272" s="37" t="s">
        <v>79</v>
      </c>
      <c r="N272" s="37"/>
      <c r="O272" s="38"/>
      <c r="P272" s="38"/>
      <c r="Q272" s="39"/>
      <c r="R272" s="39" t="s">
        <v>91</v>
      </c>
      <c r="S272" s="47"/>
      <c r="T272" s="47"/>
      <c r="U272" s="47"/>
      <c r="V272" s="47"/>
      <c r="W272" s="47"/>
      <c r="X272" s="47"/>
      <c r="Y272" s="47"/>
      <c r="Z272" s="48"/>
    </row>
    <row r="273" ht="13.5" customHeight="1">
      <c r="A273" s="17" t="str">
        <f>HYPERLINK("http://purl.obolibrary.org/obo/OBI_0001247","http://purl.obolibrary.org/obo/OBI_0001247")</f>
        <v>http://purl.obolibrary.org/obo/OBI_0001247</v>
      </c>
      <c r="B273" s="18" t="s">
        <v>672</v>
      </c>
      <c r="C273" s="19" t="s">
        <v>673</v>
      </c>
      <c r="D273" s="18" t="s">
        <v>664</v>
      </c>
      <c r="E273" s="20" t="s">
        <v>30</v>
      </c>
      <c r="F273" s="18" t="s">
        <v>100</v>
      </c>
      <c r="G273" s="20"/>
      <c r="H273" s="18"/>
      <c r="I273" s="20"/>
      <c r="J273" s="18"/>
      <c r="K273" s="18"/>
      <c r="L273" s="20"/>
      <c r="M273" s="21"/>
      <c r="N273" s="21"/>
      <c r="O273" s="22"/>
      <c r="P273" s="22"/>
      <c r="Q273" s="23"/>
      <c r="R273" s="23"/>
      <c r="S273" s="43"/>
      <c r="T273" s="43"/>
      <c r="U273" s="43"/>
      <c r="V273" s="43"/>
      <c r="W273" s="43"/>
      <c r="X273" s="43"/>
      <c r="Y273" s="43"/>
      <c r="Z273" s="44"/>
    </row>
    <row r="274" ht="69.75" customHeight="1">
      <c r="A274" s="26" t="str">
        <f>A273</f>
        <v>http://purl.obolibrary.org/obo/OBI_0001247</v>
      </c>
      <c r="B274" s="27"/>
      <c r="C274" s="27"/>
      <c r="D274" s="27"/>
      <c r="E274" s="27"/>
      <c r="F274" s="27"/>
      <c r="G274" s="27"/>
      <c r="H274" s="28"/>
      <c r="I274" s="27"/>
      <c r="J274" s="28"/>
      <c r="K274" s="28"/>
      <c r="L274" s="49" t="s">
        <v>191</v>
      </c>
      <c r="M274" s="29"/>
      <c r="N274" s="29"/>
      <c r="O274" s="27"/>
      <c r="P274" s="30"/>
      <c r="Q274" s="31"/>
      <c r="R274" s="31"/>
      <c r="S274" s="32"/>
      <c r="T274" s="32"/>
      <c r="U274" s="32"/>
      <c r="V274" s="32"/>
      <c r="W274" s="32"/>
      <c r="X274" s="32"/>
      <c r="Y274" s="32"/>
      <c r="Z274" s="33"/>
    </row>
    <row r="275" ht="27.75" customHeight="1">
      <c r="A275" s="54" t="s">
        <v>674</v>
      </c>
      <c r="B275" s="55" t="s">
        <v>672</v>
      </c>
      <c r="C275" s="56" t="s">
        <v>675</v>
      </c>
      <c r="D275" s="55" t="s">
        <v>664</v>
      </c>
      <c r="E275" s="56" t="s">
        <v>30</v>
      </c>
      <c r="F275" s="55" t="s">
        <v>100</v>
      </c>
      <c r="G275" s="56"/>
      <c r="H275" s="56"/>
      <c r="I275" s="56"/>
      <c r="J275" s="55"/>
      <c r="K275" s="35"/>
      <c r="L275" s="36" t="s">
        <v>193</v>
      </c>
      <c r="M275" s="37"/>
      <c r="N275" s="37"/>
      <c r="O275" s="38"/>
      <c r="P275" s="38"/>
      <c r="Q275" s="39"/>
      <c r="R275" s="39"/>
      <c r="S275" s="40"/>
      <c r="T275" s="40"/>
      <c r="U275" s="40"/>
      <c r="V275" s="40"/>
      <c r="W275" s="40"/>
      <c r="X275" s="40"/>
      <c r="Y275" s="40"/>
      <c r="Z275" s="41"/>
    </row>
    <row r="276" ht="42.0" customHeight="1">
      <c r="A276" s="17" t="str">
        <f>HYPERLINK("http://purl.obolibrary.org/obo/OBI_0001248","http://purl.obolibrary.org/obo/OBI_0001248")</f>
        <v>http://purl.obolibrary.org/obo/OBI_0001248</v>
      </c>
      <c r="B276" s="18" t="s">
        <v>657</v>
      </c>
      <c r="C276" s="19" t="s">
        <v>676</v>
      </c>
      <c r="D276" s="18" t="s">
        <v>664</v>
      </c>
      <c r="E276" s="20" t="s">
        <v>30</v>
      </c>
      <c r="F276" s="18" t="s">
        <v>677</v>
      </c>
      <c r="G276" s="20"/>
      <c r="H276" s="18" t="s">
        <v>678</v>
      </c>
      <c r="I276" s="20" t="s">
        <v>679</v>
      </c>
      <c r="J276" s="18" t="s">
        <v>680</v>
      </c>
      <c r="K276" s="18"/>
      <c r="L276" s="20"/>
      <c r="M276" s="21" t="s">
        <v>681</v>
      </c>
      <c r="N276" s="21"/>
      <c r="O276" s="22"/>
      <c r="P276" s="22"/>
      <c r="Q276" s="23" t="s">
        <v>106</v>
      </c>
      <c r="R276" s="23"/>
      <c r="S276" s="43"/>
      <c r="T276" s="43"/>
      <c r="U276" s="43"/>
      <c r="V276" s="43"/>
      <c r="W276" s="43"/>
      <c r="X276" s="43"/>
      <c r="Y276" s="43"/>
      <c r="Z276" s="44"/>
    </row>
    <row r="277" ht="13.5" customHeight="1">
      <c r="A277" s="26" t="str">
        <f>A276</f>
        <v>http://purl.obolibrary.org/obo/OBI_0001248</v>
      </c>
      <c r="B277" s="27"/>
      <c r="C277" s="42" t="s">
        <v>682</v>
      </c>
      <c r="D277" s="27"/>
      <c r="E277" s="27"/>
      <c r="F277" s="27"/>
      <c r="G277" s="27"/>
      <c r="H277" s="28" t="s">
        <v>683</v>
      </c>
      <c r="I277" s="64" t="s">
        <v>684</v>
      </c>
      <c r="J277" s="28" t="s">
        <v>685</v>
      </c>
      <c r="K277" s="28" t="s">
        <v>686</v>
      </c>
      <c r="L277" s="49" t="s">
        <v>687</v>
      </c>
      <c r="M277" s="29" t="s">
        <v>688</v>
      </c>
      <c r="N277" s="29"/>
      <c r="O277" s="27"/>
      <c r="P277" s="30"/>
      <c r="Q277" s="31"/>
      <c r="R277" s="31" t="s">
        <v>98</v>
      </c>
      <c r="S277" s="32"/>
      <c r="T277" s="32"/>
      <c r="U277" s="32"/>
      <c r="V277" s="32"/>
      <c r="W277" s="32"/>
      <c r="X277" s="32"/>
      <c r="Y277" s="32"/>
      <c r="Z277" s="33"/>
    </row>
    <row r="278" ht="84.0" customHeight="1">
      <c r="A278" s="34" t="s">
        <v>689</v>
      </c>
      <c r="B278" s="35" t="s">
        <v>657</v>
      </c>
      <c r="C278" s="36" t="s">
        <v>690</v>
      </c>
      <c r="D278" s="35" t="s">
        <v>664</v>
      </c>
      <c r="E278" s="36" t="s">
        <v>30</v>
      </c>
      <c r="F278" s="35" t="s">
        <v>677</v>
      </c>
      <c r="G278" s="36"/>
      <c r="H278" s="35" t="s">
        <v>678</v>
      </c>
      <c r="I278" s="65" t="s">
        <v>691</v>
      </c>
      <c r="J278" s="35" t="s">
        <v>680</v>
      </c>
      <c r="K278" s="35"/>
      <c r="L278" s="36" t="s">
        <v>692</v>
      </c>
      <c r="M278" s="37" t="s">
        <v>693</v>
      </c>
      <c r="N278" s="37"/>
      <c r="O278" s="38"/>
      <c r="P278" s="38"/>
      <c r="Q278" s="39"/>
      <c r="R278" s="39" t="s">
        <v>112</v>
      </c>
      <c r="S278" s="47"/>
      <c r="T278" s="47"/>
      <c r="U278" s="47"/>
      <c r="V278" s="47"/>
      <c r="W278" s="47"/>
      <c r="X278" s="47"/>
      <c r="Y278" s="47"/>
      <c r="Z278" s="48"/>
    </row>
    <row r="279" ht="13.5" customHeight="1">
      <c r="A279" s="17" t="str">
        <f>HYPERLINK("http://purl.obolibrary.org/obo/OBI_0001266","http://purl.obolibrary.org/obo/OBI_0001266")</f>
        <v>http://purl.obolibrary.org/obo/OBI_0001266</v>
      </c>
      <c r="B279" s="18" t="s">
        <v>694</v>
      </c>
      <c r="C279" s="19" t="s">
        <v>695</v>
      </c>
      <c r="D279" s="18" t="s">
        <v>696</v>
      </c>
      <c r="E279" s="20" t="s">
        <v>30</v>
      </c>
      <c r="F279" s="18" t="s">
        <v>201</v>
      </c>
      <c r="G279" s="20" t="s">
        <v>697</v>
      </c>
      <c r="H279" s="18"/>
      <c r="I279" s="20"/>
      <c r="J279" s="18"/>
      <c r="K279" s="18"/>
      <c r="L279" s="20"/>
      <c r="M279" s="21"/>
      <c r="N279" s="21"/>
      <c r="O279" s="22"/>
      <c r="P279" s="22"/>
      <c r="Q279" s="23"/>
      <c r="R279" s="23"/>
      <c r="S279" s="43"/>
      <c r="T279" s="43"/>
      <c r="U279" s="43"/>
      <c r="V279" s="43"/>
      <c r="W279" s="43"/>
      <c r="X279" s="43"/>
      <c r="Y279" s="43"/>
      <c r="Z279" s="44"/>
    </row>
    <row r="280" ht="97.5" customHeight="1">
      <c r="A280" s="26" t="str">
        <f>A279</f>
        <v>http://purl.obolibrary.org/obo/OBI_0001266</v>
      </c>
      <c r="B280" s="27"/>
      <c r="C280" s="27"/>
      <c r="D280" s="27"/>
      <c r="E280" s="27"/>
      <c r="F280" s="27"/>
      <c r="G280" s="27"/>
      <c r="H280" s="28"/>
      <c r="I280" s="27"/>
      <c r="J280" s="28"/>
      <c r="K280" s="28"/>
      <c r="L280" s="49" t="s">
        <v>191</v>
      </c>
      <c r="M280" s="29"/>
      <c r="N280" s="29"/>
      <c r="O280" s="27"/>
      <c r="P280" s="30"/>
      <c r="Q280" s="31"/>
      <c r="R280" s="31"/>
      <c r="S280" s="32"/>
      <c r="T280" s="32"/>
      <c r="U280" s="32"/>
      <c r="V280" s="32"/>
      <c r="W280" s="32"/>
      <c r="X280" s="32"/>
      <c r="Y280" s="32"/>
      <c r="Z280" s="33"/>
    </row>
    <row r="281" ht="13.5" customHeight="1">
      <c r="A281" s="54" t="s">
        <v>698</v>
      </c>
      <c r="B281" s="55" t="s">
        <v>694</v>
      </c>
      <c r="C281" s="56" t="s">
        <v>699</v>
      </c>
      <c r="D281" s="55" t="s">
        <v>696</v>
      </c>
      <c r="E281" s="56" t="s">
        <v>30</v>
      </c>
      <c r="F281" s="55" t="s">
        <v>201</v>
      </c>
      <c r="G281" s="56" t="s">
        <v>700</v>
      </c>
      <c r="H281" s="56"/>
      <c r="I281" s="56"/>
      <c r="J281" s="55"/>
      <c r="K281" s="35"/>
      <c r="L281" s="36" t="s">
        <v>700</v>
      </c>
      <c r="M281" s="37"/>
      <c r="N281" s="37"/>
      <c r="O281" s="38"/>
      <c r="P281" s="38"/>
      <c r="Q281" s="39"/>
      <c r="R281" s="39"/>
      <c r="S281" s="47"/>
      <c r="T281" s="47"/>
      <c r="U281" s="47"/>
      <c r="V281" s="47"/>
      <c r="W281" s="47"/>
      <c r="X281" s="47"/>
      <c r="Y281" s="47"/>
      <c r="Z281" s="48"/>
    </row>
    <row r="282" ht="42.0" customHeight="1">
      <c r="A282" s="17" t="str">
        <f>HYPERLINK("http://purl.obolibrary.org/obo/OBI_0001271","http://purl.obolibrary.org/obo/OBI_0001271")</f>
        <v>http://purl.obolibrary.org/obo/OBI_0001271</v>
      </c>
      <c r="B282" s="18" t="s">
        <v>701</v>
      </c>
      <c r="C282" s="19" t="s">
        <v>702</v>
      </c>
      <c r="D282" s="18" t="s">
        <v>703</v>
      </c>
      <c r="E282" s="20" t="s">
        <v>30</v>
      </c>
      <c r="F282" s="18" t="s">
        <v>704</v>
      </c>
      <c r="G282" s="20"/>
      <c r="H282" s="18" t="s">
        <v>665</v>
      </c>
      <c r="I282" s="20" t="s">
        <v>79</v>
      </c>
      <c r="J282" s="18" t="s">
        <v>705</v>
      </c>
      <c r="K282" s="18"/>
      <c r="L282" s="20"/>
      <c r="M282" s="21" t="s">
        <v>79</v>
      </c>
      <c r="N282" s="21"/>
      <c r="O282" s="22"/>
      <c r="P282" s="22"/>
      <c r="Q282" s="23" t="s">
        <v>81</v>
      </c>
      <c r="R282" s="23"/>
      <c r="S282" s="43"/>
      <c r="T282" s="43"/>
      <c r="U282" s="43"/>
      <c r="V282" s="43"/>
      <c r="W282" s="43"/>
      <c r="X282" s="43"/>
      <c r="Y282" s="43"/>
      <c r="Z282" s="44"/>
    </row>
    <row r="283" ht="27.75" customHeight="1">
      <c r="A283" s="26" t="str">
        <f>A282</f>
        <v>http://purl.obolibrary.org/obo/OBI_0001271</v>
      </c>
      <c r="B283" s="27"/>
      <c r="C283" s="27"/>
      <c r="D283" s="27"/>
      <c r="E283" s="27"/>
      <c r="F283" s="27"/>
      <c r="G283" s="27"/>
      <c r="H283" s="52" t="s">
        <v>83</v>
      </c>
      <c r="I283" s="58" t="s">
        <v>666</v>
      </c>
      <c r="J283" s="52" t="s">
        <v>706</v>
      </c>
      <c r="K283" s="28" t="s">
        <v>86</v>
      </c>
      <c r="L283" s="49" t="s">
        <v>191</v>
      </c>
      <c r="M283" s="29"/>
      <c r="N283" s="29"/>
      <c r="O283" s="27"/>
      <c r="P283" s="30"/>
      <c r="Q283" s="31"/>
      <c r="R283" s="31" t="s">
        <v>87</v>
      </c>
      <c r="S283" s="45"/>
      <c r="T283" s="45"/>
      <c r="U283" s="45"/>
      <c r="V283" s="45"/>
      <c r="W283" s="45"/>
      <c r="X283" s="45"/>
      <c r="Y283" s="45"/>
      <c r="Z283" s="46"/>
    </row>
    <row r="284" ht="27.75" customHeight="1">
      <c r="A284" s="54" t="s">
        <v>707</v>
      </c>
      <c r="B284" s="55" t="s">
        <v>701</v>
      </c>
      <c r="C284" s="56" t="s">
        <v>708</v>
      </c>
      <c r="D284" s="55" t="s">
        <v>703</v>
      </c>
      <c r="E284" s="56" t="s">
        <v>30</v>
      </c>
      <c r="F284" s="55" t="s">
        <v>709</v>
      </c>
      <c r="G284" s="56"/>
      <c r="H284" s="55" t="s">
        <v>665</v>
      </c>
      <c r="I284" s="56" t="s">
        <v>79</v>
      </c>
      <c r="J284" s="55" t="s">
        <v>705</v>
      </c>
      <c r="K284" s="35"/>
      <c r="L284" s="36" t="s">
        <v>193</v>
      </c>
      <c r="M284" s="37" t="s">
        <v>79</v>
      </c>
      <c r="N284" s="37"/>
      <c r="O284" s="38"/>
      <c r="P284" s="38"/>
      <c r="Q284" s="39"/>
      <c r="R284" s="39" t="s">
        <v>91</v>
      </c>
      <c r="S284" s="47"/>
      <c r="T284" s="47"/>
      <c r="U284" s="47"/>
      <c r="V284" s="47"/>
      <c r="W284" s="47"/>
      <c r="X284" s="47"/>
      <c r="Y284" s="47"/>
      <c r="Z284" s="48"/>
    </row>
    <row r="285" ht="13.5" customHeight="1">
      <c r="A285" s="17" t="str">
        <f>HYPERLINK("http://purl.obolibrary.org/obo/OBI_0001274","http://purl.obolibrary.org/obo/OBI_0001274")</f>
        <v>http://purl.obolibrary.org/obo/OBI_0001274</v>
      </c>
      <c r="B285" s="18" t="s">
        <v>710</v>
      </c>
      <c r="C285" s="19" t="s">
        <v>711</v>
      </c>
      <c r="D285" s="18" t="s">
        <v>656</v>
      </c>
      <c r="E285" s="20" t="s">
        <v>30</v>
      </c>
      <c r="F285" s="18" t="s">
        <v>100</v>
      </c>
      <c r="G285" s="20"/>
      <c r="H285" s="18"/>
      <c r="I285" s="20"/>
      <c r="J285" s="18"/>
      <c r="K285" s="18"/>
      <c r="L285" s="20"/>
      <c r="M285" s="21"/>
      <c r="N285" s="21"/>
      <c r="O285" s="22"/>
      <c r="P285" s="22"/>
      <c r="Q285" s="23"/>
      <c r="R285" s="23"/>
      <c r="S285" s="43"/>
      <c r="T285" s="43"/>
      <c r="U285" s="43"/>
      <c r="V285" s="43"/>
      <c r="W285" s="43"/>
      <c r="X285" s="43"/>
      <c r="Y285" s="43"/>
      <c r="Z285" s="44"/>
    </row>
    <row r="286" ht="42.0" customHeight="1">
      <c r="A286" s="26" t="str">
        <f>A285</f>
        <v>http://purl.obolibrary.org/obo/OBI_0001274</v>
      </c>
      <c r="B286" s="27"/>
      <c r="C286" s="27"/>
      <c r="D286" s="27"/>
      <c r="E286" s="27"/>
      <c r="F286" s="27"/>
      <c r="G286" s="27"/>
      <c r="H286" s="28"/>
      <c r="I286" s="27"/>
      <c r="J286" s="28"/>
      <c r="K286" s="28"/>
      <c r="L286" s="49" t="s">
        <v>687</v>
      </c>
      <c r="M286" s="29"/>
      <c r="N286" s="29"/>
      <c r="O286" s="27"/>
      <c r="P286" s="30"/>
      <c r="Q286" s="31"/>
      <c r="R286" s="31"/>
      <c r="S286" s="32"/>
      <c r="T286" s="32"/>
      <c r="U286" s="32"/>
      <c r="V286" s="32"/>
      <c r="W286" s="32"/>
      <c r="X286" s="32"/>
      <c r="Y286" s="32"/>
      <c r="Z286" s="33"/>
    </row>
    <row r="287" ht="13.5" customHeight="1">
      <c r="A287" s="54" t="s">
        <v>712</v>
      </c>
      <c r="B287" s="55" t="s">
        <v>710</v>
      </c>
      <c r="C287" s="56" t="s">
        <v>713</v>
      </c>
      <c r="D287" s="55" t="s">
        <v>656</v>
      </c>
      <c r="E287" s="56" t="s">
        <v>30</v>
      </c>
      <c r="F287" s="55" t="s">
        <v>100</v>
      </c>
      <c r="G287" s="56"/>
      <c r="H287" s="56"/>
      <c r="I287" s="56"/>
      <c r="J287" s="55"/>
      <c r="K287" s="35"/>
      <c r="L287" s="36" t="s">
        <v>692</v>
      </c>
      <c r="M287" s="37"/>
      <c r="N287" s="37"/>
      <c r="O287" s="38"/>
      <c r="P287" s="38"/>
      <c r="Q287" s="39"/>
      <c r="R287" s="39"/>
      <c r="S287" s="47"/>
      <c r="T287" s="47"/>
      <c r="U287" s="47"/>
      <c r="V287" s="47"/>
      <c r="W287" s="47"/>
      <c r="X287" s="47"/>
      <c r="Y287" s="47"/>
      <c r="Z287" s="48"/>
    </row>
    <row r="288" ht="84.0" customHeight="1">
      <c r="A288" s="17" t="str">
        <f>HYPERLINK("http://purl.obolibrary.org/obo/OBI_0001282","http://purl.obolibrary.org/obo/OBI_0001282")</f>
        <v>http://purl.obolibrary.org/obo/OBI_0001282</v>
      </c>
      <c r="B288" s="18" t="s">
        <v>714</v>
      </c>
      <c r="C288" s="19" t="s">
        <v>715</v>
      </c>
      <c r="D288" s="18" t="s">
        <v>703</v>
      </c>
      <c r="E288" s="20" t="s">
        <v>30</v>
      </c>
      <c r="F288" s="18" t="s">
        <v>67</v>
      </c>
      <c r="G288" s="20"/>
      <c r="H288" s="18" t="s">
        <v>716</v>
      </c>
      <c r="I288" s="20"/>
      <c r="J288" s="18"/>
      <c r="K288" s="18"/>
      <c r="L288" s="20"/>
      <c r="M288" s="21"/>
      <c r="N288" s="21"/>
      <c r="O288" s="22"/>
      <c r="P288" s="22"/>
      <c r="Q288" s="23" t="s">
        <v>81</v>
      </c>
      <c r="R288" s="23"/>
      <c r="S288" s="43"/>
      <c r="T288" s="43"/>
      <c r="U288" s="43"/>
      <c r="V288" s="43"/>
      <c r="W288" s="43"/>
      <c r="X288" s="43"/>
      <c r="Y288" s="43"/>
      <c r="Z288" s="44"/>
    </row>
    <row r="289" ht="13.5" customHeight="1">
      <c r="A289" s="26" t="str">
        <f>A288</f>
        <v>http://purl.obolibrary.org/obo/OBI_0001282</v>
      </c>
      <c r="B289" s="27"/>
      <c r="C289" s="27"/>
      <c r="D289" s="27"/>
      <c r="E289" s="27"/>
      <c r="F289" s="27"/>
      <c r="G289" s="27"/>
      <c r="H289" s="28" t="s">
        <v>717</v>
      </c>
      <c r="I289" s="27"/>
      <c r="J289" s="28"/>
      <c r="K289" s="28"/>
      <c r="L289" s="27"/>
      <c r="M289" s="29"/>
      <c r="N289" s="29"/>
      <c r="O289" s="27"/>
      <c r="P289" s="30"/>
      <c r="Q289" s="31"/>
      <c r="R289" s="31" t="s">
        <v>87</v>
      </c>
      <c r="S289" s="32"/>
      <c r="T289" s="32"/>
      <c r="U289" s="32"/>
      <c r="V289" s="32"/>
      <c r="W289" s="32"/>
      <c r="X289" s="32"/>
      <c r="Y289" s="32"/>
      <c r="Z289" s="33"/>
    </row>
    <row r="290" ht="42.0" customHeight="1">
      <c r="A290" s="34" t="s">
        <v>718</v>
      </c>
      <c r="B290" s="35" t="s">
        <v>714</v>
      </c>
      <c r="C290" s="36" t="s">
        <v>719</v>
      </c>
      <c r="D290" s="35" t="s">
        <v>703</v>
      </c>
      <c r="E290" s="36" t="s">
        <v>30</v>
      </c>
      <c r="F290" s="35" t="s">
        <v>67</v>
      </c>
      <c r="G290" s="36"/>
      <c r="H290" s="35" t="s">
        <v>716</v>
      </c>
      <c r="I290" s="36"/>
      <c r="J290" s="35"/>
      <c r="K290" s="35"/>
      <c r="L290" s="36"/>
      <c r="M290" s="37"/>
      <c r="N290" s="37"/>
      <c r="O290" s="38"/>
      <c r="P290" s="38"/>
      <c r="Q290" s="39"/>
      <c r="R290" s="39" t="s">
        <v>91</v>
      </c>
      <c r="S290" s="47"/>
      <c r="T290" s="47"/>
      <c r="U290" s="47"/>
      <c r="V290" s="47"/>
      <c r="W290" s="47"/>
      <c r="X290" s="47"/>
      <c r="Y290" s="47"/>
      <c r="Z290" s="48"/>
    </row>
    <row r="291" ht="27.75" customHeight="1">
      <c r="A291" s="17" t="str">
        <f>HYPERLINK("http://purl.obolibrary.org/obo/OBI_0001304","http://purl.obolibrary.org/obo/OBI_0001304")</f>
        <v>http://purl.obolibrary.org/obo/OBI_0001304</v>
      </c>
      <c r="B291" s="18" t="s">
        <v>720</v>
      </c>
      <c r="C291" s="19" t="s">
        <v>721</v>
      </c>
      <c r="D291" s="18" t="s">
        <v>703</v>
      </c>
      <c r="E291" s="20" t="s">
        <v>30</v>
      </c>
      <c r="F291" s="18" t="s">
        <v>67</v>
      </c>
      <c r="G291" s="20"/>
      <c r="H291" s="18" t="s">
        <v>716</v>
      </c>
      <c r="I291" s="20"/>
      <c r="J291" s="18"/>
      <c r="K291" s="18"/>
      <c r="L291" s="20"/>
      <c r="M291" s="21"/>
      <c r="N291" s="21"/>
      <c r="O291" s="22"/>
      <c r="P291" s="22"/>
      <c r="Q291" s="23" t="s">
        <v>81</v>
      </c>
      <c r="R291" s="23"/>
      <c r="S291" s="24"/>
      <c r="T291" s="24"/>
      <c r="U291" s="24"/>
      <c r="V291" s="24"/>
      <c r="W291" s="24"/>
      <c r="X291" s="24"/>
      <c r="Y291" s="24"/>
      <c r="Z291" s="25"/>
    </row>
    <row r="292" ht="55.5" customHeight="1">
      <c r="A292" s="26" t="str">
        <f>A291</f>
        <v>http://purl.obolibrary.org/obo/OBI_0001304</v>
      </c>
      <c r="B292" s="27"/>
      <c r="C292" s="27"/>
      <c r="D292" s="27"/>
      <c r="E292" s="27"/>
      <c r="F292" s="27"/>
      <c r="G292" s="27"/>
      <c r="H292" s="28" t="s">
        <v>717</v>
      </c>
      <c r="I292" s="27"/>
      <c r="J292" s="28"/>
      <c r="K292" s="28"/>
      <c r="L292" s="49" t="s">
        <v>687</v>
      </c>
      <c r="M292" s="29"/>
      <c r="N292" s="29"/>
      <c r="O292" s="27"/>
      <c r="P292" s="30"/>
      <c r="Q292" s="31"/>
      <c r="R292" s="31" t="s">
        <v>87</v>
      </c>
      <c r="S292" s="32"/>
      <c r="T292" s="32"/>
      <c r="U292" s="32"/>
      <c r="V292" s="32"/>
      <c r="W292" s="32"/>
      <c r="X292" s="32"/>
      <c r="Y292" s="32"/>
      <c r="Z292" s="33"/>
    </row>
    <row r="293" ht="13.5" customHeight="1">
      <c r="A293" s="34" t="s">
        <v>722</v>
      </c>
      <c r="B293" s="35" t="s">
        <v>720</v>
      </c>
      <c r="C293" s="36" t="s">
        <v>723</v>
      </c>
      <c r="D293" s="35" t="s">
        <v>703</v>
      </c>
      <c r="E293" s="36" t="s">
        <v>30</v>
      </c>
      <c r="F293" s="35" t="s">
        <v>67</v>
      </c>
      <c r="G293" s="36"/>
      <c r="H293" s="35" t="s">
        <v>716</v>
      </c>
      <c r="I293" s="36"/>
      <c r="J293" s="35"/>
      <c r="K293" s="35"/>
      <c r="L293" s="36" t="s">
        <v>692</v>
      </c>
      <c r="M293" s="37"/>
      <c r="N293" s="37"/>
      <c r="O293" s="38"/>
      <c r="P293" s="38"/>
      <c r="Q293" s="39"/>
      <c r="R293" s="39" t="s">
        <v>91</v>
      </c>
      <c r="S293" s="47"/>
      <c r="T293" s="47"/>
      <c r="U293" s="47"/>
      <c r="V293" s="47"/>
      <c r="W293" s="47"/>
      <c r="X293" s="47"/>
      <c r="Y293" s="47"/>
      <c r="Z293" s="48"/>
    </row>
    <row r="294" ht="55.5" customHeight="1">
      <c r="A294" s="17" t="str">
        <f>HYPERLINK("http://purl.obolibrary.org/obo/OBI_0001318","http://purl.obolibrary.org/obo/OBI_0001318")</f>
        <v>http://purl.obolibrary.org/obo/OBI_0001318</v>
      </c>
      <c r="B294" s="18" t="s">
        <v>724</v>
      </c>
      <c r="C294" s="19" t="s">
        <v>725</v>
      </c>
      <c r="D294" s="18" t="s">
        <v>664</v>
      </c>
      <c r="E294" s="20" t="s">
        <v>30</v>
      </c>
      <c r="F294" s="18" t="s">
        <v>67</v>
      </c>
      <c r="G294" s="20"/>
      <c r="H294" s="18" t="s">
        <v>716</v>
      </c>
      <c r="I294" s="20" t="s">
        <v>726</v>
      </c>
      <c r="J294" s="18"/>
      <c r="K294" s="18"/>
      <c r="L294" s="20"/>
      <c r="M294" s="21" t="s">
        <v>726</v>
      </c>
      <c r="N294" s="21"/>
      <c r="O294" s="22"/>
      <c r="P294" s="22"/>
      <c r="Q294" s="23" t="s">
        <v>727</v>
      </c>
      <c r="R294" s="23"/>
      <c r="S294" s="43"/>
      <c r="T294" s="43"/>
      <c r="U294" s="43"/>
      <c r="V294" s="43"/>
      <c r="W294" s="43"/>
      <c r="X294" s="43"/>
      <c r="Y294" s="43"/>
      <c r="Z294" s="44"/>
    </row>
    <row r="295" ht="13.5" customHeight="1">
      <c r="A295" s="26" t="str">
        <f>A294</f>
        <v>http://purl.obolibrary.org/obo/OBI_0001318</v>
      </c>
      <c r="B295" s="27"/>
      <c r="C295" s="27"/>
      <c r="D295" s="27"/>
      <c r="E295" s="27"/>
      <c r="F295" s="27"/>
      <c r="G295" s="27"/>
      <c r="H295" s="28" t="s">
        <v>717</v>
      </c>
      <c r="I295" s="49" t="s">
        <v>728</v>
      </c>
      <c r="J295" s="28"/>
      <c r="K295" s="28"/>
      <c r="L295" s="49" t="s">
        <v>729</v>
      </c>
      <c r="M295" s="29"/>
      <c r="N295" s="29"/>
      <c r="O295" s="27"/>
      <c r="P295" s="30"/>
      <c r="Q295" s="31"/>
      <c r="R295" s="31" t="s">
        <v>730</v>
      </c>
      <c r="S295" s="32"/>
      <c r="T295" s="32"/>
      <c r="U295" s="32"/>
      <c r="V295" s="32"/>
      <c r="W295" s="32"/>
      <c r="X295" s="32"/>
      <c r="Y295" s="32"/>
      <c r="Z295" s="33"/>
    </row>
    <row r="296" ht="55.5" customHeight="1">
      <c r="A296" s="34" t="s">
        <v>731</v>
      </c>
      <c r="B296" s="35" t="s">
        <v>724</v>
      </c>
      <c r="C296" s="36" t="s">
        <v>732</v>
      </c>
      <c r="D296" s="35" t="s">
        <v>664</v>
      </c>
      <c r="E296" s="36" t="s">
        <v>30</v>
      </c>
      <c r="F296" s="35" t="s">
        <v>67</v>
      </c>
      <c r="G296" s="36"/>
      <c r="H296" s="35" t="s">
        <v>716</v>
      </c>
      <c r="I296" s="36" t="s">
        <v>726</v>
      </c>
      <c r="J296" s="35"/>
      <c r="K296" s="35"/>
      <c r="L296" s="36" t="s">
        <v>733</v>
      </c>
      <c r="M296" s="37" t="s">
        <v>726</v>
      </c>
      <c r="N296" s="37"/>
      <c r="O296" s="38"/>
      <c r="P296" s="38"/>
      <c r="Q296" s="39"/>
      <c r="R296" s="39" t="s">
        <v>734</v>
      </c>
      <c r="S296" s="47"/>
      <c r="T296" s="47"/>
      <c r="U296" s="47"/>
      <c r="V296" s="47"/>
      <c r="W296" s="47"/>
      <c r="X296" s="47"/>
      <c r="Y296" s="47"/>
      <c r="Z296" s="48"/>
    </row>
    <row r="297" ht="13.5" customHeight="1">
      <c r="A297" s="17" t="str">
        <f>HYPERLINK("http://purl.obolibrary.org/obo/OBI_0001332","http://purl.obolibrary.org/obo/OBI_0001332")</f>
        <v>http://purl.obolibrary.org/obo/OBI_0001332</v>
      </c>
      <c r="B297" s="18" t="s">
        <v>735</v>
      </c>
      <c r="C297" s="19" t="s">
        <v>736</v>
      </c>
      <c r="D297" s="18" t="s">
        <v>664</v>
      </c>
      <c r="E297" s="20" t="s">
        <v>30</v>
      </c>
      <c r="F297" s="18" t="s">
        <v>201</v>
      </c>
      <c r="G297" s="20" t="s">
        <v>737</v>
      </c>
      <c r="H297" s="18"/>
      <c r="I297" s="20"/>
      <c r="J297" s="18"/>
      <c r="K297" s="18"/>
      <c r="L297" s="20"/>
      <c r="M297" s="21"/>
      <c r="N297" s="21"/>
      <c r="O297" s="22"/>
      <c r="P297" s="22"/>
      <c r="Q297" s="23"/>
      <c r="R297" s="23"/>
      <c r="S297" s="43"/>
      <c r="T297" s="43"/>
      <c r="U297" s="43"/>
      <c r="V297" s="43"/>
      <c r="W297" s="43"/>
      <c r="X297" s="43"/>
      <c r="Y297" s="43"/>
      <c r="Z297" s="44"/>
    </row>
    <row r="298" ht="55.5" customHeight="1">
      <c r="A298" s="26" t="str">
        <f>A297</f>
        <v>http://purl.obolibrary.org/obo/OBI_0001332</v>
      </c>
      <c r="B298" s="27"/>
      <c r="C298" s="27"/>
      <c r="D298" s="27"/>
      <c r="E298" s="27"/>
      <c r="F298" s="27"/>
      <c r="G298" s="27"/>
      <c r="H298" s="28"/>
      <c r="I298" s="27"/>
      <c r="J298" s="28"/>
      <c r="K298" s="28"/>
      <c r="L298" s="49" t="s">
        <v>687</v>
      </c>
      <c r="M298" s="29"/>
      <c r="N298" s="29"/>
      <c r="O298" s="27"/>
      <c r="P298" s="30"/>
      <c r="Q298" s="31"/>
      <c r="R298" s="31"/>
      <c r="S298" s="32"/>
      <c r="T298" s="32"/>
      <c r="U298" s="32"/>
      <c r="V298" s="32"/>
      <c r="W298" s="32"/>
      <c r="X298" s="32"/>
      <c r="Y298" s="32"/>
      <c r="Z298" s="33"/>
    </row>
    <row r="299" ht="13.5" customHeight="1">
      <c r="A299" s="54" t="s">
        <v>738</v>
      </c>
      <c r="B299" s="55" t="s">
        <v>735</v>
      </c>
      <c r="C299" s="56" t="s">
        <v>739</v>
      </c>
      <c r="D299" s="55" t="s">
        <v>664</v>
      </c>
      <c r="E299" s="56" t="s">
        <v>30</v>
      </c>
      <c r="F299" s="55" t="s">
        <v>201</v>
      </c>
      <c r="G299" s="56" t="s">
        <v>740</v>
      </c>
      <c r="H299" s="56"/>
      <c r="I299" s="56"/>
      <c r="J299" s="55"/>
      <c r="K299" s="35"/>
      <c r="L299" s="36" t="s">
        <v>740</v>
      </c>
      <c r="M299" s="37"/>
      <c r="N299" s="37"/>
      <c r="O299" s="38"/>
      <c r="P299" s="38"/>
      <c r="Q299" s="39"/>
      <c r="R299" s="39"/>
      <c r="S299" s="47"/>
      <c r="T299" s="47"/>
      <c r="U299" s="47"/>
      <c r="V299" s="47"/>
      <c r="W299" s="47"/>
      <c r="X299" s="47"/>
      <c r="Y299" s="47"/>
      <c r="Z299" s="48"/>
    </row>
    <row r="300" ht="27.75" customHeight="1">
      <c r="A300" s="17" t="str">
        <f>HYPERLINK("http://purl.obolibrary.org/obo/OBI_0001335","http://purl.obolibrary.org/obo/OBI_0001335")</f>
        <v>http://purl.obolibrary.org/obo/OBI_0001335</v>
      </c>
      <c r="B300" s="18" t="s">
        <v>741</v>
      </c>
      <c r="C300" s="19" t="s">
        <v>742</v>
      </c>
      <c r="D300" s="18" t="s">
        <v>703</v>
      </c>
      <c r="E300" s="20" t="s">
        <v>30</v>
      </c>
      <c r="F300" s="18" t="s">
        <v>743</v>
      </c>
      <c r="G300" s="20"/>
      <c r="H300" s="18" t="s">
        <v>665</v>
      </c>
      <c r="I300" s="20" t="s">
        <v>79</v>
      </c>
      <c r="J300" s="18" t="s">
        <v>744</v>
      </c>
      <c r="K300" s="18"/>
      <c r="L300" s="20"/>
      <c r="M300" s="21" t="s">
        <v>79</v>
      </c>
      <c r="N300" s="21"/>
      <c r="O300" s="22"/>
      <c r="P300" s="22"/>
      <c r="Q300" s="23" t="s">
        <v>81</v>
      </c>
      <c r="R300" s="23"/>
      <c r="S300" s="43"/>
      <c r="T300" s="43"/>
      <c r="U300" s="43"/>
      <c r="V300" s="43"/>
      <c r="W300" s="43"/>
      <c r="X300" s="43"/>
      <c r="Y300" s="43"/>
      <c r="Z300" s="44"/>
    </row>
    <row r="301" ht="13.5" customHeight="1">
      <c r="A301" s="26" t="str">
        <f>A300</f>
        <v>http://purl.obolibrary.org/obo/OBI_0001335</v>
      </c>
      <c r="B301" s="27"/>
      <c r="C301" s="27"/>
      <c r="D301" s="27"/>
      <c r="E301" s="27"/>
      <c r="F301" s="27"/>
      <c r="G301" s="27"/>
      <c r="H301" s="52" t="s">
        <v>83</v>
      </c>
      <c r="I301" s="58" t="s">
        <v>666</v>
      </c>
      <c r="J301" s="52" t="s">
        <v>745</v>
      </c>
      <c r="K301" s="28" t="s">
        <v>746</v>
      </c>
      <c r="L301" s="49" t="s">
        <v>687</v>
      </c>
      <c r="M301" s="29"/>
      <c r="N301" s="29"/>
      <c r="O301" s="27"/>
      <c r="P301" s="30"/>
      <c r="Q301" s="31"/>
      <c r="R301" s="31" t="s">
        <v>87</v>
      </c>
      <c r="S301" s="32"/>
      <c r="T301" s="32"/>
      <c r="U301" s="32"/>
      <c r="V301" s="32"/>
      <c r="W301" s="32"/>
      <c r="X301" s="32"/>
      <c r="Y301" s="32"/>
      <c r="Z301" s="33"/>
    </row>
    <row r="302" ht="84.0" customHeight="1">
      <c r="A302" s="54" t="s">
        <v>747</v>
      </c>
      <c r="B302" s="55" t="s">
        <v>741</v>
      </c>
      <c r="C302" s="56" t="s">
        <v>748</v>
      </c>
      <c r="D302" s="55" t="s">
        <v>703</v>
      </c>
      <c r="E302" s="56" t="s">
        <v>30</v>
      </c>
      <c r="F302" s="55" t="s">
        <v>743</v>
      </c>
      <c r="G302" s="56"/>
      <c r="H302" s="55" t="s">
        <v>665</v>
      </c>
      <c r="I302" s="56" t="s">
        <v>79</v>
      </c>
      <c r="J302" s="55" t="s">
        <v>744</v>
      </c>
      <c r="K302" s="35"/>
      <c r="L302" s="36" t="s">
        <v>692</v>
      </c>
      <c r="M302" s="37" t="s">
        <v>79</v>
      </c>
      <c r="N302" s="37"/>
      <c r="O302" s="38"/>
      <c r="P302" s="38"/>
      <c r="Q302" s="39"/>
      <c r="R302" s="39" t="s">
        <v>91</v>
      </c>
      <c r="S302" s="47"/>
      <c r="T302" s="47"/>
      <c r="U302" s="47"/>
      <c r="V302" s="47"/>
      <c r="W302" s="47"/>
      <c r="X302" s="47"/>
      <c r="Y302" s="47"/>
      <c r="Z302" s="48"/>
    </row>
    <row r="303" ht="55.5" customHeight="1">
      <c r="A303" s="17" t="str">
        <f>HYPERLINK("http://purl.obolibrary.org/obo/OBI_0001361","http://purl.obolibrary.org/obo/OBI_0001361")</f>
        <v>http://purl.obolibrary.org/obo/OBI_0001361</v>
      </c>
      <c r="B303" s="18" t="s">
        <v>749</v>
      </c>
      <c r="C303" s="19" t="s">
        <v>750</v>
      </c>
      <c r="D303" s="18" t="s">
        <v>751</v>
      </c>
      <c r="E303" s="20" t="s">
        <v>30</v>
      </c>
      <c r="F303" s="18" t="s">
        <v>76</v>
      </c>
      <c r="G303" s="20"/>
      <c r="H303" s="18" t="s">
        <v>665</v>
      </c>
      <c r="I303" s="20" t="s">
        <v>79</v>
      </c>
      <c r="J303" s="18" t="s">
        <v>80</v>
      </c>
      <c r="K303" s="18"/>
      <c r="L303" s="20"/>
      <c r="M303" s="21" t="s">
        <v>752</v>
      </c>
      <c r="N303" s="21"/>
      <c r="O303" s="22"/>
      <c r="P303" s="22"/>
      <c r="Q303" s="23" t="s">
        <v>81</v>
      </c>
      <c r="R303" s="23"/>
      <c r="S303" s="24"/>
      <c r="T303" s="24"/>
      <c r="U303" s="24"/>
      <c r="V303" s="24"/>
      <c r="W303" s="24"/>
      <c r="X303" s="24"/>
      <c r="Y303" s="24"/>
      <c r="Z303" s="25"/>
    </row>
    <row r="304" ht="55.5" customHeight="1">
      <c r="A304" s="26" t="str">
        <f>A303</f>
        <v>http://purl.obolibrary.org/obo/OBI_0001361</v>
      </c>
      <c r="B304" s="27"/>
      <c r="C304" s="27"/>
      <c r="D304" s="27"/>
      <c r="E304" s="27"/>
      <c r="F304" s="27"/>
      <c r="G304" s="27"/>
      <c r="H304" s="52" t="s">
        <v>83</v>
      </c>
      <c r="I304" s="58" t="s">
        <v>666</v>
      </c>
      <c r="J304" s="52" t="s">
        <v>667</v>
      </c>
      <c r="K304" s="28" t="s">
        <v>86</v>
      </c>
      <c r="L304" s="49" t="s">
        <v>753</v>
      </c>
      <c r="M304" s="29" t="s">
        <v>638</v>
      </c>
      <c r="N304" s="29"/>
      <c r="O304" s="27"/>
      <c r="P304" s="30"/>
      <c r="Q304" s="31"/>
      <c r="R304" s="31" t="s">
        <v>87</v>
      </c>
      <c r="S304" s="32"/>
      <c r="T304" s="32"/>
      <c r="U304" s="32"/>
      <c r="V304" s="32"/>
      <c r="W304" s="32"/>
      <c r="X304" s="32"/>
      <c r="Y304" s="32"/>
      <c r="Z304" s="33"/>
    </row>
    <row r="305" ht="13.5" customHeight="1">
      <c r="A305" s="54" t="s">
        <v>754</v>
      </c>
      <c r="B305" s="55" t="s">
        <v>749</v>
      </c>
      <c r="C305" s="56" t="s">
        <v>755</v>
      </c>
      <c r="D305" s="55" t="s">
        <v>751</v>
      </c>
      <c r="E305" s="56" t="s">
        <v>30</v>
      </c>
      <c r="F305" s="55" t="s">
        <v>76</v>
      </c>
      <c r="G305" s="56"/>
      <c r="H305" s="55" t="s">
        <v>665</v>
      </c>
      <c r="I305" s="56" t="s">
        <v>79</v>
      </c>
      <c r="J305" s="55" t="s">
        <v>90</v>
      </c>
      <c r="K305" s="35"/>
      <c r="L305" s="36" t="s">
        <v>756</v>
      </c>
      <c r="M305" s="37" t="s">
        <v>757</v>
      </c>
      <c r="N305" s="37"/>
      <c r="O305" s="38"/>
      <c r="P305" s="38"/>
      <c r="Q305" s="39"/>
      <c r="R305" s="39" t="s">
        <v>91</v>
      </c>
      <c r="S305" s="47"/>
      <c r="T305" s="47"/>
      <c r="U305" s="47"/>
      <c r="V305" s="47"/>
      <c r="W305" s="47"/>
      <c r="X305" s="47"/>
      <c r="Y305" s="47"/>
      <c r="Z305" s="48"/>
    </row>
    <row r="306" ht="84.0" customHeight="1">
      <c r="A306" s="17" t="str">
        <f>HYPERLINK("http://purl.obolibrary.org/obo/OBI_0001393","http://purl.obolibrary.org/obo/OBI_0001393")</f>
        <v>http://purl.obolibrary.org/obo/OBI_0001393</v>
      </c>
      <c r="B306" s="18" t="s">
        <v>758</v>
      </c>
      <c r="C306" s="19" t="s">
        <v>759</v>
      </c>
      <c r="D306" s="18" t="s">
        <v>664</v>
      </c>
      <c r="E306" s="20" t="s">
        <v>30</v>
      </c>
      <c r="F306" s="18" t="s">
        <v>100</v>
      </c>
      <c r="G306" s="20"/>
      <c r="H306" s="18" t="s">
        <v>716</v>
      </c>
      <c r="I306" s="20" t="s">
        <v>104</v>
      </c>
      <c r="J306" s="18" t="s">
        <v>102</v>
      </c>
      <c r="K306" s="18"/>
      <c r="L306" s="20"/>
      <c r="M306" s="21" t="s">
        <v>104</v>
      </c>
      <c r="N306" s="21"/>
      <c r="O306" s="22"/>
      <c r="P306" s="22"/>
      <c r="Q306" s="23" t="s">
        <v>106</v>
      </c>
      <c r="R306" s="23"/>
      <c r="S306" s="43"/>
      <c r="T306" s="43"/>
      <c r="U306" s="43"/>
      <c r="V306" s="43"/>
      <c r="W306" s="43"/>
      <c r="X306" s="43"/>
      <c r="Y306" s="43"/>
      <c r="Z306" s="44"/>
    </row>
    <row r="307" ht="27.75" customHeight="1">
      <c r="A307" s="26" t="str">
        <f>A306</f>
        <v>http://purl.obolibrary.org/obo/OBI_0001393</v>
      </c>
      <c r="B307" s="27"/>
      <c r="C307" s="27"/>
      <c r="D307" s="27"/>
      <c r="E307" s="27"/>
      <c r="F307" s="27"/>
      <c r="G307" s="27"/>
      <c r="H307" s="52" t="s">
        <v>717</v>
      </c>
      <c r="I307" s="58" t="s">
        <v>108</v>
      </c>
      <c r="J307" s="52" t="s">
        <v>109</v>
      </c>
      <c r="K307" s="28"/>
      <c r="L307" s="49" t="s">
        <v>687</v>
      </c>
      <c r="M307" s="29"/>
      <c r="N307" s="29"/>
      <c r="O307" s="27"/>
      <c r="P307" s="30"/>
      <c r="Q307" s="31"/>
      <c r="R307" s="31" t="s">
        <v>98</v>
      </c>
      <c r="S307" s="45"/>
      <c r="T307" s="45"/>
      <c r="U307" s="45"/>
      <c r="V307" s="45"/>
      <c r="W307" s="45"/>
      <c r="X307" s="45"/>
      <c r="Y307" s="45"/>
      <c r="Z307" s="46"/>
    </row>
    <row r="308" ht="84.0" customHeight="1">
      <c r="A308" s="54" t="s">
        <v>760</v>
      </c>
      <c r="B308" s="55" t="s">
        <v>758</v>
      </c>
      <c r="C308" s="56" t="s">
        <v>761</v>
      </c>
      <c r="D308" s="55" t="s">
        <v>664</v>
      </c>
      <c r="E308" s="56" t="s">
        <v>30</v>
      </c>
      <c r="F308" s="55" t="s">
        <v>100</v>
      </c>
      <c r="G308" s="56"/>
      <c r="H308" s="55" t="s">
        <v>716</v>
      </c>
      <c r="I308" s="56" t="s">
        <v>104</v>
      </c>
      <c r="J308" s="55" t="s">
        <v>102</v>
      </c>
      <c r="K308" s="35"/>
      <c r="L308" s="36" t="s">
        <v>692</v>
      </c>
      <c r="M308" s="37" t="s">
        <v>104</v>
      </c>
      <c r="N308" s="37"/>
      <c r="O308" s="38"/>
      <c r="P308" s="38"/>
      <c r="Q308" s="39"/>
      <c r="R308" s="39" t="s">
        <v>112</v>
      </c>
      <c r="S308" s="47"/>
      <c r="T308" s="47"/>
      <c r="U308" s="47"/>
      <c r="V308" s="47"/>
      <c r="W308" s="47"/>
      <c r="X308" s="47"/>
      <c r="Y308" s="47"/>
      <c r="Z308" s="48"/>
    </row>
    <row r="309" ht="27.75" customHeight="1">
      <c r="A309" s="17" t="str">
        <f>HYPERLINK("http://purl.obolibrary.org/obo/OBI_0001419","http://purl.obolibrary.org/obo/OBI_0001419")</f>
        <v>http://purl.obolibrary.org/obo/OBI_0001419</v>
      </c>
      <c r="B309" s="18" t="s">
        <v>762</v>
      </c>
      <c r="C309" s="19" t="s">
        <v>763</v>
      </c>
      <c r="D309" s="18" t="s">
        <v>656</v>
      </c>
      <c r="E309" s="20" t="s">
        <v>30</v>
      </c>
      <c r="F309" s="18" t="s">
        <v>657</v>
      </c>
      <c r="G309" s="20"/>
      <c r="H309" s="18"/>
      <c r="I309" s="20"/>
      <c r="J309" s="18"/>
      <c r="K309" s="18"/>
      <c r="L309" s="20"/>
      <c r="M309" s="21"/>
      <c r="N309" s="21"/>
      <c r="O309" s="22"/>
      <c r="P309" s="22"/>
      <c r="Q309" s="23"/>
      <c r="R309" s="23"/>
      <c r="S309" s="24"/>
      <c r="T309" s="24"/>
      <c r="U309" s="24"/>
      <c r="V309" s="24"/>
      <c r="W309" s="24"/>
      <c r="X309" s="24"/>
      <c r="Y309" s="24"/>
      <c r="Z309" s="25"/>
    </row>
    <row r="310" ht="42.0" customHeight="1">
      <c r="A310" s="26" t="str">
        <f>A309</f>
        <v>http://purl.obolibrary.org/obo/OBI_0001419</v>
      </c>
      <c r="B310" s="27"/>
      <c r="C310" s="27"/>
      <c r="D310" s="27"/>
      <c r="E310" s="27"/>
      <c r="F310" s="27"/>
      <c r="G310" s="27"/>
      <c r="H310" s="28"/>
      <c r="I310" s="27"/>
      <c r="J310" s="28"/>
      <c r="K310" s="28"/>
      <c r="L310" s="49" t="s">
        <v>668</v>
      </c>
      <c r="M310" s="29"/>
      <c r="N310" s="29"/>
      <c r="O310" s="27"/>
      <c r="P310" s="30"/>
      <c r="Q310" s="31"/>
      <c r="R310" s="31"/>
      <c r="S310" s="32"/>
      <c r="T310" s="32"/>
      <c r="U310" s="32"/>
      <c r="V310" s="32"/>
      <c r="W310" s="32"/>
      <c r="X310" s="32"/>
      <c r="Y310" s="32"/>
      <c r="Z310" s="33"/>
    </row>
    <row r="311" ht="27.75" customHeight="1">
      <c r="A311" s="34" t="s">
        <v>764</v>
      </c>
      <c r="B311" s="35" t="s">
        <v>762</v>
      </c>
      <c r="C311" s="36" t="s">
        <v>765</v>
      </c>
      <c r="D311" s="35" t="s">
        <v>656</v>
      </c>
      <c r="E311" s="36" t="s">
        <v>30</v>
      </c>
      <c r="F311" s="35" t="s">
        <v>657</v>
      </c>
      <c r="G311" s="36"/>
      <c r="H311" s="36"/>
      <c r="I311" s="36"/>
      <c r="J311" s="35"/>
      <c r="K311" s="35"/>
      <c r="L311" s="36" t="s">
        <v>671</v>
      </c>
      <c r="M311" s="37"/>
      <c r="N311" s="37"/>
      <c r="O311" s="38"/>
      <c r="P311" s="38"/>
      <c r="Q311" s="39"/>
      <c r="R311" s="39"/>
      <c r="S311" s="40"/>
      <c r="T311" s="40"/>
      <c r="U311" s="40"/>
      <c r="V311" s="40"/>
      <c r="W311" s="40"/>
      <c r="X311" s="40"/>
      <c r="Y311" s="40"/>
      <c r="Z311" s="41"/>
    </row>
    <row r="312" ht="69.75" customHeight="1">
      <c r="A312" s="17" t="str">
        <f>HYPERLINK("http://purl.obolibrary.org/obo/OBI_0001463","http://purl.obolibrary.org/obo/OBI_0001463")</f>
        <v>http://purl.obolibrary.org/obo/OBI_0001463</v>
      </c>
      <c r="B312" s="18" t="s">
        <v>766</v>
      </c>
      <c r="C312" s="19" t="s">
        <v>767</v>
      </c>
      <c r="D312" s="18" t="s">
        <v>664</v>
      </c>
      <c r="E312" s="20" t="s">
        <v>30</v>
      </c>
      <c r="F312" s="18" t="s">
        <v>76</v>
      </c>
      <c r="G312" s="20"/>
      <c r="H312" s="18" t="s">
        <v>665</v>
      </c>
      <c r="I312" s="20" t="s">
        <v>79</v>
      </c>
      <c r="J312" s="18" t="s">
        <v>80</v>
      </c>
      <c r="K312" s="18"/>
      <c r="L312" s="20"/>
      <c r="M312" s="21" t="s">
        <v>79</v>
      </c>
      <c r="N312" s="21"/>
      <c r="O312" s="22"/>
      <c r="P312" s="22"/>
      <c r="Q312" s="23" t="s">
        <v>81</v>
      </c>
      <c r="R312" s="23"/>
      <c r="S312" s="43"/>
      <c r="T312" s="43"/>
      <c r="U312" s="43"/>
      <c r="V312" s="43"/>
      <c r="W312" s="43"/>
      <c r="X312" s="43"/>
      <c r="Y312" s="43"/>
      <c r="Z312" s="44"/>
    </row>
    <row r="313" ht="42.0" customHeight="1">
      <c r="A313" s="26" t="str">
        <f>A312</f>
        <v>http://purl.obolibrary.org/obo/OBI_0001463</v>
      </c>
      <c r="B313" s="27"/>
      <c r="C313" s="27"/>
      <c r="D313" s="27"/>
      <c r="E313" s="27"/>
      <c r="F313" s="27"/>
      <c r="G313" s="27"/>
      <c r="H313" s="52" t="s">
        <v>83</v>
      </c>
      <c r="I313" s="58" t="s">
        <v>666</v>
      </c>
      <c r="J313" s="52" t="s">
        <v>667</v>
      </c>
      <c r="K313" s="28" t="s">
        <v>86</v>
      </c>
      <c r="L313" s="49" t="s">
        <v>687</v>
      </c>
      <c r="M313" s="29"/>
      <c r="N313" s="29"/>
      <c r="O313" s="27"/>
      <c r="P313" s="30"/>
      <c r="Q313" s="31"/>
      <c r="R313" s="31" t="s">
        <v>87</v>
      </c>
      <c r="S313" s="45"/>
      <c r="T313" s="45"/>
      <c r="U313" s="45"/>
      <c r="V313" s="45"/>
      <c r="W313" s="45"/>
      <c r="X313" s="45"/>
      <c r="Y313" s="45"/>
      <c r="Z313" s="46"/>
    </row>
    <row r="314" ht="27.75" customHeight="1">
      <c r="A314" s="54" t="s">
        <v>768</v>
      </c>
      <c r="B314" s="55" t="s">
        <v>766</v>
      </c>
      <c r="C314" s="56" t="s">
        <v>769</v>
      </c>
      <c r="D314" s="55" t="s">
        <v>664</v>
      </c>
      <c r="E314" s="56" t="s">
        <v>30</v>
      </c>
      <c r="F314" s="55" t="s">
        <v>76</v>
      </c>
      <c r="G314" s="56"/>
      <c r="H314" s="55" t="s">
        <v>665</v>
      </c>
      <c r="I314" s="56" t="s">
        <v>79</v>
      </c>
      <c r="J314" s="55" t="s">
        <v>90</v>
      </c>
      <c r="K314" s="35"/>
      <c r="L314" s="36" t="s">
        <v>692</v>
      </c>
      <c r="M314" s="37" t="s">
        <v>79</v>
      </c>
      <c r="N314" s="37"/>
      <c r="O314" s="38"/>
      <c r="P314" s="38"/>
      <c r="Q314" s="39"/>
      <c r="R314" s="39" t="s">
        <v>91</v>
      </c>
      <c r="S314" s="47"/>
      <c r="T314" s="47"/>
      <c r="U314" s="47"/>
      <c r="V314" s="47"/>
      <c r="W314" s="47"/>
      <c r="X314" s="47"/>
      <c r="Y314" s="47"/>
      <c r="Z314" s="48"/>
    </row>
    <row r="315" ht="27.75" customHeight="1">
      <c r="A315" s="17" t="str">
        <f>HYPERLINK("http://purl.obolibrary.org/obo/OBI_0001491","http://purl.obolibrary.org/obo/OBI_0001491")</f>
        <v>http://purl.obolibrary.org/obo/OBI_0001491</v>
      </c>
      <c r="B315" s="18" t="s">
        <v>770</v>
      </c>
      <c r="C315" s="19" t="s">
        <v>771</v>
      </c>
      <c r="D315" s="18" t="s">
        <v>772</v>
      </c>
      <c r="E315" s="20" t="s">
        <v>30</v>
      </c>
      <c r="F315" s="18" t="s">
        <v>46</v>
      </c>
      <c r="G315" s="20" t="s">
        <v>773</v>
      </c>
      <c r="H315" s="18"/>
      <c r="I315" s="20"/>
      <c r="J315" s="18"/>
      <c r="K315" s="18"/>
      <c r="L315" s="20"/>
      <c r="M315" s="21" t="s">
        <v>773</v>
      </c>
      <c r="N315" s="21"/>
      <c r="O315" s="22"/>
      <c r="P315" s="22"/>
      <c r="Q315" s="23"/>
      <c r="R315" s="23"/>
      <c r="S315" s="43"/>
      <c r="T315" s="43"/>
      <c r="U315" s="43"/>
      <c r="V315" s="43"/>
      <c r="W315" s="43"/>
      <c r="X315" s="43"/>
      <c r="Y315" s="43"/>
      <c r="Z315" s="44"/>
    </row>
    <row r="316" ht="27.75" customHeight="1">
      <c r="A316" s="26" t="str">
        <f>A315</f>
        <v>http://purl.obolibrary.org/obo/OBI_0001491</v>
      </c>
      <c r="B316" s="27"/>
      <c r="C316" s="42" t="s">
        <v>774</v>
      </c>
      <c r="D316" s="27"/>
      <c r="E316" s="27"/>
      <c r="F316" s="27"/>
      <c r="G316" s="27"/>
      <c r="H316" s="28"/>
      <c r="I316" s="27"/>
      <c r="J316" s="28"/>
      <c r="K316" s="28"/>
      <c r="L316" s="27"/>
      <c r="M316" s="29" t="s">
        <v>775</v>
      </c>
      <c r="N316" s="29"/>
      <c r="O316" s="27"/>
      <c r="P316" s="30"/>
      <c r="Q316" s="31"/>
      <c r="R316" s="31"/>
      <c r="S316" s="45"/>
      <c r="T316" s="45"/>
      <c r="U316" s="45"/>
      <c r="V316" s="45"/>
      <c r="W316" s="45"/>
      <c r="X316" s="45"/>
      <c r="Y316" s="45"/>
      <c r="Z316" s="46"/>
    </row>
    <row r="317" ht="42.0" customHeight="1">
      <c r="A317" s="34" t="s">
        <v>776</v>
      </c>
      <c r="B317" s="35" t="s">
        <v>770</v>
      </c>
      <c r="C317" s="36" t="s">
        <v>777</v>
      </c>
      <c r="D317" s="35" t="s">
        <v>772</v>
      </c>
      <c r="E317" s="36" t="s">
        <v>30</v>
      </c>
      <c r="F317" s="35" t="s">
        <v>46</v>
      </c>
      <c r="G317" s="36" t="s">
        <v>778</v>
      </c>
      <c r="H317" s="36"/>
      <c r="I317" s="36"/>
      <c r="J317" s="35"/>
      <c r="K317" s="35"/>
      <c r="L317" s="36"/>
      <c r="M317" s="37" t="s">
        <v>778</v>
      </c>
      <c r="N317" s="37"/>
      <c r="O317" s="38"/>
      <c r="P317" s="38"/>
      <c r="Q317" s="39"/>
      <c r="R317" s="39"/>
      <c r="S317" s="47"/>
      <c r="T317" s="47"/>
      <c r="U317" s="47"/>
      <c r="V317" s="47"/>
      <c r="W317" s="47"/>
      <c r="X317" s="47"/>
      <c r="Y317" s="47"/>
      <c r="Z317" s="48"/>
    </row>
    <row r="318" ht="13.5" customHeight="1">
      <c r="A318" s="17" t="str">
        <f>HYPERLINK("http://purl.obolibrary.org/obo/OBI_0001499","http://purl.obolibrary.org/obo/OBI_0001499")</f>
        <v>http://purl.obolibrary.org/obo/OBI_0001499</v>
      </c>
      <c r="B318" s="18" t="s">
        <v>779</v>
      </c>
      <c r="C318" s="19" t="s">
        <v>780</v>
      </c>
      <c r="D318" s="18" t="s">
        <v>772</v>
      </c>
      <c r="E318" s="20" t="s">
        <v>30</v>
      </c>
      <c r="F318" s="18" t="s">
        <v>46</v>
      </c>
      <c r="G318" s="20" t="s">
        <v>781</v>
      </c>
      <c r="H318" s="18"/>
      <c r="I318" s="20"/>
      <c r="J318" s="18"/>
      <c r="K318" s="18"/>
      <c r="L318" s="20"/>
      <c r="M318" s="21" t="s">
        <v>781</v>
      </c>
      <c r="N318" s="21"/>
      <c r="O318" s="22"/>
      <c r="P318" s="22"/>
      <c r="Q318" s="23"/>
      <c r="R318" s="23"/>
      <c r="S318" s="24"/>
      <c r="T318" s="24"/>
      <c r="U318" s="24"/>
      <c r="V318" s="24"/>
      <c r="W318" s="24"/>
      <c r="X318" s="24"/>
      <c r="Y318" s="24"/>
      <c r="Z318" s="25"/>
    </row>
    <row r="319" ht="42.0" customHeight="1">
      <c r="A319" s="26" t="str">
        <f>A318</f>
        <v>http://purl.obolibrary.org/obo/OBI_0001499</v>
      </c>
      <c r="B319" s="27"/>
      <c r="C319" s="27"/>
      <c r="D319" s="27"/>
      <c r="E319" s="27"/>
      <c r="F319" s="27"/>
      <c r="G319" s="27"/>
      <c r="H319" s="28"/>
      <c r="I319" s="27"/>
      <c r="J319" s="28"/>
      <c r="K319" s="28"/>
      <c r="L319" s="27"/>
      <c r="M319" s="29" t="s">
        <v>775</v>
      </c>
      <c r="N319" s="29"/>
      <c r="O319" s="27"/>
      <c r="P319" s="30"/>
      <c r="Q319" s="31"/>
      <c r="R319" s="31"/>
      <c r="S319" s="32"/>
      <c r="T319" s="32"/>
      <c r="U319" s="32"/>
      <c r="V319" s="32"/>
      <c r="W319" s="32"/>
      <c r="X319" s="32"/>
      <c r="Y319" s="32"/>
      <c r="Z319" s="33"/>
    </row>
    <row r="320" ht="27.75" customHeight="1">
      <c r="A320" s="34" t="s">
        <v>782</v>
      </c>
      <c r="B320" s="35" t="s">
        <v>779</v>
      </c>
      <c r="C320" s="36" t="s">
        <v>783</v>
      </c>
      <c r="D320" s="35" t="s">
        <v>772</v>
      </c>
      <c r="E320" s="36" t="s">
        <v>30</v>
      </c>
      <c r="F320" s="35" t="s">
        <v>46</v>
      </c>
      <c r="G320" s="36" t="s">
        <v>784</v>
      </c>
      <c r="H320" s="36"/>
      <c r="I320" s="36"/>
      <c r="J320" s="35"/>
      <c r="K320" s="35"/>
      <c r="L320" s="36"/>
      <c r="M320" s="37" t="s">
        <v>784</v>
      </c>
      <c r="N320" s="37"/>
      <c r="O320" s="38"/>
      <c r="P320" s="38"/>
      <c r="Q320" s="39"/>
      <c r="R320" s="39"/>
      <c r="S320" s="47"/>
      <c r="T320" s="47"/>
      <c r="U320" s="47"/>
      <c r="V320" s="47"/>
      <c r="W320" s="47"/>
      <c r="X320" s="47"/>
      <c r="Y320" s="47"/>
      <c r="Z320" s="48"/>
    </row>
    <row r="321" ht="13.5" customHeight="1">
      <c r="A321" s="17" t="str">
        <f>HYPERLINK("http://purl.obolibrary.org/obo/OBI_0001591","http://purl.obolibrary.org/obo/OBI_0001591")</f>
        <v>http://purl.obolibrary.org/obo/OBI_0001591</v>
      </c>
      <c r="B321" s="18" t="s">
        <v>785</v>
      </c>
      <c r="C321" s="19" t="s">
        <v>786</v>
      </c>
      <c r="D321" s="18" t="s">
        <v>772</v>
      </c>
      <c r="E321" s="20" t="s">
        <v>30</v>
      </c>
      <c r="F321" s="18" t="s">
        <v>46</v>
      </c>
      <c r="G321" s="20"/>
      <c r="H321" s="18"/>
      <c r="I321" s="20"/>
      <c r="J321" s="18"/>
      <c r="K321" s="18"/>
      <c r="L321" s="20"/>
      <c r="M321" s="21"/>
      <c r="N321" s="21"/>
      <c r="O321" s="22"/>
      <c r="P321" s="22"/>
      <c r="Q321" s="23"/>
      <c r="R321" s="23"/>
      <c r="S321" s="24"/>
      <c r="T321" s="24"/>
      <c r="U321" s="24"/>
      <c r="V321" s="24"/>
      <c r="W321" s="24"/>
      <c r="X321" s="24"/>
      <c r="Y321" s="24"/>
      <c r="Z321" s="25"/>
    </row>
    <row r="322" ht="69.75" customHeight="1">
      <c r="A322" s="26" t="str">
        <f>A321</f>
        <v>http://purl.obolibrary.org/obo/OBI_0001591</v>
      </c>
      <c r="B322" s="27"/>
      <c r="C322" s="27"/>
      <c r="D322" s="27"/>
      <c r="E322" s="27"/>
      <c r="F322" s="27"/>
      <c r="G322" s="27"/>
      <c r="H322" s="28"/>
      <c r="I322" s="27"/>
      <c r="J322" s="28"/>
      <c r="K322" s="28"/>
      <c r="L322" s="27"/>
      <c r="M322" s="29"/>
      <c r="N322" s="29"/>
      <c r="O322" s="27"/>
      <c r="P322" s="30"/>
      <c r="Q322" s="31"/>
      <c r="R322" s="31"/>
      <c r="S322" s="32"/>
      <c r="T322" s="32"/>
      <c r="U322" s="32"/>
      <c r="V322" s="32"/>
      <c r="W322" s="32"/>
      <c r="X322" s="32"/>
      <c r="Y322" s="32"/>
      <c r="Z322" s="33"/>
    </row>
    <row r="323" ht="13.5" customHeight="1">
      <c r="A323" s="34" t="s">
        <v>787</v>
      </c>
      <c r="B323" s="35" t="s">
        <v>785</v>
      </c>
      <c r="C323" s="36" t="s">
        <v>788</v>
      </c>
      <c r="D323" s="35" t="s">
        <v>772</v>
      </c>
      <c r="E323" s="36" t="s">
        <v>30</v>
      </c>
      <c r="F323" s="35" t="s">
        <v>46</v>
      </c>
      <c r="G323" s="36"/>
      <c r="H323" s="36"/>
      <c r="I323" s="36"/>
      <c r="J323" s="35"/>
      <c r="K323" s="35"/>
      <c r="L323" s="36"/>
      <c r="M323" s="37"/>
      <c r="N323" s="37"/>
      <c r="O323" s="38"/>
      <c r="P323" s="38"/>
      <c r="Q323" s="39"/>
      <c r="R323" s="39"/>
      <c r="S323" s="40"/>
      <c r="T323" s="40"/>
      <c r="U323" s="40"/>
      <c r="V323" s="40"/>
      <c r="W323" s="40"/>
      <c r="X323" s="40"/>
      <c r="Y323" s="40"/>
      <c r="Z323" s="41"/>
    </row>
    <row r="324" ht="27.75" customHeight="1">
      <c r="A324" s="17" t="str">
        <f>HYPERLINK("http://purl.obolibrary.org/obo/OBI_0001624","http://purl.obolibrary.org/obo/OBI_0001624")</f>
        <v>http://purl.obolibrary.org/obo/OBI_0001624</v>
      </c>
      <c r="B324" s="18" t="s">
        <v>789</v>
      </c>
      <c r="C324" s="20" t="s">
        <v>790</v>
      </c>
      <c r="D324" s="18" t="s">
        <v>791</v>
      </c>
      <c r="E324" s="20" t="s">
        <v>30</v>
      </c>
      <c r="F324" s="18" t="s">
        <v>19</v>
      </c>
      <c r="G324" s="20" t="s">
        <v>792</v>
      </c>
      <c r="H324" s="18" t="s">
        <v>792</v>
      </c>
      <c r="I324" s="20" t="s">
        <v>793</v>
      </c>
      <c r="J324" s="18" t="s">
        <v>793</v>
      </c>
      <c r="K324" s="18"/>
      <c r="L324" s="20"/>
      <c r="M324" s="21" t="s">
        <v>793</v>
      </c>
      <c r="N324" s="21"/>
      <c r="O324" s="22"/>
      <c r="P324" s="22"/>
      <c r="Q324" s="23"/>
      <c r="R324" s="23"/>
      <c r="S324" s="24"/>
      <c r="T324" s="24"/>
      <c r="U324" s="24"/>
      <c r="V324" s="24"/>
      <c r="W324" s="24"/>
      <c r="X324" s="24"/>
      <c r="Y324" s="24"/>
      <c r="Z324" s="25"/>
    </row>
    <row r="325" ht="84.0" customHeight="1">
      <c r="A325" s="26" t="str">
        <f>A324</f>
        <v>http://purl.obolibrary.org/obo/OBI_0001624</v>
      </c>
      <c r="B325" s="27"/>
      <c r="C325" s="27"/>
      <c r="D325" s="27"/>
      <c r="E325" s="27"/>
      <c r="F325" s="27"/>
      <c r="G325" s="27"/>
      <c r="H325" s="28" t="s">
        <v>794</v>
      </c>
      <c r="I325" s="49" t="s">
        <v>795</v>
      </c>
      <c r="J325" s="28" t="s">
        <v>796</v>
      </c>
      <c r="K325" s="28" t="s">
        <v>245</v>
      </c>
      <c r="L325" s="27"/>
      <c r="M325" s="29" t="s">
        <v>245</v>
      </c>
      <c r="N325" s="29"/>
      <c r="O325" s="27"/>
      <c r="P325" s="30"/>
      <c r="Q325" s="31"/>
      <c r="R325" s="31"/>
      <c r="S325" s="32"/>
      <c r="T325" s="32"/>
      <c r="U325" s="32"/>
      <c r="V325" s="32"/>
      <c r="W325" s="32"/>
      <c r="X325" s="32"/>
      <c r="Y325" s="32"/>
      <c r="Z325" s="33"/>
    </row>
    <row r="326" ht="27.75" customHeight="1">
      <c r="A326" s="34" t="s">
        <v>797</v>
      </c>
      <c r="B326" s="35" t="s">
        <v>789</v>
      </c>
      <c r="C326" s="36" t="s">
        <v>790</v>
      </c>
      <c r="D326" s="35" t="s">
        <v>791</v>
      </c>
      <c r="E326" s="36" t="s">
        <v>30</v>
      </c>
      <c r="F326" s="35" t="s">
        <v>19</v>
      </c>
      <c r="G326" s="36" t="s">
        <v>792</v>
      </c>
      <c r="H326" s="35" t="s">
        <v>792</v>
      </c>
      <c r="I326" s="36" t="s">
        <v>793</v>
      </c>
      <c r="J326" s="35" t="s">
        <v>793</v>
      </c>
      <c r="K326" s="35"/>
      <c r="L326" s="36"/>
      <c r="M326" s="37" t="s">
        <v>793</v>
      </c>
      <c r="N326" s="37"/>
      <c r="O326" s="38"/>
      <c r="P326" s="38"/>
      <c r="Q326" s="39"/>
      <c r="R326" s="39"/>
      <c r="S326" s="40"/>
      <c r="T326" s="40"/>
      <c r="U326" s="40"/>
      <c r="V326" s="40"/>
      <c r="W326" s="40"/>
      <c r="X326" s="40"/>
      <c r="Y326" s="40"/>
      <c r="Z326" s="41"/>
    </row>
    <row r="327" ht="237.75" customHeight="1">
      <c r="A327" s="17" t="str">
        <f>HYPERLINK("http://purl.obolibrary.org/obo/OBI_0001668","http://purl.obolibrary.org/obo/OBI_0001668")</f>
        <v>http://purl.obolibrary.org/obo/OBI_0001668</v>
      </c>
      <c r="B327" s="18" t="s">
        <v>798</v>
      </c>
      <c r="C327" s="19" t="s">
        <v>799</v>
      </c>
      <c r="D327" s="18" t="s">
        <v>800</v>
      </c>
      <c r="E327" s="20" t="s">
        <v>30</v>
      </c>
      <c r="F327" s="18" t="s">
        <v>46</v>
      </c>
      <c r="G327" s="20"/>
      <c r="H327" s="18" t="s">
        <v>801</v>
      </c>
      <c r="I327" s="20" t="s">
        <v>801</v>
      </c>
      <c r="J327" s="18" t="s">
        <v>801</v>
      </c>
      <c r="K327" s="18"/>
      <c r="L327" s="20"/>
      <c r="M327" s="21"/>
      <c r="N327" s="21"/>
      <c r="O327" s="22"/>
      <c r="P327" s="22"/>
      <c r="Q327" s="23"/>
      <c r="R327" s="23"/>
      <c r="S327" s="43"/>
      <c r="T327" s="43"/>
      <c r="U327" s="43"/>
      <c r="V327" s="43"/>
      <c r="W327" s="43"/>
      <c r="X327" s="43"/>
      <c r="Y327" s="43"/>
      <c r="Z327" s="44"/>
    </row>
    <row r="328" ht="13.5" customHeight="1">
      <c r="A328" s="26" t="str">
        <f>A327</f>
        <v>http://purl.obolibrary.org/obo/OBI_0001668</v>
      </c>
      <c r="B328" s="27"/>
      <c r="C328" s="42" t="s">
        <v>802</v>
      </c>
      <c r="D328" s="27"/>
      <c r="E328" s="27"/>
      <c r="F328" s="27"/>
      <c r="G328" s="27"/>
      <c r="H328" s="28" t="s">
        <v>683</v>
      </c>
      <c r="I328" s="49" t="s">
        <v>803</v>
      </c>
      <c r="J328" s="28" t="s">
        <v>804</v>
      </c>
      <c r="K328" s="28" t="s">
        <v>805</v>
      </c>
      <c r="L328" s="27"/>
      <c r="M328" s="29"/>
      <c r="N328" s="29"/>
      <c r="O328" s="27"/>
      <c r="P328" s="30"/>
      <c r="Q328" s="31"/>
      <c r="R328" s="31"/>
      <c r="S328" s="32"/>
      <c r="T328" s="32"/>
      <c r="U328" s="32"/>
      <c r="V328" s="32"/>
      <c r="W328" s="32"/>
      <c r="X328" s="32"/>
      <c r="Y328" s="32"/>
      <c r="Z328" s="33"/>
    </row>
    <row r="329" ht="27.75" customHeight="1">
      <c r="A329" s="34" t="s">
        <v>806</v>
      </c>
      <c r="B329" s="35" t="s">
        <v>807</v>
      </c>
      <c r="C329" s="36" t="s">
        <v>808</v>
      </c>
      <c r="D329" s="35" t="s">
        <v>800</v>
      </c>
      <c r="E329" s="36" t="s">
        <v>30</v>
      </c>
      <c r="F329" s="35" t="s">
        <v>46</v>
      </c>
      <c r="G329" s="36"/>
      <c r="H329" s="35" t="s">
        <v>809</v>
      </c>
      <c r="I329" s="36" t="s">
        <v>809</v>
      </c>
      <c r="J329" s="35" t="s">
        <v>809</v>
      </c>
      <c r="K329" s="35"/>
      <c r="L329" s="36"/>
      <c r="M329" s="37"/>
      <c r="N329" s="37"/>
      <c r="O329" s="38"/>
      <c r="P329" s="38"/>
      <c r="Q329" s="39"/>
      <c r="R329" s="39"/>
      <c r="S329" s="47"/>
      <c r="T329" s="47"/>
      <c r="U329" s="47"/>
      <c r="V329" s="47"/>
      <c r="W329" s="47"/>
      <c r="X329" s="47"/>
      <c r="Y329" s="47"/>
      <c r="Z329" s="48"/>
    </row>
    <row r="330" ht="13.5" customHeight="1">
      <c r="A330" s="17" t="str">
        <f>HYPERLINK("http://purl.obolibrary.org/obo/OBI_0001669","http://purl.obolibrary.org/obo/OBI_0001669")</f>
        <v>http://purl.obolibrary.org/obo/OBI_0001669</v>
      </c>
      <c r="B330" s="18" t="s">
        <v>810</v>
      </c>
      <c r="C330" s="19" t="s">
        <v>811</v>
      </c>
      <c r="D330" s="18" t="s">
        <v>800</v>
      </c>
      <c r="E330" s="20" t="s">
        <v>30</v>
      </c>
      <c r="F330" s="18" t="s">
        <v>46</v>
      </c>
      <c r="G330" s="20" t="s">
        <v>812</v>
      </c>
      <c r="H330" s="18" t="s">
        <v>812</v>
      </c>
      <c r="I330" s="20" t="s">
        <v>812</v>
      </c>
      <c r="J330" s="18" t="s">
        <v>812</v>
      </c>
      <c r="K330" s="18"/>
      <c r="L330" s="20"/>
      <c r="M330" s="21"/>
      <c r="N330" s="21"/>
      <c r="O330" s="22"/>
      <c r="P330" s="22"/>
      <c r="Q330" s="23"/>
      <c r="R330" s="23"/>
      <c r="S330" s="43"/>
      <c r="T330" s="43"/>
      <c r="U330" s="43"/>
      <c r="V330" s="43"/>
      <c r="W330" s="43"/>
      <c r="X330" s="43"/>
      <c r="Y330" s="43"/>
      <c r="Z330" s="44"/>
    </row>
    <row r="331" ht="27.75" customHeight="1">
      <c r="A331" s="26" t="str">
        <f>A330</f>
        <v>http://purl.obolibrary.org/obo/OBI_0001669</v>
      </c>
      <c r="B331" s="27"/>
      <c r="C331" s="27"/>
      <c r="D331" s="27"/>
      <c r="E331" s="27"/>
      <c r="F331" s="27"/>
      <c r="G331" s="27"/>
      <c r="H331" s="28" t="s">
        <v>31</v>
      </c>
      <c r="I331" s="49" t="s">
        <v>813</v>
      </c>
      <c r="J331" s="28" t="s">
        <v>804</v>
      </c>
      <c r="K331" s="28" t="s">
        <v>805</v>
      </c>
      <c r="L331" s="27"/>
      <c r="M331" s="29"/>
      <c r="N331" s="29"/>
      <c r="O331" s="27"/>
      <c r="P331" s="30"/>
      <c r="Q331" s="31"/>
      <c r="R331" s="31"/>
      <c r="S331" s="32"/>
      <c r="T331" s="32"/>
      <c r="U331" s="32"/>
      <c r="V331" s="32"/>
      <c r="W331" s="32"/>
      <c r="X331" s="32"/>
      <c r="Y331" s="32"/>
      <c r="Z331" s="33"/>
    </row>
    <row r="332" ht="13.5" customHeight="1">
      <c r="A332" s="34" t="s">
        <v>814</v>
      </c>
      <c r="B332" s="35" t="s">
        <v>810</v>
      </c>
      <c r="C332" s="36" t="s">
        <v>815</v>
      </c>
      <c r="D332" s="35" t="s">
        <v>800</v>
      </c>
      <c r="E332" s="36" t="s">
        <v>30</v>
      </c>
      <c r="F332" s="35" t="s">
        <v>46</v>
      </c>
      <c r="G332" s="36" t="s">
        <v>812</v>
      </c>
      <c r="H332" s="35" t="s">
        <v>812</v>
      </c>
      <c r="I332" s="36" t="s">
        <v>812</v>
      </c>
      <c r="J332" s="35" t="s">
        <v>812</v>
      </c>
      <c r="K332" s="35"/>
      <c r="L332" s="36"/>
      <c r="M332" s="37"/>
      <c r="N332" s="37"/>
      <c r="O332" s="38"/>
      <c r="P332" s="38"/>
      <c r="Q332" s="39"/>
      <c r="R332" s="39"/>
      <c r="S332" s="47"/>
      <c r="T332" s="47"/>
      <c r="U332" s="47"/>
      <c r="V332" s="47"/>
      <c r="W332" s="47"/>
      <c r="X332" s="47"/>
      <c r="Y332" s="47"/>
      <c r="Z332" s="48"/>
    </row>
    <row r="333" ht="42.0" customHeight="1">
      <c r="A333" s="17" t="str">
        <f>HYPERLINK("http://purl.obolibrary.org/obo/OBI_0001670","http://purl.obolibrary.org/obo/OBI_0001670")</f>
        <v>http://purl.obolibrary.org/obo/OBI_0001670</v>
      </c>
      <c r="B333" s="18" t="s">
        <v>816</v>
      </c>
      <c r="C333" s="19" t="s">
        <v>817</v>
      </c>
      <c r="D333" s="18" t="s">
        <v>800</v>
      </c>
      <c r="E333" s="20" t="s">
        <v>30</v>
      </c>
      <c r="F333" s="18" t="s">
        <v>19</v>
      </c>
      <c r="G333" s="20"/>
      <c r="H333" s="18" t="s">
        <v>818</v>
      </c>
      <c r="I333" s="20" t="s">
        <v>818</v>
      </c>
      <c r="J333" s="18" t="s">
        <v>818</v>
      </c>
      <c r="K333" s="18"/>
      <c r="L333" s="20"/>
      <c r="M333" s="21"/>
      <c r="N333" s="21"/>
      <c r="O333" s="22"/>
      <c r="P333" s="22"/>
      <c r="Q333" s="23"/>
      <c r="R333" s="23"/>
      <c r="S333" s="43"/>
      <c r="T333" s="43"/>
      <c r="U333" s="43"/>
      <c r="V333" s="43"/>
      <c r="W333" s="43"/>
      <c r="X333" s="43"/>
      <c r="Y333" s="43"/>
      <c r="Z333" s="44"/>
    </row>
    <row r="334" ht="13.5" customHeight="1">
      <c r="A334" s="26" t="str">
        <f>A333</f>
        <v>http://purl.obolibrary.org/obo/OBI_0001670</v>
      </c>
      <c r="B334" s="27"/>
      <c r="C334" s="27"/>
      <c r="D334" s="27"/>
      <c r="E334" s="27"/>
      <c r="F334" s="27"/>
      <c r="G334" s="27"/>
      <c r="H334" s="28" t="s">
        <v>31</v>
      </c>
      <c r="I334" s="49" t="s">
        <v>819</v>
      </c>
      <c r="J334" s="28" t="s">
        <v>820</v>
      </c>
      <c r="K334" s="28" t="s">
        <v>86</v>
      </c>
      <c r="L334" s="27"/>
      <c r="M334" s="29"/>
      <c r="N334" s="29"/>
      <c r="O334" s="27"/>
      <c r="P334" s="30"/>
      <c r="Q334" s="31"/>
      <c r="R334" s="31"/>
      <c r="S334" s="32"/>
      <c r="T334" s="32"/>
      <c r="U334" s="32"/>
      <c r="V334" s="32"/>
      <c r="W334" s="32"/>
      <c r="X334" s="32"/>
      <c r="Y334" s="32"/>
      <c r="Z334" s="33"/>
    </row>
    <row r="335" ht="42.0" customHeight="1">
      <c r="A335" s="34" t="s">
        <v>821</v>
      </c>
      <c r="B335" s="35" t="s">
        <v>816</v>
      </c>
      <c r="C335" s="36" t="s">
        <v>822</v>
      </c>
      <c r="D335" s="35" t="s">
        <v>800</v>
      </c>
      <c r="E335" s="36" t="s">
        <v>30</v>
      </c>
      <c r="F335" s="35" t="s">
        <v>19</v>
      </c>
      <c r="G335" s="36"/>
      <c r="H335" s="35" t="s">
        <v>818</v>
      </c>
      <c r="I335" s="36" t="s">
        <v>818</v>
      </c>
      <c r="J335" s="35" t="s">
        <v>818</v>
      </c>
      <c r="K335" s="35"/>
      <c r="L335" s="36"/>
      <c r="M335" s="37"/>
      <c r="N335" s="37"/>
      <c r="O335" s="38"/>
      <c r="P335" s="38"/>
      <c r="Q335" s="39"/>
      <c r="R335" s="39"/>
      <c r="S335" s="47"/>
      <c r="T335" s="47"/>
      <c r="U335" s="47"/>
      <c r="V335" s="47"/>
      <c r="W335" s="47"/>
      <c r="X335" s="47"/>
      <c r="Y335" s="47"/>
      <c r="Z335" s="48"/>
    </row>
    <row r="336" ht="13.5" customHeight="1">
      <c r="A336" s="17" t="str">
        <f>HYPERLINK("http://purl.obolibrary.org/obo/OBI_0001671","http://purl.obolibrary.org/obo/OBI_0001671")</f>
        <v>http://purl.obolibrary.org/obo/OBI_0001671</v>
      </c>
      <c r="B336" s="18" t="s">
        <v>823</v>
      </c>
      <c r="C336" s="20" t="s">
        <v>824</v>
      </c>
      <c r="D336" s="18" t="s">
        <v>800</v>
      </c>
      <c r="E336" s="20" t="s">
        <v>30</v>
      </c>
      <c r="F336" s="18" t="s">
        <v>46</v>
      </c>
      <c r="G336" s="20" t="s">
        <v>825</v>
      </c>
      <c r="H336" s="18" t="s">
        <v>825</v>
      </c>
      <c r="I336" s="20" t="s">
        <v>825</v>
      </c>
      <c r="J336" s="18" t="s">
        <v>825</v>
      </c>
      <c r="K336" s="18"/>
      <c r="L336" s="20"/>
      <c r="M336" s="21"/>
      <c r="N336" s="21"/>
      <c r="O336" s="22"/>
      <c r="P336" s="22"/>
      <c r="Q336" s="23"/>
      <c r="R336" s="23"/>
      <c r="S336" s="43"/>
      <c r="T336" s="43"/>
      <c r="U336" s="43"/>
      <c r="V336" s="43"/>
      <c r="W336" s="43"/>
      <c r="X336" s="43"/>
      <c r="Y336" s="43"/>
      <c r="Z336" s="44"/>
    </row>
    <row r="337" ht="294.0" customHeight="1">
      <c r="A337" s="26" t="str">
        <f>A336</f>
        <v>http://purl.obolibrary.org/obo/OBI_0001671</v>
      </c>
      <c r="B337" s="27"/>
      <c r="C337" s="42" t="s">
        <v>826</v>
      </c>
      <c r="D337" s="27"/>
      <c r="E337" s="27"/>
      <c r="F337" s="27"/>
      <c r="G337" s="27"/>
      <c r="H337" s="28" t="s">
        <v>31</v>
      </c>
      <c r="I337" s="49" t="s">
        <v>819</v>
      </c>
      <c r="J337" s="28" t="s">
        <v>827</v>
      </c>
      <c r="K337" s="28" t="s">
        <v>828</v>
      </c>
      <c r="L337" s="27"/>
      <c r="M337" s="29"/>
      <c r="N337" s="29"/>
      <c r="O337" s="27"/>
      <c r="P337" s="30"/>
      <c r="Q337" s="31"/>
      <c r="R337" s="31"/>
      <c r="S337" s="32"/>
      <c r="T337" s="32"/>
      <c r="U337" s="32"/>
      <c r="V337" s="32"/>
      <c r="W337" s="32"/>
      <c r="X337" s="32"/>
      <c r="Y337" s="32"/>
      <c r="Z337" s="33"/>
    </row>
    <row r="338" ht="13.5" customHeight="1">
      <c r="A338" s="34" t="s">
        <v>829</v>
      </c>
      <c r="B338" s="35" t="s">
        <v>830</v>
      </c>
      <c r="C338" s="36" t="s">
        <v>831</v>
      </c>
      <c r="D338" s="35" t="s">
        <v>800</v>
      </c>
      <c r="E338" s="36" t="s">
        <v>30</v>
      </c>
      <c r="F338" s="35" t="s">
        <v>46</v>
      </c>
      <c r="G338" s="36" t="s">
        <v>825</v>
      </c>
      <c r="H338" s="35" t="s">
        <v>825</v>
      </c>
      <c r="I338" s="36" t="s">
        <v>825</v>
      </c>
      <c r="J338" s="35" t="s">
        <v>825</v>
      </c>
      <c r="K338" s="35"/>
      <c r="L338" s="36"/>
      <c r="M338" s="37"/>
      <c r="N338" s="37"/>
      <c r="O338" s="38"/>
      <c r="P338" s="38"/>
      <c r="Q338" s="39"/>
      <c r="R338" s="39"/>
      <c r="S338" s="40"/>
      <c r="T338" s="40"/>
      <c r="U338" s="40"/>
      <c r="V338" s="40"/>
      <c r="W338" s="40"/>
      <c r="X338" s="40"/>
      <c r="Y338" s="40"/>
      <c r="Z338" s="41"/>
    </row>
    <row r="339" ht="42.0" customHeight="1">
      <c r="A339" s="17" t="str">
        <f>HYPERLINK("http://purl.obolibrary.org/obo/OBI_0001672","http://purl.obolibrary.org/obo/OBI_0001672")</f>
        <v>http://purl.obolibrary.org/obo/OBI_0001672</v>
      </c>
      <c r="B339" s="18" t="s">
        <v>832</v>
      </c>
      <c r="C339" s="19" t="s">
        <v>833</v>
      </c>
      <c r="D339" s="18" t="s">
        <v>800</v>
      </c>
      <c r="E339" s="20" t="s">
        <v>30</v>
      </c>
      <c r="F339" s="18" t="s">
        <v>19</v>
      </c>
      <c r="G339" s="20" t="s">
        <v>834</v>
      </c>
      <c r="H339" s="18" t="s">
        <v>834</v>
      </c>
      <c r="I339" s="20" t="s">
        <v>834</v>
      </c>
      <c r="J339" s="18" t="s">
        <v>834</v>
      </c>
      <c r="K339" s="18"/>
      <c r="L339" s="20"/>
      <c r="M339" s="21"/>
      <c r="N339" s="21"/>
      <c r="O339" s="22"/>
      <c r="P339" s="22"/>
      <c r="Q339" s="23"/>
      <c r="R339" s="23"/>
      <c r="S339" s="43"/>
      <c r="T339" s="43"/>
      <c r="U339" s="43"/>
      <c r="V339" s="43"/>
      <c r="W339" s="43"/>
      <c r="X339" s="43"/>
      <c r="Y339" s="43"/>
      <c r="Z339" s="44"/>
    </row>
    <row r="340" ht="12.75" customHeight="1">
      <c r="A340" s="26" t="str">
        <f>A339</f>
        <v>http://purl.obolibrary.org/obo/OBI_0001672</v>
      </c>
      <c r="B340" s="27"/>
      <c r="C340" s="27"/>
      <c r="D340" s="27"/>
      <c r="E340" s="27"/>
      <c r="F340" s="27"/>
      <c r="G340" s="27"/>
      <c r="H340" s="28" t="s">
        <v>31</v>
      </c>
      <c r="I340" s="49" t="s">
        <v>835</v>
      </c>
      <c r="J340" s="28" t="s">
        <v>836</v>
      </c>
      <c r="K340" s="28" t="s">
        <v>837</v>
      </c>
      <c r="L340" s="27"/>
      <c r="M340" s="29"/>
      <c r="N340" s="29"/>
      <c r="O340" s="27"/>
      <c r="P340" s="30"/>
      <c r="Q340" s="31"/>
      <c r="R340" s="31"/>
      <c r="S340" s="45"/>
      <c r="T340" s="45"/>
      <c r="U340" s="45"/>
      <c r="V340" s="45"/>
      <c r="W340" s="45"/>
      <c r="X340" s="45"/>
      <c r="Y340" s="45"/>
      <c r="Z340" s="46"/>
    </row>
    <row r="341" ht="55.5" customHeight="1">
      <c r="A341" s="34" t="s">
        <v>838</v>
      </c>
      <c r="B341" s="35" t="s">
        <v>832</v>
      </c>
      <c r="C341" s="36" t="s">
        <v>839</v>
      </c>
      <c r="D341" s="35" t="s">
        <v>800</v>
      </c>
      <c r="E341" s="36" t="s">
        <v>30</v>
      </c>
      <c r="F341" s="35" t="s">
        <v>19</v>
      </c>
      <c r="G341" s="36" t="s">
        <v>834</v>
      </c>
      <c r="H341" s="35" t="s">
        <v>834</v>
      </c>
      <c r="I341" s="36" t="s">
        <v>834</v>
      </c>
      <c r="J341" s="35" t="s">
        <v>834</v>
      </c>
      <c r="K341" s="35"/>
      <c r="L341" s="36"/>
      <c r="M341" s="37"/>
      <c r="N341" s="37"/>
      <c r="O341" s="38"/>
      <c r="P341" s="38"/>
      <c r="Q341" s="39"/>
      <c r="R341" s="39"/>
      <c r="S341" s="47"/>
      <c r="T341" s="47"/>
      <c r="U341" s="47"/>
      <c r="V341" s="47"/>
      <c r="W341" s="47"/>
      <c r="X341" s="47"/>
      <c r="Y341" s="47"/>
      <c r="Z341" s="48"/>
    </row>
    <row r="342" ht="13.5" customHeight="1">
      <c r="A342" s="17" t="str">
        <f>HYPERLINK("http://purl.obolibrary.org/obo/OBI_0001673","http://purl.obolibrary.org/obo/OBI_0001673")</f>
        <v>http://purl.obolibrary.org/obo/OBI_0001673</v>
      </c>
      <c r="B342" s="18" t="s">
        <v>840</v>
      </c>
      <c r="C342" s="20" t="s">
        <v>841</v>
      </c>
      <c r="D342" s="18" t="s">
        <v>800</v>
      </c>
      <c r="E342" s="20" t="s">
        <v>30</v>
      </c>
      <c r="F342" s="18" t="s">
        <v>76</v>
      </c>
      <c r="G342" s="20"/>
      <c r="H342" s="18" t="s">
        <v>842</v>
      </c>
      <c r="I342" s="20" t="s">
        <v>842</v>
      </c>
      <c r="J342" s="18" t="s">
        <v>842</v>
      </c>
      <c r="K342" s="18"/>
      <c r="L342" s="20"/>
      <c r="M342" s="21"/>
      <c r="N342" s="21"/>
      <c r="O342" s="22"/>
      <c r="P342" s="22"/>
      <c r="Q342" s="23"/>
      <c r="R342" s="23"/>
      <c r="S342" s="24"/>
      <c r="T342" s="24"/>
      <c r="U342" s="24"/>
      <c r="V342" s="24"/>
      <c r="W342" s="24"/>
      <c r="X342" s="24"/>
      <c r="Y342" s="24"/>
      <c r="Z342" s="25"/>
    </row>
    <row r="343" ht="27.75" customHeight="1">
      <c r="A343" s="26" t="str">
        <f>A342</f>
        <v>http://purl.obolibrary.org/obo/OBI_0001673</v>
      </c>
      <c r="B343" s="27"/>
      <c r="C343" s="42" t="s">
        <v>843</v>
      </c>
      <c r="D343" s="27"/>
      <c r="E343" s="27"/>
      <c r="F343" s="27"/>
      <c r="G343" s="27"/>
      <c r="H343" s="52" t="s">
        <v>83</v>
      </c>
      <c r="I343" s="58" t="s">
        <v>819</v>
      </c>
      <c r="J343" s="52" t="s">
        <v>844</v>
      </c>
      <c r="K343" s="28" t="s">
        <v>86</v>
      </c>
      <c r="L343" s="27"/>
      <c r="M343" s="29"/>
      <c r="N343" s="29"/>
      <c r="O343" s="27"/>
      <c r="P343" s="30"/>
      <c r="Q343" s="31"/>
      <c r="R343" s="31"/>
      <c r="S343" s="32"/>
      <c r="T343" s="32"/>
      <c r="U343" s="32"/>
      <c r="V343" s="32"/>
      <c r="W343" s="32"/>
      <c r="X343" s="32"/>
      <c r="Y343" s="32"/>
      <c r="Z343" s="33"/>
    </row>
    <row r="344" ht="12.75" customHeight="1">
      <c r="A344" s="54" t="s">
        <v>845</v>
      </c>
      <c r="B344" s="55" t="s">
        <v>846</v>
      </c>
      <c r="C344" s="56" t="s">
        <v>841</v>
      </c>
      <c r="D344" s="55" t="s">
        <v>800</v>
      </c>
      <c r="E344" s="56" t="s">
        <v>30</v>
      </c>
      <c r="F344" s="55" t="s">
        <v>76</v>
      </c>
      <c r="G344" s="56"/>
      <c r="H344" s="55" t="s">
        <v>842</v>
      </c>
      <c r="I344" s="56" t="s">
        <v>842</v>
      </c>
      <c r="J344" s="55" t="s">
        <v>842</v>
      </c>
      <c r="K344" s="35"/>
      <c r="L344" s="36"/>
      <c r="M344" s="37"/>
      <c r="N344" s="37"/>
      <c r="O344" s="38"/>
      <c r="P344" s="38"/>
      <c r="Q344" s="39"/>
      <c r="R344" s="39"/>
      <c r="S344" s="40"/>
      <c r="T344" s="40"/>
      <c r="U344" s="40"/>
      <c r="V344" s="40"/>
      <c r="W344" s="40"/>
      <c r="X344" s="40"/>
      <c r="Y344" s="40"/>
      <c r="Z344" s="41"/>
    </row>
    <row r="345" ht="27.75" customHeight="1">
      <c r="A345" s="17" t="str">
        <f>HYPERLINK("http://purl.obolibrary.org/obo/OBI_0001674","http://purl.obolibrary.org/obo/OBI_0001674")</f>
        <v>http://purl.obolibrary.org/obo/OBI_0001674</v>
      </c>
      <c r="B345" s="18" t="s">
        <v>847</v>
      </c>
      <c r="C345" s="20" t="s">
        <v>848</v>
      </c>
      <c r="D345" s="18" t="s">
        <v>800</v>
      </c>
      <c r="E345" s="20" t="s">
        <v>30</v>
      </c>
      <c r="F345" s="18" t="s">
        <v>704</v>
      </c>
      <c r="G345" s="20"/>
      <c r="H345" s="18" t="s">
        <v>665</v>
      </c>
      <c r="I345" s="20" t="s">
        <v>849</v>
      </c>
      <c r="J345" s="18" t="s">
        <v>705</v>
      </c>
      <c r="K345" s="18"/>
      <c r="L345" s="20"/>
      <c r="M345" s="21" t="s">
        <v>850</v>
      </c>
      <c r="N345" s="21"/>
      <c r="O345" s="22"/>
      <c r="P345" s="22"/>
      <c r="Q345" s="23"/>
      <c r="R345" s="23"/>
      <c r="S345" s="43"/>
      <c r="T345" s="43"/>
      <c r="U345" s="43"/>
      <c r="V345" s="43"/>
      <c r="W345" s="43"/>
      <c r="X345" s="43"/>
      <c r="Y345" s="43"/>
      <c r="Z345" s="44"/>
    </row>
    <row r="346" ht="13.5" customHeight="1">
      <c r="A346" s="26" t="str">
        <f>A345</f>
        <v>http://purl.obolibrary.org/obo/OBI_0001674</v>
      </c>
      <c r="B346" s="27"/>
      <c r="C346" s="42" t="s">
        <v>851</v>
      </c>
      <c r="D346" s="27"/>
      <c r="E346" s="27"/>
      <c r="F346" s="27"/>
      <c r="G346" s="27"/>
      <c r="H346" s="52" t="s">
        <v>83</v>
      </c>
      <c r="I346" s="58" t="s">
        <v>819</v>
      </c>
      <c r="J346" s="52" t="s">
        <v>706</v>
      </c>
      <c r="K346" s="28" t="s">
        <v>86</v>
      </c>
      <c r="L346" s="49" t="s">
        <v>191</v>
      </c>
      <c r="M346" s="29" t="s">
        <v>852</v>
      </c>
      <c r="N346" s="29"/>
      <c r="O346" s="27"/>
      <c r="P346" s="30"/>
      <c r="Q346" s="31"/>
      <c r="R346" s="31"/>
      <c r="S346" s="45"/>
      <c r="T346" s="45"/>
      <c r="U346" s="45"/>
      <c r="V346" s="45"/>
      <c r="W346" s="45"/>
      <c r="X346" s="45"/>
      <c r="Y346" s="45"/>
      <c r="Z346" s="46"/>
    </row>
    <row r="347" ht="97.5" customHeight="1">
      <c r="A347" s="54" t="s">
        <v>853</v>
      </c>
      <c r="B347" s="55" t="s">
        <v>854</v>
      </c>
      <c r="C347" s="56" t="s">
        <v>855</v>
      </c>
      <c r="D347" s="55" t="s">
        <v>800</v>
      </c>
      <c r="E347" s="56" t="s">
        <v>30</v>
      </c>
      <c r="F347" s="55" t="s">
        <v>709</v>
      </c>
      <c r="G347" s="56"/>
      <c r="H347" s="55" t="s">
        <v>665</v>
      </c>
      <c r="I347" s="56" t="s">
        <v>849</v>
      </c>
      <c r="J347" s="55" t="s">
        <v>705</v>
      </c>
      <c r="K347" s="35"/>
      <c r="L347" s="36" t="s">
        <v>193</v>
      </c>
      <c r="M347" s="37" t="s">
        <v>856</v>
      </c>
      <c r="N347" s="37"/>
      <c r="O347" s="38"/>
      <c r="P347" s="38"/>
      <c r="Q347" s="39"/>
      <c r="R347" s="39"/>
      <c r="S347" s="47"/>
      <c r="T347" s="47"/>
      <c r="U347" s="47"/>
      <c r="V347" s="47"/>
      <c r="W347" s="47"/>
      <c r="X347" s="47"/>
      <c r="Y347" s="47"/>
      <c r="Z347" s="48"/>
    </row>
    <row r="348" ht="27.75" customHeight="1">
      <c r="A348" s="17" t="str">
        <f>HYPERLINK("http://purl.obolibrary.org/obo/OBI_0001679","http://purl.obolibrary.org/obo/OBI_0001679")</f>
        <v>http://purl.obolibrary.org/obo/OBI_0001679</v>
      </c>
      <c r="B348" s="18" t="s">
        <v>857</v>
      </c>
      <c r="C348" s="20" t="s">
        <v>858</v>
      </c>
      <c r="D348" s="18" t="s">
        <v>800</v>
      </c>
      <c r="E348" s="20" t="s">
        <v>30</v>
      </c>
      <c r="F348" s="18" t="s">
        <v>46</v>
      </c>
      <c r="G348" s="20"/>
      <c r="H348" s="18" t="s">
        <v>801</v>
      </c>
      <c r="I348" s="20" t="s">
        <v>801</v>
      </c>
      <c r="J348" s="18" t="s">
        <v>801</v>
      </c>
      <c r="K348" s="18"/>
      <c r="L348" s="20"/>
      <c r="M348" s="21"/>
      <c r="N348" s="21"/>
      <c r="O348" s="22"/>
      <c r="P348" s="22"/>
      <c r="Q348" s="23"/>
      <c r="R348" s="23"/>
      <c r="S348" s="24"/>
      <c r="T348" s="24"/>
      <c r="U348" s="24"/>
      <c r="V348" s="24"/>
      <c r="W348" s="24"/>
      <c r="X348" s="24"/>
      <c r="Y348" s="24"/>
      <c r="Z348" s="25"/>
    </row>
    <row r="349" ht="84.0" customHeight="1">
      <c r="A349" s="26" t="str">
        <f>A348</f>
        <v>http://purl.obolibrary.org/obo/OBI_0001679</v>
      </c>
      <c r="B349" s="27"/>
      <c r="C349" s="42" t="s">
        <v>859</v>
      </c>
      <c r="D349" s="27"/>
      <c r="E349" s="27"/>
      <c r="F349" s="27"/>
      <c r="G349" s="27"/>
      <c r="H349" s="28" t="s">
        <v>683</v>
      </c>
      <c r="I349" s="49" t="s">
        <v>803</v>
      </c>
      <c r="J349" s="28" t="s">
        <v>804</v>
      </c>
      <c r="K349" s="28" t="s">
        <v>805</v>
      </c>
      <c r="L349" s="27"/>
      <c r="M349" s="29"/>
      <c r="N349" s="29"/>
      <c r="O349" s="27"/>
      <c r="P349" s="30"/>
      <c r="Q349" s="31"/>
      <c r="R349" s="31"/>
      <c r="S349" s="32"/>
      <c r="T349" s="32"/>
      <c r="U349" s="32"/>
      <c r="V349" s="32"/>
      <c r="W349" s="32"/>
      <c r="X349" s="32"/>
      <c r="Y349" s="32"/>
      <c r="Z349" s="33"/>
    </row>
    <row r="350" ht="15.75" customHeight="1">
      <c r="A350" s="34" t="s">
        <v>860</v>
      </c>
      <c r="B350" s="35" t="s">
        <v>861</v>
      </c>
      <c r="C350" s="36" t="s">
        <v>858</v>
      </c>
      <c r="D350" s="35" t="s">
        <v>800</v>
      </c>
      <c r="E350" s="36" t="s">
        <v>30</v>
      </c>
      <c r="F350" s="35" t="s">
        <v>46</v>
      </c>
      <c r="G350" s="36"/>
      <c r="H350" s="35" t="s">
        <v>809</v>
      </c>
      <c r="I350" s="36" t="s">
        <v>809</v>
      </c>
      <c r="J350" s="35" t="s">
        <v>809</v>
      </c>
      <c r="K350" s="35"/>
      <c r="L350" s="36"/>
      <c r="M350" s="37"/>
      <c r="N350" s="37"/>
      <c r="O350" s="38"/>
      <c r="P350" s="38"/>
      <c r="Q350" s="39"/>
      <c r="R350" s="39"/>
      <c r="S350" s="66"/>
      <c r="T350" s="66"/>
      <c r="U350" s="66"/>
      <c r="V350" s="66"/>
      <c r="W350" s="66"/>
      <c r="X350" s="66"/>
      <c r="Y350" s="66"/>
      <c r="Z350" s="67"/>
    </row>
    <row r="351" ht="48.0" customHeight="1">
      <c r="A351" s="17" t="str">
        <f>HYPERLINK("http://purl.obolibrary.org/obo/OBI_0001680","http://purl.obolibrary.org/obo/OBI_0001680")</f>
        <v>http://purl.obolibrary.org/obo/OBI_0001680</v>
      </c>
      <c r="B351" s="18" t="s">
        <v>862</v>
      </c>
      <c r="C351" s="68" t="s">
        <v>863</v>
      </c>
      <c r="D351" s="18" t="s">
        <v>800</v>
      </c>
      <c r="E351" s="20" t="s">
        <v>30</v>
      </c>
      <c r="F351" s="18" t="s">
        <v>46</v>
      </c>
      <c r="G351" s="20"/>
      <c r="H351" s="18" t="s">
        <v>801</v>
      </c>
      <c r="I351" s="20" t="s">
        <v>801</v>
      </c>
      <c r="J351" s="18" t="s">
        <v>801</v>
      </c>
      <c r="K351" s="18"/>
      <c r="L351" s="20"/>
      <c r="M351" s="21"/>
      <c r="N351" s="21"/>
      <c r="O351" s="22"/>
      <c r="P351" s="22"/>
      <c r="Q351" s="23"/>
      <c r="R351" s="23"/>
      <c r="S351" s="69"/>
      <c r="T351" s="69"/>
      <c r="U351" s="69"/>
      <c r="V351" s="69"/>
      <c r="W351" s="69"/>
      <c r="X351" s="69"/>
      <c r="Y351" s="69"/>
      <c r="Z351" s="70"/>
    </row>
    <row r="352" ht="15.75" customHeight="1">
      <c r="A352" s="26" t="str">
        <f>A351</f>
        <v>http://purl.obolibrary.org/obo/OBI_0001680</v>
      </c>
      <c r="B352" s="27"/>
      <c r="C352" s="42" t="s">
        <v>864</v>
      </c>
      <c r="D352" s="27"/>
      <c r="E352" s="27"/>
      <c r="F352" s="27"/>
      <c r="G352" s="27"/>
      <c r="H352" s="28" t="s">
        <v>683</v>
      </c>
      <c r="I352" s="49" t="s">
        <v>803</v>
      </c>
      <c r="J352" s="28" t="s">
        <v>804</v>
      </c>
      <c r="K352" s="28" t="s">
        <v>805</v>
      </c>
      <c r="L352" s="27"/>
      <c r="M352" s="29"/>
      <c r="N352" s="29"/>
      <c r="O352" s="27"/>
      <c r="P352" s="30"/>
      <c r="Q352" s="31"/>
      <c r="R352" s="31"/>
      <c r="S352" s="71"/>
      <c r="T352" s="71"/>
      <c r="Z352" s="72"/>
    </row>
    <row r="353" ht="15.0" customHeight="1">
      <c r="A353" s="34" t="s">
        <v>865</v>
      </c>
      <c r="B353" s="35" t="s">
        <v>866</v>
      </c>
      <c r="C353" s="36" t="s">
        <v>867</v>
      </c>
      <c r="D353" s="35" t="s">
        <v>800</v>
      </c>
      <c r="E353" s="36" t="s">
        <v>30</v>
      </c>
      <c r="F353" s="35" t="s">
        <v>46</v>
      </c>
      <c r="G353" s="36"/>
      <c r="H353" s="35" t="s">
        <v>809</v>
      </c>
      <c r="I353" s="36" t="s">
        <v>809</v>
      </c>
      <c r="J353" s="35" t="s">
        <v>809</v>
      </c>
      <c r="K353" s="35"/>
      <c r="L353" s="36"/>
      <c r="M353" s="37"/>
      <c r="N353" s="37"/>
      <c r="O353" s="38"/>
      <c r="P353" s="38"/>
      <c r="Q353" s="39"/>
      <c r="R353" s="39"/>
      <c r="S353" s="73"/>
      <c r="T353" s="73"/>
      <c r="U353" s="73"/>
      <c r="V353" s="73"/>
      <c r="W353" s="73"/>
      <c r="X353" s="73"/>
      <c r="Y353" s="73"/>
      <c r="Z353" s="74"/>
    </row>
    <row r="354" ht="15.0" customHeight="1">
      <c r="A354" s="17" t="str">
        <f>HYPERLINK("http://purl.obolibrary.org/obo/OBI_0001681","http://purl.obolibrary.org/obo/OBI_0001681")</f>
        <v>http://purl.obolibrary.org/obo/OBI_0001681</v>
      </c>
      <c r="B354" s="18" t="s">
        <v>868</v>
      </c>
      <c r="C354" s="20" t="s">
        <v>869</v>
      </c>
      <c r="D354" s="18" t="s">
        <v>800</v>
      </c>
      <c r="E354" s="20" t="s">
        <v>30</v>
      </c>
      <c r="F354" s="18" t="s">
        <v>46</v>
      </c>
      <c r="G354" s="20" t="s">
        <v>870</v>
      </c>
      <c r="H354" s="18" t="s">
        <v>870</v>
      </c>
      <c r="I354" s="20" t="s">
        <v>870</v>
      </c>
      <c r="J354" s="18" t="s">
        <v>870</v>
      </c>
      <c r="K354" s="18"/>
      <c r="L354" s="20"/>
      <c r="M354" s="21"/>
      <c r="N354" s="21"/>
      <c r="O354" s="22"/>
      <c r="P354" s="22"/>
      <c r="Q354" s="23"/>
      <c r="R354" s="23"/>
      <c r="S354" s="75"/>
      <c r="T354" s="75"/>
      <c r="U354" s="75"/>
      <c r="V354" s="75"/>
      <c r="W354" s="75"/>
      <c r="X354" s="75"/>
      <c r="Y354" s="75"/>
      <c r="Z354" s="76"/>
    </row>
    <row r="355" ht="15.0" customHeight="1">
      <c r="A355" s="26" t="str">
        <f>A354</f>
        <v>http://purl.obolibrary.org/obo/OBI_0001681</v>
      </c>
      <c r="B355" s="27"/>
      <c r="C355" s="42" t="s">
        <v>871</v>
      </c>
      <c r="D355" s="27"/>
      <c r="E355" s="27"/>
      <c r="F355" s="27"/>
      <c r="G355" s="27"/>
      <c r="H355" s="28" t="s">
        <v>31</v>
      </c>
      <c r="I355" s="49" t="s">
        <v>803</v>
      </c>
      <c r="J355" s="28" t="s">
        <v>827</v>
      </c>
      <c r="K355" s="28" t="s">
        <v>828</v>
      </c>
      <c r="L355" s="27"/>
      <c r="M355" s="29"/>
      <c r="N355" s="29"/>
      <c r="O355" s="27"/>
      <c r="P355" s="30"/>
      <c r="Q355" s="31"/>
      <c r="R355" s="31"/>
      <c r="S355" s="77"/>
      <c r="T355" s="77"/>
      <c r="U355" s="77"/>
      <c r="V355" s="77"/>
      <c r="W355" s="77"/>
      <c r="X355" s="77"/>
      <c r="Y355" s="77"/>
      <c r="Z355" s="78"/>
    </row>
    <row r="356" ht="15.0" customHeight="1">
      <c r="A356" s="34" t="s">
        <v>872</v>
      </c>
      <c r="B356" s="35" t="s">
        <v>873</v>
      </c>
      <c r="C356" s="36" t="s">
        <v>874</v>
      </c>
      <c r="D356" s="35" t="s">
        <v>800</v>
      </c>
      <c r="E356" s="36" t="s">
        <v>30</v>
      </c>
      <c r="F356" s="35" t="s">
        <v>46</v>
      </c>
      <c r="G356" s="36" t="s">
        <v>870</v>
      </c>
      <c r="H356" s="35" t="s">
        <v>870</v>
      </c>
      <c r="I356" s="36" t="s">
        <v>870</v>
      </c>
      <c r="J356" s="35" t="s">
        <v>870</v>
      </c>
      <c r="K356" s="35"/>
      <c r="L356" s="36"/>
      <c r="M356" s="37"/>
      <c r="N356" s="37"/>
      <c r="O356" s="38"/>
      <c r="P356" s="38"/>
      <c r="Q356" s="39"/>
      <c r="R356" s="39"/>
      <c r="S356" s="73"/>
      <c r="T356" s="73"/>
      <c r="U356" s="73"/>
      <c r="V356" s="73"/>
      <c r="W356" s="73"/>
      <c r="X356" s="73"/>
      <c r="Y356" s="73"/>
      <c r="Z356" s="74"/>
    </row>
    <row r="357" ht="15.0" customHeight="1">
      <c r="A357" s="17" t="str">
        <f>HYPERLINK("http://purl.obolibrary.org/obo/OBI_0001682","http://purl.obolibrary.org/obo/OBI_0001682")</f>
        <v>http://purl.obolibrary.org/obo/OBI_0001682</v>
      </c>
      <c r="B357" s="18" t="s">
        <v>875</v>
      </c>
      <c r="C357" s="19" t="s">
        <v>876</v>
      </c>
      <c r="D357" s="18" t="s">
        <v>800</v>
      </c>
      <c r="E357" s="20" t="s">
        <v>30</v>
      </c>
      <c r="F357" s="18" t="s">
        <v>868</v>
      </c>
      <c r="G357" s="20" t="s">
        <v>877</v>
      </c>
      <c r="H357" s="18" t="s">
        <v>877</v>
      </c>
      <c r="I357" s="20" t="s">
        <v>877</v>
      </c>
      <c r="J357" s="18" t="s">
        <v>877</v>
      </c>
      <c r="K357" s="18"/>
      <c r="L357" s="20"/>
      <c r="M357" s="21"/>
      <c r="N357" s="21"/>
      <c r="O357" s="22"/>
      <c r="P357" s="22"/>
      <c r="Q357" s="23"/>
      <c r="R357" s="23"/>
      <c r="S357" s="75"/>
      <c r="T357" s="75"/>
      <c r="U357" s="75"/>
      <c r="V357" s="75"/>
      <c r="W357" s="75"/>
      <c r="X357" s="75"/>
      <c r="Y357" s="75"/>
      <c r="Z357" s="76"/>
    </row>
    <row r="358" ht="15.0" customHeight="1">
      <c r="A358" s="26" t="str">
        <f>A357</f>
        <v>http://purl.obolibrary.org/obo/OBI_0001682</v>
      </c>
      <c r="B358" s="27"/>
      <c r="C358" s="42" t="s">
        <v>878</v>
      </c>
      <c r="D358" s="27"/>
      <c r="E358" s="27"/>
      <c r="F358" s="27"/>
      <c r="G358" s="27"/>
      <c r="H358" s="52" t="s">
        <v>683</v>
      </c>
      <c r="I358" s="58" t="s">
        <v>803</v>
      </c>
      <c r="J358" s="52" t="s">
        <v>879</v>
      </c>
      <c r="K358" s="28" t="s">
        <v>880</v>
      </c>
      <c r="L358" s="27"/>
      <c r="M358" s="29"/>
      <c r="N358" s="29"/>
      <c r="O358" s="27"/>
      <c r="P358" s="30"/>
      <c r="Q358" s="31"/>
      <c r="R358" s="31"/>
      <c r="S358" s="77"/>
      <c r="T358" s="77"/>
      <c r="U358" s="77"/>
      <c r="V358" s="77"/>
      <c r="W358" s="77"/>
      <c r="X358" s="77"/>
      <c r="Y358" s="77"/>
      <c r="Z358" s="78"/>
    </row>
    <row r="359" ht="15.0" customHeight="1">
      <c r="A359" s="54" t="s">
        <v>881</v>
      </c>
      <c r="B359" s="55" t="s">
        <v>882</v>
      </c>
      <c r="C359" s="56" t="s">
        <v>883</v>
      </c>
      <c r="D359" s="55" t="s">
        <v>800</v>
      </c>
      <c r="E359" s="56" t="s">
        <v>30</v>
      </c>
      <c r="F359" s="55" t="s">
        <v>873</v>
      </c>
      <c r="G359" s="56" t="s">
        <v>884</v>
      </c>
      <c r="H359" s="55" t="s">
        <v>884</v>
      </c>
      <c r="I359" s="56" t="s">
        <v>884</v>
      </c>
      <c r="J359" s="55" t="s">
        <v>884</v>
      </c>
      <c r="K359" s="35"/>
      <c r="L359" s="36"/>
      <c r="M359" s="37"/>
      <c r="N359" s="37"/>
      <c r="O359" s="38"/>
      <c r="P359" s="38"/>
      <c r="Q359" s="39"/>
      <c r="R359" s="39"/>
      <c r="S359" s="79"/>
      <c r="T359" s="79"/>
      <c r="U359" s="79"/>
      <c r="V359" s="79"/>
      <c r="W359" s="79"/>
      <c r="X359" s="79"/>
      <c r="Y359" s="79"/>
      <c r="Z359" s="80"/>
    </row>
    <row r="360" ht="15.0" customHeight="1">
      <c r="A360" s="17" t="str">
        <f>HYPERLINK("http://purl.obolibrary.org/obo/OBI_0001683","http://purl.obolibrary.org/obo/OBI_0001683")</f>
        <v>http://purl.obolibrary.org/obo/OBI_0001683</v>
      </c>
      <c r="B360" s="18" t="s">
        <v>885</v>
      </c>
      <c r="C360" s="19" t="s">
        <v>886</v>
      </c>
      <c r="D360" s="18" t="s">
        <v>800</v>
      </c>
      <c r="E360" s="20" t="s">
        <v>30</v>
      </c>
      <c r="F360" s="18" t="s">
        <v>887</v>
      </c>
      <c r="G360" s="20" t="s">
        <v>888</v>
      </c>
      <c r="H360" s="18" t="s">
        <v>888</v>
      </c>
      <c r="I360" s="20" t="s">
        <v>888</v>
      </c>
      <c r="J360" s="18" t="s">
        <v>888</v>
      </c>
      <c r="K360" s="18"/>
      <c r="L360" s="20"/>
      <c r="M360" s="21"/>
      <c r="N360" s="21"/>
      <c r="O360" s="22"/>
      <c r="P360" s="22"/>
      <c r="Q360" s="23"/>
      <c r="R360" s="23"/>
      <c r="S360" s="75"/>
      <c r="T360" s="75"/>
      <c r="U360" s="75"/>
      <c r="V360" s="75"/>
      <c r="W360" s="75"/>
      <c r="X360" s="75"/>
      <c r="Y360" s="75"/>
      <c r="Z360" s="76"/>
    </row>
    <row r="361" ht="15.0" customHeight="1">
      <c r="A361" s="26" t="str">
        <f>A360</f>
        <v>http://purl.obolibrary.org/obo/OBI_0001683</v>
      </c>
      <c r="B361" s="27"/>
      <c r="C361" s="27"/>
      <c r="D361" s="27"/>
      <c r="E361" s="27"/>
      <c r="F361" s="27"/>
      <c r="G361" s="27"/>
      <c r="H361" s="28" t="s">
        <v>889</v>
      </c>
      <c r="I361" s="49" t="s">
        <v>587</v>
      </c>
      <c r="J361" s="28" t="s">
        <v>890</v>
      </c>
      <c r="K361" s="28" t="s">
        <v>891</v>
      </c>
      <c r="L361" s="27"/>
      <c r="M361" s="29"/>
      <c r="N361" s="29"/>
      <c r="O361" s="27"/>
      <c r="P361" s="30"/>
      <c r="Q361" s="31"/>
      <c r="R361" s="31"/>
      <c r="S361" s="77"/>
      <c r="T361" s="77"/>
      <c r="U361" s="77"/>
      <c r="V361" s="77"/>
      <c r="W361" s="77"/>
      <c r="X361" s="77"/>
      <c r="Y361" s="77"/>
      <c r="Z361" s="78"/>
    </row>
    <row r="362" ht="15.0" customHeight="1">
      <c r="A362" s="34" t="s">
        <v>892</v>
      </c>
      <c r="B362" s="35" t="s">
        <v>885</v>
      </c>
      <c r="C362" s="36" t="s">
        <v>893</v>
      </c>
      <c r="D362" s="35" t="s">
        <v>800</v>
      </c>
      <c r="E362" s="36" t="s">
        <v>30</v>
      </c>
      <c r="F362" s="35" t="s">
        <v>19</v>
      </c>
      <c r="G362" s="36" t="s">
        <v>894</v>
      </c>
      <c r="H362" s="35" t="s">
        <v>894</v>
      </c>
      <c r="I362" s="36" t="s">
        <v>894</v>
      </c>
      <c r="J362" s="35" t="s">
        <v>894</v>
      </c>
      <c r="K362" s="35"/>
      <c r="L362" s="36"/>
      <c r="M362" s="37"/>
      <c r="N362" s="37"/>
      <c r="O362" s="38"/>
      <c r="P362" s="38"/>
      <c r="Q362" s="39"/>
      <c r="R362" s="39"/>
      <c r="S362" s="73"/>
      <c r="T362" s="73"/>
      <c r="U362" s="73"/>
      <c r="V362" s="73"/>
      <c r="W362" s="73"/>
      <c r="X362" s="73"/>
      <c r="Y362" s="73"/>
      <c r="Z362" s="74"/>
    </row>
    <row r="363" ht="15.0" customHeight="1">
      <c r="A363" s="17" t="str">
        <f>HYPERLINK("http://purl.obolibrary.org/obo/OBI_0001684","http://purl.obolibrary.org/obo/OBI_0001684")</f>
        <v>http://purl.obolibrary.org/obo/OBI_0001684</v>
      </c>
      <c r="B363" s="18" t="s">
        <v>895</v>
      </c>
      <c r="C363" s="20" t="s">
        <v>896</v>
      </c>
      <c r="D363" s="18" t="s">
        <v>800</v>
      </c>
      <c r="E363" s="20" t="s">
        <v>30</v>
      </c>
      <c r="F363" s="18" t="s">
        <v>19</v>
      </c>
      <c r="G363" s="20"/>
      <c r="H363" s="18"/>
      <c r="I363" s="20"/>
      <c r="J363" s="18"/>
      <c r="K363" s="18"/>
      <c r="L363" s="20"/>
      <c r="M363" s="21"/>
      <c r="N363" s="21"/>
      <c r="O363" s="22"/>
      <c r="P363" s="22"/>
      <c r="Q363" s="23"/>
      <c r="R363" s="23"/>
      <c r="S363" s="81"/>
      <c r="T363" s="81"/>
      <c r="U363" s="81"/>
      <c r="V363" s="81"/>
      <c r="W363" s="81"/>
      <c r="X363" s="81"/>
      <c r="Y363" s="81"/>
      <c r="Z363" s="82"/>
    </row>
    <row r="364" ht="15.0" customHeight="1">
      <c r="A364" s="26" t="str">
        <f>A363</f>
        <v>http://purl.obolibrary.org/obo/OBI_0001684</v>
      </c>
      <c r="B364" s="27"/>
      <c r="C364" s="42" t="s">
        <v>897</v>
      </c>
      <c r="D364" s="27"/>
      <c r="E364" s="27"/>
      <c r="F364" s="27"/>
      <c r="G364" s="27"/>
      <c r="H364" s="28"/>
      <c r="I364" s="27"/>
      <c r="J364" s="28"/>
      <c r="K364" s="28"/>
      <c r="L364" s="27"/>
      <c r="M364" s="29"/>
      <c r="N364" s="29"/>
      <c r="O364" s="27"/>
      <c r="P364" s="30"/>
      <c r="Q364" s="31"/>
      <c r="R364" s="31"/>
      <c r="S364" s="77"/>
      <c r="T364" s="77"/>
      <c r="U364" s="77"/>
      <c r="V364" s="77"/>
      <c r="W364" s="77"/>
      <c r="X364" s="77"/>
      <c r="Y364" s="77"/>
      <c r="Z364" s="78"/>
    </row>
    <row r="365" ht="15.0" customHeight="1">
      <c r="A365" s="54" t="s">
        <v>898</v>
      </c>
      <c r="B365" s="55" t="s">
        <v>895</v>
      </c>
      <c r="C365" s="56" t="s">
        <v>896</v>
      </c>
      <c r="D365" s="55" t="s">
        <v>800</v>
      </c>
      <c r="E365" s="56" t="s">
        <v>30</v>
      </c>
      <c r="F365" s="55" t="s">
        <v>201</v>
      </c>
      <c r="G365" s="56" t="s">
        <v>899</v>
      </c>
      <c r="H365" s="55" t="s">
        <v>899</v>
      </c>
      <c r="I365" s="56" t="s">
        <v>899</v>
      </c>
      <c r="J365" s="55" t="s">
        <v>899</v>
      </c>
      <c r="K365" s="35"/>
      <c r="L365" s="36"/>
      <c r="M365" s="37"/>
      <c r="N365" s="37"/>
      <c r="O365" s="38"/>
      <c r="P365" s="38"/>
      <c r="Q365" s="39"/>
      <c r="R365" s="39"/>
      <c r="S365" s="73"/>
      <c r="T365" s="73"/>
      <c r="U365" s="73"/>
      <c r="V365" s="73"/>
      <c r="W365" s="73"/>
      <c r="X365" s="73"/>
      <c r="Y365" s="73"/>
      <c r="Z365" s="74"/>
    </row>
    <row r="366" ht="15.0" customHeight="1">
      <c r="A366" s="17" t="str">
        <f>HYPERLINK("http://purl.obolibrary.org/obo/OBI_0001685","http://purl.obolibrary.org/obo/OBI_0001685")</f>
        <v>http://purl.obolibrary.org/obo/OBI_0001685</v>
      </c>
      <c r="B366" s="18" t="s">
        <v>900</v>
      </c>
      <c r="C366" s="20" t="s">
        <v>901</v>
      </c>
      <c r="D366" s="18" t="s">
        <v>800</v>
      </c>
      <c r="E366" s="20" t="s">
        <v>30</v>
      </c>
      <c r="F366" s="18" t="s">
        <v>201</v>
      </c>
      <c r="G366" s="20" t="s">
        <v>902</v>
      </c>
      <c r="H366" s="18" t="s">
        <v>902</v>
      </c>
      <c r="I366" s="20" t="s">
        <v>902</v>
      </c>
      <c r="J366" s="18" t="s">
        <v>902</v>
      </c>
      <c r="K366" s="18"/>
      <c r="L366" s="20"/>
      <c r="M366" s="21"/>
      <c r="N366" s="21"/>
      <c r="O366" s="22"/>
      <c r="P366" s="22"/>
      <c r="Q366" s="23"/>
      <c r="R366" s="23"/>
      <c r="S366" s="75"/>
      <c r="T366" s="75"/>
      <c r="U366" s="75"/>
      <c r="V366" s="75"/>
      <c r="W366" s="75"/>
      <c r="X366" s="75"/>
      <c r="Y366" s="75"/>
      <c r="Z366" s="76"/>
    </row>
    <row r="367" ht="15.0" customHeight="1">
      <c r="A367" s="26" t="str">
        <f>A366</f>
        <v>http://purl.obolibrary.org/obo/OBI_0001685</v>
      </c>
      <c r="B367" s="27"/>
      <c r="C367" s="42" t="s">
        <v>903</v>
      </c>
      <c r="D367" s="27"/>
      <c r="E367" s="27"/>
      <c r="F367" s="27"/>
      <c r="G367" s="27"/>
      <c r="H367" s="52" t="s">
        <v>329</v>
      </c>
      <c r="I367" s="58" t="s">
        <v>431</v>
      </c>
      <c r="J367" s="57" t="s">
        <v>904</v>
      </c>
      <c r="K367" s="28" t="s">
        <v>209</v>
      </c>
      <c r="L367" s="27"/>
      <c r="M367" s="29"/>
      <c r="N367" s="29"/>
      <c r="O367" s="27"/>
      <c r="P367" s="30"/>
      <c r="Q367" s="31"/>
      <c r="R367" s="31"/>
      <c r="S367" s="77"/>
      <c r="T367" s="77"/>
      <c r="U367" s="77"/>
      <c r="V367" s="77"/>
      <c r="W367" s="77"/>
      <c r="X367" s="77"/>
      <c r="Y367" s="77"/>
      <c r="Z367" s="78"/>
    </row>
    <row r="368" ht="15.0" customHeight="1">
      <c r="A368" s="54" t="s">
        <v>905</v>
      </c>
      <c r="B368" s="55" t="s">
        <v>906</v>
      </c>
      <c r="C368" s="56" t="s">
        <v>907</v>
      </c>
      <c r="D368" s="55" t="s">
        <v>800</v>
      </c>
      <c r="E368" s="56" t="s">
        <v>30</v>
      </c>
      <c r="F368" s="55" t="s">
        <v>201</v>
      </c>
      <c r="G368" s="56" t="s">
        <v>908</v>
      </c>
      <c r="H368" s="55" t="s">
        <v>908</v>
      </c>
      <c r="I368" s="56" t="s">
        <v>908</v>
      </c>
      <c r="J368" s="55" t="s">
        <v>908</v>
      </c>
      <c r="K368" s="35"/>
      <c r="L368" s="36"/>
      <c r="M368" s="37"/>
      <c r="N368" s="37"/>
      <c r="O368" s="38"/>
      <c r="P368" s="38"/>
      <c r="Q368" s="39"/>
      <c r="R368" s="39"/>
      <c r="S368" s="79"/>
      <c r="T368" s="79"/>
      <c r="U368" s="79"/>
      <c r="V368" s="79"/>
      <c r="W368" s="79"/>
      <c r="X368" s="79"/>
      <c r="Y368" s="79"/>
      <c r="Z368" s="80"/>
    </row>
    <row r="369" ht="15.0" customHeight="1">
      <c r="A369" s="17" t="str">
        <f>HYPERLINK("http://purl.obolibrary.org/obo/OBI_0001686","http://purl.obolibrary.org/obo/OBI_0001686")</f>
        <v>http://purl.obolibrary.org/obo/OBI_0001686</v>
      </c>
      <c r="B369" s="18" t="s">
        <v>887</v>
      </c>
      <c r="C369" s="19" t="s">
        <v>909</v>
      </c>
      <c r="D369" s="18" t="s">
        <v>800</v>
      </c>
      <c r="E369" s="20" t="s">
        <v>30</v>
      </c>
      <c r="F369" s="18" t="s">
        <v>19</v>
      </c>
      <c r="G369" s="20" t="s">
        <v>910</v>
      </c>
      <c r="H369" s="18" t="s">
        <v>910</v>
      </c>
      <c r="I369" s="20" t="s">
        <v>910</v>
      </c>
      <c r="J369" s="18" t="s">
        <v>910</v>
      </c>
      <c r="K369" s="18"/>
      <c r="L369" s="20"/>
      <c r="M369" s="21"/>
      <c r="N369" s="21"/>
      <c r="O369" s="22"/>
      <c r="P369" s="22"/>
      <c r="Q369" s="23"/>
      <c r="R369" s="23"/>
      <c r="S369" s="75"/>
      <c r="T369" s="75"/>
      <c r="U369" s="75"/>
      <c r="V369" s="75"/>
      <c r="W369" s="75"/>
      <c r="X369" s="75"/>
      <c r="Y369" s="75"/>
      <c r="Z369" s="76"/>
    </row>
    <row r="370" ht="15.0" customHeight="1">
      <c r="A370" s="26" t="str">
        <f>A369</f>
        <v>http://purl.obolibrary.org/obo/OBI_0001686</v>
      </c>
      <c r="B370" s="27"/>
      <c r="C370" s="27"/>
      <c r="D370" s="27"/>
      <c r="E370" s="27"/>
      <c r="F370" s="27"/>
      <c r="G370" s="27"/>
      <c r="H370" s="28" t="s">
        <v>889</v>
      </c>
      <c r="I370" s="49" t="s">
        <v>911</v>
      </c>
      <c r="J370" s="28" t="s">
        <v>912</v>
      </c>
      <c r="K370" s="28" t="s">
        <v>913</v>
      </c>
      <c r="L370" s="27"/>
      <c r="M370" s="29"/>
      <c r="N370" s="29"/>
      <c r="O370" s="27"/>
      <c r="P370" s="30"/>
      <c r="Q370" s="31"/>
      <c r="R370" s="31"/>
      <c r="S370" s="77"/>
      <c r="T370" s="77"/>
      <c r="U370" s="77"/>
      <c r="V370" s="77"/>
      <c r="W370" s="77"/>
      <c r="X370" s="77"/>
      <c r="Y370" s="77"/>
      <c r="Z370" s="78"/>
    </row>
    <row r="371" ht="15.0" customHeight="1">
      <c r="A371" s="34" t="s">
        <v>914</v>
      </c>
      <c r="B371" s="35" t="s">
        <v>887</v>
      </c>
      <c r="C371" s="36" t="s">
        <v>915</v>
      </c>
      <c r="D371" s="35" t="s">
        <v>800</v>
      </c>
      <c r="E371" s="36" t="s">
        <v>30</v>
      </c>
      <c r="F371" s="35" t="s">
        <v>19</v>
      </c>
      <c r="G371" s="36" t="s">
        <v>910</v>
      </c>
      <c r="H371" s="35" t="s">
        <v>910</v>
      </c>
      <c r="I371" s="36" t="s">
        <v>910</v>
      </c>
      <c r="J371" s="35" t="s">
        <v>910</v>
      </c>
      <c r="K371" s="35"/>
      <c r="L371" s="36"/>
      <c r="M371" s="37"/>
      <c r="N371" s="37"/>
      <c r="O371" s="38"/>
      <c r="P371" s="38"/>
      <c r="Q371" s="39"/>
      <c r="R371" s="39"/>
      <c r="S371" s="73"/>
      <c r="T371" s="73"/>
      <c r="U371" s="73"/>
      <c r="V371" s="73"/>
      <c r="W371" s="73"/>
      <c r="X371" s="73"/>
      <c r="Y371" s="73"/>
      <c r="Z371" s="74"/>
    </row>
    <row r="372" ht="15.0" customHeight="1">
      <c r="A372" s="17" t="str">
        <f>HYPERLINK("http://purl.obolibrary.org/obo/OBI_0001689","http://purl.obolibrary.org/obo/OBI_0001689")</f>
        <v>http://purl.obolibrary.org/obo/OBI_0001689</v>
      </c>
      <c r="B372" s="18" t="s">
        <v>916</v>
      </c>
      <c r="C372" s="20" t="s">
        <v>917</v>
      </c>
      <c r="D372" s="18" t="s">
        <v>800</v>
      </c>
      <c r="E372" s="20" t="s">
        <v>30</v>
      </c>
      <c r="F372" s="18" t="s">
        <v>19</v>
      </c>
      <c r="G372" s="20" t="s">
        <v>918</v>
      </c>
      <c r="H372" s="18" t="s">
        <v>918</v>
      </c>
      <c r="I372" s="20" t="s">
        <v>918</v>
      </c>
      <c r="J372" s="18" t="s">
        <v>918</v>
      </c>
      <c r="K372" s="18"/>
      <c r="L372" s="20"/>
      <c r="M372" s="21"/>
      <c r="N372" s="21"/>
      <c r="O372" s="22"/>
      <c r="P372" s="22"/>
      <c r="Q372" s="23"/>
      <c r="R372" s="23"/>
      <c r="S372" s="75"/>
      <c r="T372" s="75"/>
      <c r="U372" s="75"/>
      <c r="V372" s="75"/>
      <c r="W372" s="75"/>
      <c r="X372" s="75"/>
      <c r="Y372" s="75"/>
      <c r="Z372" s="76"/>
    </row>
    <row r="373" ht="15.0" customHeight="1">
      <c r="A373" s="26" t="str">
        <f>A372</f>
        <v>http://purl.obolibrary.org/obo/OBI_0001689</v>
      </c>
      <c r="B373" s="27"/>
      <c r="C373" s="42" t="s">
        <v>919</v>
      </c>
      <c r="D373" s="27"/>
      <c r="E373" s="27"/>
      <c r="F373" s="27"/>
      <c r="G373" s="27"/>
      <c r="H373" s="28" t="s">
        <v>889</v>
      </c>
      <c r="I373" s="49" t="s">
        <v>920</v>
      </c>
      <c r="J373" s="28" t="s">
        <v>921</v>
      </c>
      <c r="K373" s="28" t="s">
        <v>922</v>
      </c>
      <c r="L373" s="27"/>
      <c r="M373" s="29"/>
      <c r="N373" s="29"/>
      <c r="O373" s="27"/>
      <c r="P373" s="30"/>
      <c r="Q373" s="31"/>
      <c r="R373" s="31"/>
      <c r="S373" s="77"/>
      <c r="T373" s="77"/>
      <c r="U373" s="77"/>
      <c r="V373" s="77"/>
      <c r="W373" s="77"/>
      <c r="X373" s="77"/>
      <c r="Y373" s="77"/>
      <c r="Z373" s="78"/>
    </row>
    <row r="374" ht="15.0" customHeight="1">
      <c r="A374" s="34" t="s">
        <v>923</v>
      </c>
      <c r="B374" s="35" t="s">
        <v>916</v>
      </c>
      <c r="C374" s="36" t="s">
        <v>917</v>
      </c>
      <c r="D374" s="35" t="s">
        <v>800</v>
      </c>
      <c r="E374" s="36" t="s">
        <v>30</v>
      </c>
      <c r="F374" s="35" t="s">
        <v>19</v>
      </c>
      <c r="G374" s="36" t="s">
        <v>918</v>
      </c>
      <c r="H374" s="35" t="s">
        <v>918</v>
      </c>
      <c r="I374" s="36" t="s">
        <v>918</v>
      </c>
      <c r="J374" s="35" t="s">
        <v>918</v>
      </c>
      <c r="K374" s="35"/>
      <c r="L374" s="36"/>
      <c r="M374" s="37"/>
      <c r="N374" s="37"/>
      <c r="O374" s="38"/>
      <c r="P374" s="38"/>
      <c r="Q374" s="39"/>
      <c r="R374" s="39"/>
      <c r="S374" s="73"/>
      <c r="T374" s="73"/>
      <c r="U374" s="73"/>
      <c r="V374" s="73"/>
      <c r="W374" s="73"/>
      <c r="X374" s="73"/>
      <c r="Y374" s="73"/>
      <c r="Z374" s="74"/>
    </row>
    <row r="375" ht="15.0" customHeight="1">
      <c r="A375" s="17" t="str">
        <f>HYPERLINK("http://purl.obolibrary.org/obo/OBI_0001848","http://purl.obolibrary.org/obo/OBI_0001848")</f>
        <v>http://purl.obolibrary.org/obo/OBI_0001848</v>
      </c>
      <c r="B375" s="18" t="s">
        <v>924</v>
      </c>
      <c r="C375" s="20" t="s">
        <v>925</v>
      </c>
      <c r="D375" s="18" t="s">
        <v>926</v>
      </c>
      <c r="E375" s="20" t="s">
        <v>30</v>
      </c>
      <c r="F375" s="18" t="s">
        <v>927</v>
      </c>
      <c r="G375" s="20"/>
      <c r="H375" s="18" t="s">
        <v>928</v>
      </c>
      <c r="I375" s="20" t="s">
        <v>929</v>
      </c>
      <c r="J375" s="18" t="s">
        <v>930</v>
      </c>
      <c r="K375" s="18"/>
      <c r="L375" s="20"/>
      <c r="M375" s="21" t="s">
        <v>931</v>
      </c>
      <c r="N375" s="21"/>
      <c r="O375" s="22" t="s">
        <v>929</v>
      </c>
      <c r="P375" s="22"/>
      <c r="Q375" s="23"/>
      <c r="R375" s="23"/>
      <c r="S375" s="75"/>
      <c r="T375" s="75"/>
      <c r="U375" s="75"/>
      <c r="V375" s="75"/>
      <c r="W375" s="75"/>
      <c r="X375" s="75"/>
      <c r="Y375" s="75"/>
      <c r="Z375" s="76"/>
    </row>
    <row r="376" ht="15.0" customHeight="1">
      <c r="A376" s="26" t="str">
        <f>A375</f>
        <v>http://purl.obolibrary.org/obo/OBI_0001848</v>
      </c>
      <c r="B376" s="27"/>
      <c r="C376" s="42" t="s">
        <v>932</v>
      </c>
      <c r="D376" s="27"/>
      <c r="E376" s="27"/>
      <c r="F376" s="27"/>
      <c r="G376" s="27"/>
      <c r="H376" s="52" t="s">
        <v>933</v>
      </c>
      <c r="I376" s="53" t="s">
        <v>934</v>
      </c>
      <c r="J376" s="52" t="s">
        <v>190</v>
      </c>
      <c r="K376" s="28"/>
      <c r="L376" s="49" t="s">
        <v>191</v>
      </c>
      <c r="M376" s="29" t="s">
        <v>935</v>
      </c>
      <c r="N376" s="29"/>
      <c r="O376" s="27"/>
      <c r="P376" s="30"/>
      <c r="Q376" s="31"/>
      <c r="R376" s="31"/>
      <c r="S376" s="77"/>
      <c r="T376" s="77"/>
      <c r="U376" s="77"/>
      <c r="V376" s="77"/>
      <c r="W376" s="77"/>
      <c r="X376" s="77"/>
      <c r="Y376" s="77"/>
      <c r="Z376" s="78"/>
    </row>
    <row r="377" ht="15.0" customHeight="1">
      <c r="A377" s="54" t="s">
        <v>936</v>
      </c>
      <c r="B377" s="55" t="s">
        <v>924</v>
      </c>
      <c r="C377" s="56" t="s">
        <v>925</v>
      </c>
      <c r="D377" s="55" t="s">
        <v>926</v>
      </c>
      <c r="E377" s="56" t="s">
        <v>30</v>
      </c>
      <c r="F377" s="55" t="s">
        <v>273</v>
      </c>
      <c r="G377" s="56"/>
      <c r="H377" s="55" t="s">
        <v>928</v>
      </c>
      <c r="I377" s="56" t="s">
        <v>929</v>
      </c>
      <c r="J377" s="55" t="s">
        <v>930</v>
      </c>
      <c r="K377" s="35"/>
      <c r="L377" s="36" t="s">
        <v>193</v>
      </c>
      <c r="M377" s="37" t="s">
        <v>937</v>
      </c>
      <c r="N377" s="37"/>
      <c r="O377" s="38" t="s">
        <v>929</v>
      </c>
      <c r="P377" s="38"/>
      <c r="Q377" s="39"/>
      <c r="R377" s="39"/>
      <c r="S377" s="79"/>
      <c r="T377" s="79"/>
      <c r="U377" s="79"/>
      <c r="V377" s="79"/>
      <c r="W377" s="79"/>
      <c r="X377" s="79"/>
      <c r="Y377" s="79"/>
      <c r="Z377" s="80"/>
    </row>
    <row r="378" ht="15.0" customHeight="1">
      <c r="A378" s="17" t="str">
        <f>HYPERLINK("http://purl.obolibrary.org/obo/OBI_0001849","http://purl.obolibrary.org/obo/OBI_0001849")</f>
        <v>http://purl.obolibrary.org/obo/OBI_0001849</v>
      </c>
      <c r="B378" s="18" t="s">
        <v>938</v>
      </c>
      <c r="C378" s="19" t="s">
        <v>939</v>
      </c>
      <c r="D378" s="18" t="s">
        <v>926</v>
      </c>
      <c r="E378" s="20" t="s">
        <v>30</v>
      </c>
      <c r="F378" s="18" t="s">
        <v>184</v>
      </c>
      <c r="G378" s="20"/>
      <c r="H378" s="18" t="s">
        <v>103</v>
      </c>
      <c r="I378" s="20" t="s">
        <v>214</v>
      </c>
      <c r="J378" s="18" t="s">
        <v>930</v>
      </c>
      <c r="K378" s="18"/>
      <c r="L378" s="20"/>
      <c r="M378" s="21" t="s">
        <v>940</v>
      </c>
      <c r="N378" s="21"/>
      <c r="O378" s="22" t="s">
        <v>214</v>
      </c>
      <c r="P378" s="22"/>
      <c r="Q378" s="23"/>
      <c r="R378" s="23"/>
      <c r="S378" s="75"/>
      <c r="T378" s="75"/>
      <c r="U378" s="75"/>
      <c r="V378" s="75"/>
      <c r="W378" s="75"/>
      <c r="X378" s="75"/>
      <c r="Y378" s="75"/>
      <c r="Z378" s="76"/>
    </row>
    <row r="379" ht="15.0" customHeight="1">
      <c r="A379" s="26" t="str">
        <f>A378</f>
        <v>http://purl.obolibrary.org/obo/OBI_0001849</v>
      </c>
      <c r="B379" s="27"/>
      <c r="C379" s="27"/>
      <c r="D379" s="27"/>
      <c r="E379" s="27"/>
      <c r="F379" s="27"/>
      <c r="G379" s="27"/>
      <c r="H379" s="52" t="s">
        <v>107</v>
      </c>
      <c r="I379" s="53" t="s">
        <v>189</v>
      </c>
      <c r="J379" s="52" t="s">
        <v>190</v>
      </c>
      <c r="K379" s="28"/>
      <c r="L379" s="49" t="s">
        <v>191</v>
      </c>
      <c r="M379" s="29" t="s">
        <v>941</v>
      </c>
      <c r="N379" s="29"/>
      <c r="O379" s="27"/>
      <c r="P379" s="30"/>
      <c r="Q379" s="31"/>
      <c r="R379" s="31"/>
      <c r="S379" s="77"/>
      <c r="T379" s="77"/>
      <c r="U379" s="77"/>
      <c r="V379" s="77"/>
      <c r="W379" s="77"/>
      <c r="X379" s="77"/>
      <c r="Y379" s="77"/>
      <c r="Z379" s="78"/>
    </row>
    <row r="380" ht="15.0" customHeight="1">
      <c r="A380" s="54" t="s">
        <v>942</v>
      </c>
      <c r="B380" s="55" t="s">
        <v>938</v>
      </c>
      <c r="C380" s="56" t="s">
        <v>943</v>
      </c>
      <c r="D380" s="55" t="s">
        <v>926</v>
      </c>
      <c r="E380" s="56" t="s">
        <v>30</v>
      </c>
      <c r="F380" s="55" t="s">
        <v>184</v>
      </c>
      <c r="G380" s="56"/>
      <c r="H380" s="55" t="s">
        <v>103</v>
      </c>
      <c r="I380" s="56" t="s">
        <v>214</v>
      </c>
      <c r="J380" s="55" t="s">
        <v>930</v>
      </c>
      <c r="K380" s="35"/>
      <c r="L380" s="36" t="s">
        <v>193</v>
      </c>
      <c r="M380" s="37" t="s">
        <v>944</v>
      </c>
      <c r="N380" s="37"/>
      <c r="O380" s="38" t="s">
        <v>214</v>
      </c>
      <c r="P380" s="38"/>
      <c r="Q380" s="39"/>
      <c r="R380" s="39"/>
      <c r="S380" s="73"/>
      <c r="T380" s="73"/>
      <c r="U380" s="73"/>
      <c r="V380" s="73"/>
      <c r="W380" s="73"/>
      <c r="X380" s="73"/>
      <c r="Y380" s="73"/>
      <c r="Z380" s="74"/>
    </row>
    <row r="381" ht="15.0" customHeight="1">
      <c r="A381" s="17" t="str">
        <f>HYPERLINK("http://purl.obolibrary.org/obo/OBI_0001850","http://purl.obolibrary.org/obo/OBI_0001850")</f>
        <v>http://purl.obolibrary.org/obo/OBI_0001850</v>
      </c>
      <c r="B381" s="18" t="s">
        <v>945</v>
      </c>
      <c r="C381" s="19" t="s">
        <v>946</v>
      </c>
      <c r="D381" s="18" t="s">
        <v>926</v>
      </c>
      <c r="E381" s="20" t="s">
        <v>30</v>
      </c>
      <c r="F381" s="18" t="s">
        <v>704</v>
      </c>
      <c r="G381" s="20"/>
      <c r="H381" s="18" t="s">
        <v>665</v>
      </c>
      <c r="I381" s="20" t="s">
        <v>634</v>
      </c>
      <c r="J381" s="18" t="s">
        <v>930</v>
      </c>
      <c r="K381" s="18"/>
      <c r="L381" s="20"/>
      <c r="M381" s="21" t="s">
        <v>947</v>
      </c>
      <c r="N381" s="21"/>
      <c r="O381" s="22" t="s">
        <v>634</v>
      </c>
      <c r="P381" s="22"/>
      <c r="Q381" s="23"/>
      <c r="R381" s="23"/>
      <c r="S381" s="75"/>
      <c r="T381" s="75"/>
      <c r="U381" s="75"/>
      <c r="V381" s="75"/>
      <c r="W381" s="75"/>
      <c r="X381" s="75"/>
      <c r="Y381" s="75"/>
      <c r="Z381" s="76"/>
    </row>
    <row r="382" ht="15.0" customHeight="1">
      <c r="A382" s="26" t="str">
        <f>A381</f>
        <v>http://purl.obolibrary.org/obo/OBI_0001850</v>
      </c>
      <c r="B382" s="27"/>
      <c r="C382" s="27"/>
      <c r="D382" s="27"/>
      <c r="E382" s="27"/>
      <c r="F382" s="27"/>
      <c r="G382" s="27"/>
      <c r="H382" s="52" t="s">
        <v>83</v>
      </c>
      <c r="I382" s="53" t="s">
        <v>636</v>
      </c>
      <c r="J382" s="52" t="s">
        <v>190</v>
      </c>
      <c r="K382" s="28"/>
      <c r="L382" s="49" t="s">
        <v>191</v>
      </c>
      <c r="M382" s="29" t="s">
        <v>948</v>
      </c>
      <c r="N382" s="29"/>
      <c r="O382" s="27"/>
      <c r="P382" s="30"/>
      <c r="Q382" s="31"/>
      <c r="R382" s="31"/>
      <c r="S382" s="83"/>
      <c r="T382" s="83"/>
      <c r="U382" s="83"/>
      <c r="V382" s="83"/>
      <c r="W382" s="83"/>
      <c r="X382" s="83"/>
      <c r="Y382" s="83"/>
      <c r="Z382" s="84"/>
    </row>
    <row r="383" ht="15.0" customHeight="1">
      <c r="A383" s="54" t="s">
        <v>949</v>
      </c>
      <c r="B383" s="55" t="s">
        <v>945</v>
      </c>
      <c r="C383" s="56" t="s">
        <v>950</v>
      </c>
      <c r="D383" s="55" t="s">
        <v>926</v>
      </c>
      <c r="E383" s="56" t="s">
        <v>30</v>
      </c>
      <c r="F383" s="55" t="s">
        <v>709</v>
      </c>
      <c r="G383" s="56"/>
      <c r="H383" s="55" t="s">
        <v>665</v>
      </c>
      <c r="I383" s="56" t="s">
        <v>634</v>
      </c>
      <c r="J383" s="55" t="s">
        <v>930</v>
      </c>
      <c r="K383" s="35"/>
      <c r="L383" s="36" t="s">
        <v>193</v>
      </c>
      <c r="M383" s="37" t="s">
        <v>951</v>
      </c>
      <c r="N383" s="37"/>
      <c r="O383" s="38" t="s">
        <v>634</v>
      </c>
      <c r="P383" s="38"/>
      <c r="Q383" s="39"/>
      <c r="R383" s="39"/>
      <c r="S383" s="73"/>
      <c r="T383" s="73"/>
      <c r="U383" s="73"/>
      <c r="V383" s="73"/>
      <c r="W383" s="73"/>
      <c r="X383" s="73"/>
      <c r="Y383" s="73"/>
      <c r="Z383" s="74"/>
    </row>
    <row r="384" ht="15.0" customHeight="1">
      <c r="A384" s="17" t="str">
        <f>HYPERLINK("http://purl.obolibrary.org/obo/OBI_0001853","http://purl.obolibrary.org/obo/OBI_0001853")</f>
        <v>http://purl.obolibrary.org/obo/OBI_0001853</v>
      </c>
      <c r="B384" s="18" t="s">
        <v>952</v>
      </c>
      <c r="C384" s="19" t="s">
        <v>953</v>
      </c>
      <c r="D384" s="18" t="s">
        <v>926</v>
      </c>
      <c r="E384" s="20" t="s">
        <v>30</v>
      </c>
      <c r="F384" s="18" t="s">
        <v>184</v>
      </c>
      <c r="G384" s="20"/>
      <c r="H384" s="18" t="s">
        <v>678</v>
      </c>
      <c r="I384" s="20" t="s">
        <v>214</v>
      </c>
      <c r="J384" s="18" t="s">
        <v>930</v>
      </c>
      <c r="K384" s="18"/>
      <c r="L384" s="20"/>
      <c r="M384" s="21" t="s">
        <v>954</v>
      </c>
      <c r="N384" s="21"/>
      <c r="O384" s="22" t="s">
        <v>214</v>
      </c>
      <c r="P384" s="22"/>
      <c r="Q384" s="23"/>
      <c r="R384" s="23"/>
      <c r="S384" s="75"/>
      <c r="T384" s="75"/>
      <c r="U384" s="75"/>
      <c r="V384" s="75"/>
      <c r="W384" s="75"/>
      <c r="X384" s="75"/>
      <c r="Y384" s="75"/>
      <c r="Z384" s="76"/>
    </row>
    <row r="385" ht="15.0" customHeight="1">
      <c r="A385" s="26" t="str">
        <f>A384</f>
        <v>http://purl.obolibrary.org/obo/OBI_0001853</v>
      </c>
      <c r="B385" s="27"/>
      <c r="C385" s="27"/>
      <c r="D385" s="27"/>
      <c r="E385" s="27"/>
      <c r="F385" s="27"/>
      <c r="G385" s="27"/>
      <c r="H385" s="52" t="s">
        <v>683</v>
      </c>
      <c r="I385" s="53" t="s">
        <v>189</v>
      </c>
      <c r="J385" s="52" t="s">
        <v>190</v>
      </c>
      <c r="K385" s="28"/>
      <c r="L385" s="49" t="s">
        <v>191</v>
      </c>
      <c r="M385" s="29" t="s">
        <v>955</v>
      </c>
      <c r="N385" s="29"/>
      <c r="O385" s="27"/>
      <c r="P385" s="30"/>
      <c r="Q385" s="31"/>
      <c r="R385" s="31"/>
      <c r="S385" s="77"/>
      <c r="T385" s="77"/>
      <c r="U385" s="77"/>
      <c r="V385" s="77"/>
      <c r="W385" s="77"/>
      <c r="X385" s="77"/>
      <c r="Y385" s="77"/>
      <c r="Z385" s="78"/>
    </row>
    <row r="386" ht="15.0" customHeight="1">
      <c r="A386" s="54" t="s">
        <v>956</v>
      </c>
      <c r="B386" s="55" t="s">
        <v>952</v>
      </c>
      <c r="C386" s="56" t="s">
        <v>957</v>
      </c>
      <c r="D386" s="55" t="s">
        <v>926</v>
      </c>
      <c r="E386" s="56" t="s">
        <v>30</v>
      </c>
      <c r="F386" s="55" t="s">
        <v>184</v>
      </c>
      <c r="G386" s="56"/>
      <c r="H386" s="55" t="s">
        <v>678</v>
      </c>
      <c r="I386" s="56" t="s">
        <v>214</v>
      </c>
      <c r="J386" s="55" t="s">
        <v>930</v>
      </c>
      <c r="K386" s="35"/>
      <c r="L386" s="36" t="s">
        <v>193</v>
      </c>
      <c r="M386" s="37" t="s">
        <v>958</v>
      </c>
      <c r="N386" s="37"/>
      <c r="O386" s="38" t="s">
        <v>214</v>
      </c>
      <c r="P386" s="38"/>
      <c r="Q386" s="39"/>
      <c r="R386" s="39"/>
      <c r="S386" s="79"/>
      <c r="T386" s="79"/>
      <c r="U386" s="79"/>
      <c r="V386" s="79"/>
      <c r="W386" s="79"/>
      <c r="X386" s="79"/>
      <c r="Y386" s="79"/>
      <c r="Z386" s="80"/>
    </row>
    <row r="387" ht="15.0" customHeight="1">
      <c r="A387" s="17" t="str">
        <f>HYPERLINK("http://purl.obolibrary.org/obo/OBI_0001857","http://purl.obolibrary.org/obo/OBI_0001857")</f>
        <v>http://purl.obolibrary.org/obo/OBI_0001857</v>
      </c>
      <c r="B387" s="18" t="s">
        <v>959</v>
      </c>
      <c r="C387" s="19" t="s">
        <v>960</v>
      </c>
      <c r="D387" s="18" t="s">
        <v>926</v>
      </c>
      <c r="E387" s="20" t="s">
        <v>30</v>
      </c>
      <c r="F387" s="18" t="s">
        <v>961</v>
      </c>
      <c r="G387" s="20"/>
      <c r="H387" s="18" t="s">
        <v>962</v>
      </c>
      <c r="I387" s="20" t="s">
        <v>929</v>
      </c>
      <c r="J387" s="18" t="s">
        <v>930</v>
      </c>
      <c r="K387" s="18"/>
      <c r="L387" s="20"/>
      <c r="M387" s="21" t="s">
        <v>963</v>
      </c>
      <c r="N387" s="21"/>
      <c r="O387" s="22" t="s">
        <v>929</v>
      </c>
      <c r="P387" s="22"/>
      <c r="Q387" s="23"/>
      <c r="R387" s="23"/>
      <c r="S387" s="75"/>
      <c r="T387" s="75"/>
      <c r="U387" s="75"/>
      <c r="V387" s="75"/>
      <c r="W387" s="75"/>
      <c r="X387" s="75"/>
      <c r="Y387" s="75"/>
      <c r="Z387" s="76"/>
    </row>
    <row r="388" ht="15.0" customHeight="1">
      <c r="A388" s="26" t="str">
        <f>A387</f>
        <v>http://purl.obolibrary.org/obo/OBI_0001857</v>
      </c>
      <c r="B388" s="27"/>
      <c r="C388" s="27"/>
      <c r="D388" s="27"/>
      <c r="E388" s="27"/>
      <c r="F388" s="27"/>
      <c r="G388" s="27"/>
      <c r="H388" s="52" t="s">
        <v>964</v>
      </c>
      <c r="I388" s="53" t="s">
        <v>934</v>
      </c>
      <c r="J388" s="52" t="s">
        <v>190</v>
      </c>
      <c r="K388" s="28"/>
      <c r="L388" s="49" t="s">
        <v>965</v>
      </c>
      <c r="M388" s="29" t="s">
        <v>966</v>
      </c>
      <c r="N388" s="29"/>
      <c r="O388" s="27"/>
      <c r="P388" s="30"/>
      <c r="Q388" s="31"/>
      <c r="R388" s="31"/>
      <c r="S388" s="77"/>
      <c r="T388" s="77"/>
      <c r="U388" s="77"/>
      <c r="V388" s="77"/>
      <c r="W388" s="77"/>
      <c r="X388" s="77"/>
      <c r="Y388" s="77"/>
      <c r="Z388" s="78"/>
    </row>
    <row r="389" ht="15.0" customHeight="1">
      <c r="A389" s="54" t="s">
        <v>967</v>
      </c>
      <c r="B389" s="55" t="s">
        <v>959</v>
      </c>
      <c r="C389" s="56" t="s">
        <v>968</v>
      </c>
      <c r="D389" s="55" t="s">
        <v>926</v>
      </c>
      <c r="E389" s="56" t="s">
        <v>30</v>
      </c>
      <c r="F389" s="55" t="s">
        <v>969</v>
      </c>
      <c r="G389" s="56"/>
      <c r="H389" s="55" t="s">
        <v>962</v>
      </c>
      <c r="I389" s="56" t="s">
        <v>929</v>
      </c>
      <c r="J389" s="55" t="s">
        <v>930</v>
      </c>
      <c r="K389" s="35"/>
      <c r="L389" s="36" t="s">
        <v>970</v>
      </c>
      <c r="M389" s="37" t="s">
        <v>971</v>
      </c>
      <c r="N389" s="37"/>
      <c r="O389" s="38" t="s">
        <v>929</v>
      </c>
      <c r="P389" s="38"/>
      <c r="Q389" s="39"/>
      <c r="R389" s="39"/>
      <c r="S389" s="73"/>
      <c r="T389" s="73"/>
      <c r="U389" s="73"/>
      <c r="V389" s="73"/>
      <c r="W389" s="73"/>
      <c r="X389" s="73"/>
      <c r="Y389" s="73"/>
      <c r="Z389" s="74"/>
    </row>
    <row r="390" ht="15.0" customHeight="1">
      <c r="A390" s="17" t="str">
        <f>HYPERLINK("http://purl.obolibrary.org/obo/OBI_0001858","http://purl.obolibrary.org/obo/OBI_0001858")</f>
        <v>http://purl.obolibrary.org/obo/OBI_0001858</v>
      </c>
      <c r="B390" s="18" t="s">
        <v>972</v>
      </c>
      <c r="C390" s="19" t="s">
        <v>973</v>
      </c>
      <c r="D390" s="18" t="s">
        <v>926</v>
      </c>
      <c r="E390" s="20" t="s">
        <v>30</v>
      </c>
      <c r="F390" s="18" t="s">
        <v>961</v>
      </c>
      <c r="G390" s="20"/>
      <c r="H390" s="18" t="s">
        <v>962</v>
      </c>
      <c r="I390" s="20" t="s">
        <v>929</v>
      </c>
      <c r="J390" s="18" t="s">
        <v>930</v>
      </c>
      <c r="K390" s="18"/>
      <c r="L390" s="20"/>
      <c r="M390" s="21" t="s">
        <v>963</v>
      </c>
      <c r="N390" s="21"/>
      <c r="O390" s="22" t="s">
        <v>929</v>
      </c>
      <c r="P390" s="22"/>
      <c r="Q390" s="23"/>
      <c r="R390" s="23"/>
      <c r="S390" s="75"/>
      <c r="T390" s="75"/>
      <c r="U390" s="75"/>
      <c r="V390" s="75"/>
      <c r="W390" s="75"/>
      <c r="X390" s="75"/>
      <c r="Y390" s="75"/>
      <c r="Z390" s="76"/>
    </row>
    <row r="391" ht="15.0" customHeight="1">
      <c r="A391" s="26" t="str">
        <f>A390</f>
        <v>http://purl.obolibrary.org/obo/OBI_0001858</v>
      </c>
      <c r="B391" s="27"/>
      <c r="C391" s="27"/>
      <c r="D391" s="27"/>
      <c r="E391" s="27"/>
      <c r="F391" s="27"/>
      <c r="G391" s="27"/>
      <c r="H391" s="52" t="s">
        <v>964</v>
      </c>
      <c r="I391" s="53" t="s">
        <v>934</v>
      </c>
      <c r="J391" s="52" t="s">
        <v>190</v>
      </c>
      <c r="K391" s="28"/>
      <c r="L391" s="49" t="s">
        <v>965</v>
      </c>
      <c r="M391" s="29" t="s">
        <v>966</v>
      </c>
      <c r="N391" s="29"/>
      <c r="O391" s="27"/>
      <c r="P391" s="30"/>
      <c r="Q391" s="31"/>
      <c r="R391" s="31"/>
      <c r="S391" s="83"/>
      <c r="T391" s="83"/>
      <c r="U391" s="83"/>
      <c r="V391" s="83"/>
      <c r="W391" s="83"/>
      <c r="X391" s="83"/>
      <c r="Y391" s="83"/>
      <c r="Z391" s="84"/>
    </row>
    <row r="392" ht="15.0" customHeight="1">
      <c r="A392" s="54" t="s">
        <v>974</v>
      </c>
      <c r="B392" s="55" t="s">
        <v>972</v>
      </c>
      <c r="C392" s="56" t="s">
        <v>975</v>
      </c>
      <c r="D392" s="55" t="s">
        <v>926</v>
      </c>
      <c r="E392" s="56" t="s">
        <v>30</v>
      </c>
      <c r="F392" s="55" t="s">
        <v>969</v>
      </c>
      <c r="G392" s="56"/>
      <c r="H392" s="55" t="s">
        <v>962</v>
      </c>
      <c r="I392" s="56" t="s">
        <v>929</v>
      </c>
      <c r="J392" s="55" t="s">
        <v>930</v>
      </c>
      <c r="K392" s="35"/>
      <c r="L392" s="36" t="s">
        <v>970</v>
      </c>
      <c r="M392" s="37" t="s">
        <v>971</v>
      </c>
      <c r="N392" s="37"/>
      <c r="O392" s="38" t="s">
        <v>929</v>
      </c>
      <c r="P392" s="38"/>
      <c r="Q392" s="39"/>
      <c r="R392" s="39"/>
      <c r="S392" s="73"/>
      <c r="T392" s="73"/>
      <c r="U392" s="73"/>
      <c r="V392" s="73"/>
      <c r="W392" s="73"/>
      <c r="X392" s="73"/>
      <c r="Y392" s="73"/>
      <c r="Z392" s="74"/>
    </row>
    <row r="393" ht="15.0" customHeight="1">
      <c r="A393" s="17" t="str">
        <f>HYPERLINK("http://purl.obolibrary.org/obo/OBI_0001859","http://purl.obolibrary.org/obo/OBI_0001859")</f>
        <v>http://purl.obolibrary.org/obo/OBI_0001859</v>
      </c>
      <c r="B393" s="18" t="s">
        <v>976</v>
      </c>
      <c r="C393" s="19" t="s">
        <v>977</v>
      </c>
      <c r="D393" s="18" t="s">
        <v>926</v>
      </c>
      <c r="E393" s="20" t="s">
        <v>30</v>
      </c>
      <c r="F393" s="18" t="s">
        <v>184</v>
      </c>
      <c r="G393" s="20"/>
      <c r="H393" s="18" t="s">
        <v>678</v>
      </c>
      <c r="I393" s="20" t="s">
        <v>214</v>
      </c>
      <c r="J393" s="18" t="s">
        <v>930</v>
      </c>
      <c r="K393" s="18"/>
      <c r="L393" s="20"/>
      <c r="M393" s="21" t="s">
        <v>978</v>
      </c>
      <c r="N393" s="21"/>
      <c r="O393" s="22" t="s">
        <v>214</v>
      </c>
      <c r="P393" s="22"/>
      <c r="Q393" s="23"/>
      <c r="R393" s="23"/>
      <c r="S393" s="75"/>
      <c r="T393" s="75"/>
      <c r="U393" s="75"/>
      <c r="V393" s="75"/>
      <c r="W393" s="75"/>
      <c r="X393" s="75"/>
      <c r="Y393" s="75"/>
      <c r="Z393" s="76"/>
    </row>
    <row r="394" ht="15.0" customHeight="1">
      <c r="A394" s="26" t="str">
        <f>A393</f>
        <v>http://purl.obolibrary.org/obo/OBI_0001859</v>
      </c>
      <c r="B394" s="27"/>
      <c r="C394" s="27"/>
      <c r="D394" s="27"/>
      <c r="E394" s="27"/>
      <c r="F394" s="27"/>
      <c r="G394" s="27"/>
      <c r="H394" s="52" t="s">
        <v>683</v>
      </c>
      <c r="I394" s="53" t="s">
        <v>189</v>
      </c>
      <c r="J394" s="52" t="s">
        <v>190</v>
      </c>
      <c r="K394" s="28"/>
      <c r="L394" s="49" t="s">
        <v>965</v>
      </c>
      <c r="M394" s="29" t="s">
        <v>979</v>
      </c>
      <c r="N394" s="29"/>
      <c r="O394" s="27"/>
      <c r="P394" s="30"/>
      <c r="Q394" s="31"/>
      <c r="R394" s="31"/>
      <c r="S394" s="77"/>
      <c r="T394" s="77"/>
      <c r="U394" s="77"/>
      <c r="V394" s="77"/>
      <c r="W394" s="77"/>
      <c r="X394" s="77"/>
      <c r="Y394" s="77"/>
      <c r="Z394" s="78"/>
    </row>
    <row r="395" ht="15.0" customHeight="1">
      <c r="A395" s="54" t="s">
        <v>980</v>
      </c>
      <c r="B395" s="55" t="s">
        <v>976</v>
      </c>
      <c r="C395" s="56" t="s">
        <v>981</v>
      </c>
      <c r="D395" s="55" t="s">
        <v>926</v>
      </c>
      <c r="E395" s="56" t="s">
        <v>30</v>
      </c>
      <c r="F395" s="55" t="s">
        <v>184</v>
      </c>
      <c r="G395" s="56"/>
      <c r="H395" s="55" t="s">
        <v>678</v>
      </c>
      <c r="I395" s="56" t="s">
        <v>214</v>
      </c>
      <c r="J395" s="55" t="s">
        <v>930</v>
      </c>
      <c r="K395" s="35"/>
      <c r="L395" s="36" t="s">
        <v>970</v>
      </c>
      <c r="M395" s="37" t="s">
        <v>982</v>
      </c>
      <c r="N395" s="37"/>
      <c r="O395" s="38" t="s">
        <v>214</v>
      </c>
      <c r="P395" s="38"/>
      <c r="Q395" s="39"/>
      <c r="R395" s="39"/>
      <c r="S395" s="73"/>
      <c r="T395" s="73"/>
      <c r="U395" s="73"/>
      <c r="V395" s="73"/>
      <c r="W395" s="73"/>
      <c r="X395" s="73"/>
      <c r="Y395" s="73"/>
      <c r="Z395" s="74"/>
    </row>
    <row r="396" ht="15.0" customHeight="1">
      <c r="A396" s="17" t="str">
        <f>HYPERLINK("http://purl.obolibrary.org/obo/OBI_0001861","http://purl.obolibrary.org/obo/OBI_0001861")</f>
        <v>http://purl.obolibrary.org/obo/OBI_0001861</v>
      </c>
      <c r="B396" s="18" t="s">
        <v>983</v>
      </c>
      <c r="C396" s="19" t="s">
        <v>984</v>
      </c>
      <c r="D396" s="18" t="s">
        <v>926</v>
      </c>
      <c r="E396" s="20" t="s">
        <v>30</v>
      </c>
      <c r="F396" s="18" t="s">
        <v>326</v>
      </c>
      <c r="G396" s="20"/>
      <c r="H396" s="18" t="s">
        <v>205</v>
      </c>
      <c r="I396" s="20" t="s">
        <v>214</v>
      </c>
      <c r="J396" s="18" t="s">
        <v>985</v>
      </c>
      <c r="K396" s="18"/>
      <c r="L396" s="20"/>
      <c r="M396" s="21" t="s">
        <v>986</v>
      </c>
      <c r="N396" s="21"/>
      <c r="O396" s="22" t="s">
        <v>214</v>
      </c>
      <c r="P396" s="22"/>
      <c r="Q396" s="23"/>
      <c r="R396" s="23"/>
      <c r="S396" s="75"/>
      <c r="T396" s="75"/>
      <c r="U396" s="75"/>
      <c r="V396" s="75"/>
      <c r="W396" s="75"/>
      <c r="X396" s="75"/>
      <c r="Y396" s="75"/>
      <c r="Z396" s="76"/>
    </row>
    <row r="397" ht="15.0" customHeight="1">
      <c r="A397" s="26" t="str">
        <f>A396</f>
        <v>http://purl.obolibrary.org/obo/OBI_0001861</v>
      </c>
      <c r="B397" s="27"/>
      <c r="C397" s="27"/>
      <c r="D397" s="27"/>
      <c r="E397" s="27"/>
      <c r="F397" s="27"/>
      <c r="G397" s="27"/>
      <c r="H397" s="52" t="s">
        <v>329</v>
      </c>
      <c r="I397" s="53" t="s">
        <v>189</v>
      </c>
      <c r="J397" s="52" t="s">
        <v>987</v>
      </c>
      <c r="K397" s="28" t="s">
        <v>209</v>
      </c>
      <c r="L397" s="49" t="s">
        <v>191</v>
      </c>
      <c r="M397" s="29" t="s">
        <v>988</v>
      </c>
      <c r="N397" s="29"/>
      <c r="O397" s="27"/>
      <c r="P397" s="30"/>
      <c r="Q397" s="31"/>
      <c r="R397" s="31"/>
      <c r="S397" s="77"/>
      <c r="T397" s="77"/>
      <c r="U397" s="77"/>
      <c r="V397" s="77"/>
      <c r="W397" s="77"/>
      <c r="X397" s="77"/>
      <c r="Y397" s="77"/>
      <c r="Z397" s="78"/>
    </row>
    <row r="398" ht="15.0" customHeight="1">
      <c r="A398" s="54" t="s">
        <v>989</v>
      </c>
      <c r="B398" s="55" t="s">
        <v>983</v>
      </c>
      <c r="C398" s="56" t="s">
        <v>990</v>
      </c>
      <c r="D398" s="55" t="s">
        <v>926</v>
      </c>
      <c r="E398" s="56" t="s">
        <v>30</v>
      </c>
      <c r="F398" s="55" t="s">
        <v>326</v>
      </c>
      <c r="G398" s="56"/>
      <c r="H398" s="55" t="s">
        <v>205</v>
      </c>
      <c r="I398" s="56" t="s">
        <v>214</v>
      </c>
      <c r="J398" s="55" t="s">
        <v>985</v>
      </c>
      <c r="K398" s="35"/>
      <c r="L398" s="36" t="s">
        <v>193</v>
      </c>
      <c r="M398" s="37" t="s">
        <v>991</v>
      </c>
      <c r="N398" s="37"/>
      <c r="O398" s="38" t="s">
        <v>214</v>
      </c>
      <c r="P398" s="38"/>
      <c r="Q398" s="39"/>
      <c r="R398" s="39"/>
      <c r="S398" s="79"/>
      <c r="T398" s="79"/>
      <c r="U398" s="79"/>
      <c r="V398" s="79"/>
      <c r="W398" s="79"/>
      <c r="X398" s="79"/>
      <c r="Y398" s="79"/>
      <c r="Z398" s="80"/>
    </row>
    <row r="399" ht="15.0" customHeight="1">
      <c r="A399" s="17" t="str">
        <f>HYPERLINK("http://purl.obolibrary.org/obo/OBI_0001862","http://purl.obolibrary.org/obo/OBI_0001862")</f>
        <v>http://purl.obolibrary.org/obo/OBI_0001862</v>
      </c>
      <c r="B399" s="18" t="s">
        <v>992</v>
      </c>
      <c r="C399" s="20" t="s">
        <v>993</v>
      </c>
      <c r="D399" s="18" t="s">
        <v>926</v>
      </c>
      <c r="E399" s="20" t="s">
        <v>30</v>
      </c>
      <c r="F399" s="18" t="s">
        <v>324</v>
      </c>
      <c r="G399" s="20"/>
      <c r="H399" s="18"/>
      <c r="I399" s="20"/>
      <c r="J399" s="18"/>
      <c r="K399" s="18"/>
      <c r="L399" s="20"/>
      <c r="M399" s="21" t="s">
        <v>994</v>
      </c>
      <c r="N399" s="21"/>
      <c r="O399" s="22"/>
      <c r="P399" s="22"/>
      <c r="Q399" s="23"/>
      <c r="R399" s="23"/>
      <c r="S399" s="75"/>
      <c r="T399" s="75"/>
      <c r="U399" s="75"/>
      <c r="V399" s="75"/>
      <c r="W399" s="75"/>
      <c r="X399" s="75"/>
      <c r="Y399" s="75"/>
      <c r="Z399" s="76"/>
    </row>
    <row r="400" ht="15.0" customHeight="1">
      <c r="A400" s="26" t="str">
        <f>A399</f>
        <v>http://purl.obolibrary.org/obo/OBI_0001862</v>
      </c>
      <c r="B400" s="27"/>
      <c r="C400" s="27"/>
      <c r="D400" s="27"/>
      <c r="E400" s="27"/>
      <c r="F400" s="27"/>
      <c r="G400" s="27"/>
      <c r="H400" s="28"/>
      <c r="I400" s="27"/>
      <c r="J400" s="28"/>
      <c r="K400" s="28"/>
      <c r="L400" s="27"/>
      <c r="M400" s="29" t="s">
        <v>995</v>
      </c>
      <c r="N400" s="29"/>
      <c r="O400" s="27"/>
      <c r="P400" s="30"/>
      <c r="Q400" s="31"/>
      <c r="R400" s="31"/>
      <c r="S400" s="77"/>
      <c r="T400" s="77"/>
      <c r="U400" s="77"/>
      <c r="V400" s="77"/>
      <c r="W400" s="77"/>
      <c r="X400" s="77"/>
      <c r="Y400" s="77"/>
      <c r="Z400" s="78"/>
    </row>
    <row r="401" ht="15.0" customHeight="1">
      <c r="A401" s="34" t="s">
        <v>996</v>
      </c>
      <c r="B401" s="35" t="s">
        <v>992</v>
      </c>
      <c r="C401" s="36" t="s">
        <v>993</v>
      </c>
      <c r="D401" s="35" t="s">
        <v>926</v>
      </c>
      <c r="E401" s="36" t="s">
        <v>30</v>
      </c>
      <c r="F401" s="35" t="s">
        <v>324</v>
      </c>
      <c r="G401" s="36"/>
      <c r="H401" s="36"/>
      <c r="I401" s="36"/>
      <c r="J401" s="35"/>
      <c r="K401" s="35"/>
      <c r="L401" s="36"/>
      <c r="M401" s="37" t="s">
        <v>997</v>
      </c>
      <c r="N401" s="37"/>
      <c r="O401" s="38"/>
      <c r="P401" s="38"/>
      <c r="Q401" s="39"/>
      <c r="R401" s="39"/>
      <c r="S401" s="73"/>
      <c r="T401" s="73"/>
      <c r="U401" s="73"/>
      <c r="V401" s="73"/>
      <c r="W401" s="73"/>
      <c r="X401" s="73"/>
      <c r="Y401" s="73"/>
      <c r="Z401" s="74"/>
    </row>
    <row r="402" ht="15.0" customHeight="1">
      <c r="A402" s="17" t="str">
        <f>HYPERLINK("http://purl.obolibrary.org/obo/OBI_0001863","http://purl.obolibrary.org/obo/OBI_0001863")</f>
        <v>http://purl.obolibrary.org/obo/OBI_0001863</v>
      </c>
      <c r="B402" s="18" t="s">
        <v>998</v>
      </c>
      <c r="C402" s="20" t="s">
        <v>999</v>
      </c>
      <c r="D402" s="18" t="s">
        <v>926</v>
      </c>
      <c r="E402" s="20" t="s">
        <v>30</v>
      </c>
      <c r="F402" s="18" t="s">
        <v>324</v>
      </c>
      <c r="G402" s="20"/>
      <c r="H402" s="18"/>
      <c r="I402" s="20"/>
      <c r="J402" s="18"/>
      <c r="K402" s="18"/>
      <c r="L402" s="20"/>
      <c r="M402" s="21" t="s">
        <v>1000</v>
      </c>
      <c r="N402" s="21"/>
      <c r="O402" s="22"/>
      <c r="P402" s="22"/>
      <c r="Q402" s="23"/>
      <c r="R402" s="23"/>
      <c r="S402" s="75"/>
      <c r="T402" s="75"/>
      <c r="U402" s="75"/>
      <c r="V402" s="75"/>
      <c r="W402" s="75"/>
      <c r="X402" s="75"/>
      <c r="Y402" s="75"/>
      <c r="Z402" s="76"/>
    </row>
    <row r="403" ht="15.0" customHeight="1">
      <c r="A403" s="26" t="str">
        <f>A402</f>
        <v>http://purl.obolibrary.org/obo/OBI_0001863</v>
      </c>
      <c r="B403" s="27"/>
      <c r="C403" s="27"/>
      <c r="D403" s="27"/>
      <c r="E403" s="27"/>
      <c r="F403" s="27"/>
      <c r="G403" s="27"/>
      <c r="H403" s="28"/>
      <c r="I403" s="27"/>
      <c r="J403" s="28"/>
      <c r="K403" s="28"/>
      <c r="L403" s="49" t="s">
        <v>1001</v>
      </c>
      <c r="M403" s="29" t="s">
        <v>1002</v>
      </c>
      <c r="N403" s="29"/>
      <c r="O403" s="27"/>
      <c r="P403" s="30"/>
      <c r="Q403" s="31"/>
      <c r="R403" s="31"/>
      <c r="S403" s="83"/>
      <c r="T403" s="83"/>
      <c r="U403" s="83"/>
      <c r="V403" s="83"/>
      <c r="W403" s="83"/>
      <c r="X403" s="83"/>
      <c r="Y403" s="83"/>
      <c r="Z403" s="84"/>
    </row>
    <row r="404" ht="15.0" customHeight="1">
      <c r="A404" s="34" t="s">
        <v>1003</v>
      </c>
      <c r="B404" s="35" t="s">
        <v>998</v>
      </c>
      <c r="C404" s="36" t="s">
        <v>999</v>
      </c>
      <c r="D404" s="35" t="s">
        <v>926</v>
      </c>
      <c r="E404" s="36" t="s">
        <v>30</v>
      </c>
      <c r="F404" s="35" t="s">
        <v>324</v>
      </c>
      <c r="G404" s="36"/>
      <c r="H404" s="36"/>
      <c r="I404" s="36"/>
      <c r="J404" s="35"/>
      <c r="K404" s="35"/>
      <c r="L404" s="36" t="s">
        <v>1004</v>
      </c>
      <c r="M404" s="37" t="s">
        <v>1005</v>
      </c>
      <c r="N404" s="37"/>
      <c r="O404" s="38"/>
      <c r="P404" s="38"/>
      <c r="Q404" s="39"/>
      <c r="R404" s="39"/>
      <c r="S404" s="79"/>
      <c r="T404" s="79"/>
      <c r="U404" s="79"/>
      <c r="V404" s="79"/>
      <c r="W404" s="79"/>
      <c r="X404" s="79"/>
      <c r="Y404" s="79"/>
      <c r="Z404" s="80"/>
    </row>
    <row r="405" ht="15.0" customHeight="1">
      <c r="A405" s="17" t="str">
        <f>HYPERLINK("http://purl.obolibrary.org/obo/OBI_0001864","http://purl.obolibrary.org/obo/OBI_0001864")</f>
        <v>http://purl.obolibrary.org/obo/OBI_0001864</v>
      </c>
      <c r="B405" s="18" t="s">
        <v>1006</v>
      </c>
      <c r="C405" s="19" t="s">
        <v>1007</v>
      </c>
      <c r="D405" s="18" t="s">
        <v>926</v>
      </c>
      <c r="E405" s="20" t="s">
        <v>30</v>
      </c>
      <c r="F405" s="18" t="s">
        <v>704</v>
      </c>
      <c r="G405" s="20"/>
      <c r="H405" s="18" t="s">
        <v>1008</v>
      </c>
      <c r="I405" s="20" t="s">
        <v>634</v>
      </c>
      <c r="J405" s="18" t="s">
        <v>930</v>
      </c>
      <c r="K405" s="18"/>
      <c r="L405" s="20"/>
      <c r="M405" s="21" t="s">
        <v>1009</v>
      </c>
      <c r="N405" s="21"/>
      <c r="O405" s="22" t="s">
        <v>634</v>
      </c>
      <c r="P405" s="22"/>
      <c r="Q405" s="23"/>
      <c r="R405" s="23"/>
      <c r="S405" s="81"/>
      <c r="T405" s="81"/>
      <c r="U405" s="81"/>
      <c r="V405" s="81"/>
      <c r="W405" s="81"/>
      <c r="X405" s="81"/>
      <c r="Y405" s="81"/>
      <c r="Z405" s="82"/>
    </row>
    <row r="406" ht="15.0" customHeight="1">
      <c r="A406" s="26" t="str">
        <f>A405</f>
        <v>http://purl.obolibrary.org/obo/OBI_0001864</v>
      </c>
      <c r="B406" s="27"/>
      <c r="C406" s="27"/>
      <c r="D406" s="27"/>
      <c r="E406" s="27"/>
      <c r="F406" s="27"/>
      <c r="G406" s="27"/>
      <c r="H406" s="52" t="s">
        <v>1010</v>
      </c>
      <c r="I406" s="53" t="s">
        <v>636</v>
      </c>
      <c r="J406" s="52" t="s">
        <v>190</v>
      </c>
      <c r="K406" s="28"/>
      <c r="L406" s="49" t="s">
        <v>191</v>
      </c>
      <c r="M406" s="29" t="s">
        <v>1011</v>
      </c>
      <c r="N406" s="29"/>
      <c r="O406" s="27"/>
      <c r="P406" s="30"/>
      <c r="Q406" s="31"/>
      <c r="R406" s="31"/>
      <c r="S406" s="77"/>
      <c r="T406" s="77"/>
      <c r="U406" s="77"/>
      <c r="V406" s="77"/>
      <c r="W406" s="77"/>
      <c r="X406" s="77"/>
      <c r="Y406" s="77"/>
      <c r="Z406" s="78"/>
    </row>
    <row r="407" ht="15.0" customHeight="1">
      <c r="A407" s="54" t="s">
        <v>1012</v>
      </c>
      <c r="B407" s="55" t="s">
        <v>1006</v>
      </c>
      <c r="C407" s="56" t="s">
        <v>1013</v>
      </c>
      <c r="D407" s="55" t="s">
        <v>926</v>
      </c>
      <c r="E407" s="56" t="s">
        <v>30</v>
      </c>
      <c r="F407" s="55" t="s">
        <v>709</v>
      </c>
      <c r="G407" s="56"/>
      <c r="H407" s="55" t="s">
        <v>1008</v>
      </c>
      <c r="I407" s="56" t="s">
        <v>634</v>
      </c>
      <c r="J407" s="55" t="s">
        <v>930</v>
      </c>
      <c r="K407" s="35"/>
      <c r="L407" s="36" t="s">
        <v>193</v>
      </c>
      <c r="M407" s="37" t="s">
        <v>1014</v>
      </c>
      <c r="N407" s="37"/>
      <c r="O407" s="38" t="s">
        <v>634</v>
      </c>
      <c r="P407" s="38"/>
      <c r="Q407" s="39"/>
      <c r="R407" s="39"/>
      <c r="S407" s="73"/>
      <c r="T407" s="73"/>
      <c r="U407" s="73"/>
      <c r="V407" s="73"/>
      <c r="W407" s="73"/>
      <c r="X407" s="73"/>
      <c r="Y407" s="73"/>
      <c r="Z407" s="74"/>
    </row>
    <row r="408" ht="15.0" customHeight="1">
      <c r="A408" s="17" t="str">
        <f>HYPERLINK("http://purl.obolibrary.org/obo/OBI_0001915","http://purl.obolibrary.org/obo/OBI_0001915")</f>
        <v>http://purl.obolibrary.org/obo/OBI_0001915</v>
      </c>
      <c r="B408" s="18" t="s">
        <v>1015</v>
      </c>
      <c r="C408" s="20" t="s">
        <v>1016</v>
      </c>
      <c r="D408" s="18" t="s">
        <v>1017</v>
      </c>
      <c r="E408" s="20" t="s">
        <v>30</v>
      </c>
      <c r="F408" s="18" t="s">
        <v>19</v>
      </c>
      <c r="G408" s="20"/>
      <c r="H408" s="18" t="s">
        <v>1018</v>
      </c>
      <c r="I408" s="20" t="s">
        <v>1019</v>
      </c>
      <c r="J408" s="18" t="s">
        <v>1020</v>
      </c>
      <c r="K408" s="18"/>
      <c r="L408" s="20"/>
      <c r="M408" s="21" t="s">
        <v>1021</v>
      </c>
      <c r="N408" s="21"/>
      <c r="O408" s="22" t="s">
        <v>1022</v>
      </c>
      <c r="P408" s="22"/>
      <c r="Q408" s="23"/>
      <c r="R408" s="23"/>
      <c r="S408" s="75"/>
      <c r="T408" s="75"/>
      <c r="U408" s="75"/>
      <c r="V408" s="75"/>
      <c r="W408" s="75"/>
      <c r="X408" s="75"/>
      <c r="Y408" s="75"/>
      <c r="Z408" s="76"/>
    </row>
    <row r="409" ht="15.0" customHeight="1">
      <c r="A409" s="26" t="str">
        <f>A408</f>
        <v>http://purl.obolibrary.org/obo/OBI_0001915</v>
      </c>
      <c r="B409" s="27"/>
      <c r="C409" s="27"/>
      <c r="D409" s="27"/>
      <c r="E409" s="27"/>
      <c r="F409" s="27"/>
      <c r="G409" s="27"/>
      <c r="H409" s="28" t="s">
        <v>1023</v>
      </c>
      <c r="I409" s="49" t="s">
        <v>1024</v>
      </c>
      <c r="J409" s="28" t="s">
        <v>1025</v>
      </c>
      <c r="K409" s="28" t="s">
        <v>1026</v>
      </c>
      <c r="L409" s="49" t="s">
        <v>1027</v>
      </c>
      <c r="M409" s="29" t="s">
        <v>1028</v>
      </c>
      <c r="N409" s="29"/>
      <c r="O409" s="50" t="s">
        <v>1029</v>
      </c>
      <c r="P409" s="30"/>
      <c r="Q409" s="31"/>
      <c r="R409" s="31"/>
      <c r="S409" s="77"/>
      <c r="T409" s="77"/>
      <c r="U409" s="77"/>
      <c r="V409" s="77"/>
      <c r="W409" s="77"/>
      <c r="X409" s="77"/>
      <c r="Y409" s="77"/>
      <c r="Z409" s="78"/>
    </row>
    <row r="410" ht="15.0" customHeight="1">
      <c r="A410" s="34" t="s">
        <v>1030</v>
      </c>
      <c r="B410" s="35" t="s">
        <v>1015</v>
      </c>
      <c r="C410" s="36" t="s">
        <v>1016</v>
      </c>
      <c r="D410" s="35" t="s">
        <v>1017</v>
      </c>
      <c r="E410" s="36" t="s">
        <v>30</v>
      </c>
      <c r="F410" s="35" t="s">
        <v>19</v>
      </c>
      <c r="G410" s="36"/>
      <c r="H410" s="35" t="s">
        <v>1018</v>
      </c>
      <c r="I410" s="36" t="s">
        <v>1019</v>
      </c>
      <c r="J410" s="35" t="s">
        <v>1031</v>
      </c>
      <c r="K410" s="35"/>
      <c r="L410" s="36" t="s">
        <v>1032</v>
      </c>
      <c r="M410" s="37" t="s">
        <v>1033</v>
      </c>
      <c r="N410" s="37"/>
      <c r="O410" s="38" t="s">
        <v>1034</v>
      </c>
      <c r="P410" s="38"/>
      <c r="Q410" s="39"/>
      <c r="R410" s="39"/>
      <c r="S410" s="73"/>
      <c r="T410" s="73"/>
      <c r="U410" s="73"/>
      <c r="V410" s="73"/>
      <c r="W410" s="73"/>
      <c r="X410" s="73"/>
      <c r="Y410" s="73"/>
      <c r="Z410" s="74"/>
    </row>
    <row r="411" ht="15.0" customHeight="1">
      <c r="A411" s="17" t="str">
        <f>HYPERLINK("http://purl.obolibrary.org/obo/OBI_0001918","http://purl.obolibrary.org/obo/OBI_0001918")</f>
        <v>http://purl.obolibrary.org/obo/OBI_0001918</v>
      </c>
      <c r="B411" s="18" t="s">
        <v>1035</v>
      </c>
      <c r="C411" s="19" t="s">
        <v>1036</v>
      </c>
      <c r="D411" s="18" t="s">
        <v>926</v>
      </c>
      <c r="E411" s="20" t="s">
        <v>30</v>
      </c>
      <c r="F411" s="18" t="s">
        <v>67</v>
      </c>
      <c r="G411" s="20"/>
      <c r="H411" s="18" t="s">
        <v>962</v>
      </c>
      <c r="I411" s="20"/>
      <c r="J411" s="18" t="s">
        <v>58</v>
      </c>
      <c r="K411" s="18"/>
      <c r="L411" s="20"/>
      <c r="M411" s="21" t="s">
        <v>1037</v>
      </c>
      <c r="N411" s="21"/>
      <c r="O411" s="22" t="s">
        <v>1038</v>
      </c>
      <c r="P411" s="22"/>
      <c r="Q411" s="23"/>
      <c r="R411" s="23"/>
      <c r="S411" s="81"/>
      <c r="T411" s="81"/>
      <c r="U411" s="81"/>
      <c r="V411" s="81"/>
      <c r="W411" s="81"/>
      <c r="X411" s="81"/>
      <c r="Y411" s="81"/>
      <c r="Z411" s="82"/>
    </row>
    <row r="412" ht="15.0" customHeight="1">
      <c r="A412" s="26" t="str">
        <f>A411</f>
        <v>http://purl.obolibrary.org/obo/OBI_0001918</v>
      </c>
      <c r="B412" s="27"/>
      <c r="C412" s="27"/>
      <c r="D412" s="27"/>
      <c r="E412" s="27"/>
      <c r="F412" s="27"/>
      <c r="G412" s="27"/>
      <c r="H412" s="52" t="s">
        <v>964</v>
      </c>
      <c r="I412" s="27"/>
      <c r="J412" s="52" t="s">
        <v>61</v>
      </c>
      <c r="K412" s="28"/>
      <c r="L412" s="49" t="s">
        <v>687</v>
      </c>
      <c r="M412" s="29" t="s">
        <v>1039</v>
      </c>
      <c r="N412" s="29"/>
      <c r="O412" s="30" t="s">
        <v>813</v>
      </c>
      <c r="P412" s="30"/>
      <c r="Q412" s="31"/>
      <c r="R412" s="31"/>
      <c r="S412" s="77"/>
      <c r="T412" s="77"/>
      <c r="U412" s="77"/>
      <c r="V412" s="77"/>
      <c r="W412" s="77"/>
      <c r="X412" s="77"/>
      <c r="Y412" s="77"/>
      <c r="Z412" s="78"/>
    </row>
    <row r="413" ht="15.0" customHeight="1">
      <c r="A413" s="54" t="s">
        <v>1040</v>
      </c>
      <c r="B413" s="55" t="s">
        <v>1035</v>
      </c>
      <c r="C413" s="56" t="s">
        <v>1041</v>
      </c>
      <c r="D413" s="55" t="s">
        <v>926</v>
      </c>
      <c r="E413" s="56" t="s">
        <v>30</v>
      </c>
      <c r="F413" s="55" t="s">
        <v>1042</v>
      </c>
      <c r="G413" s="56"/>
      <c r="H413" s="55" t="s">
        <v>962</v>
      </c>
      <c r="I413" s="56"/>
      <c r="J413" s="55" t="s">
        <v>63</v>
      </c>
      <c r="K413" s="35"/>
      <c r="L413" s="36" t="s">
        <v>692</v>
      </c>
      <c r="M413" s="37" t="s">
        <v>1043</v>
      </c>
      <c r="N413" s="37"/>
      <c r="O413" s="38" t="s">
        <v>1044</v>
      </c>
      <c r="P413" s="38"/>
      <c r="Q413" s="39"/>
      <c r="R413" s="39"/>
      <c r="S413" s="73"/>
      <c r="T413" s="73"/>
      <c r="U413" s="73"/>
      <c r="V413" s="73"/>
      <c r="W413" s="73"/>
      <c r="X413" s="73"/>
      <c r="Y413" s="73"/>
      <c r="Z413" s="74"/>
    </row>
    <row r="414" ht="15.0" customHeight="1">
      <c r="A414" s="17" t="str">
        <f>HYPERLINK("http://purl.obolibrary.org/obo/OBI_0001919","http://purl.obolibrary.org/obo/OBI_0001919")</f>
        <v>http://purl.obolibrary.org/obo/OBI_0001919</v>
      </c>
      <c r="B414" s="18" t="s">
        <v>1045</v>
      </c>
      <c r="C414" s="19" t="s">
        <v>1046</v>
      </c>
      <c r="D414" s="18" t="s">
        <v>1017</v>
      </c>
      <c r="E414" s="20" t="s">
        <v>30</v>
      </c>
      <c r="F414" s="18" t="s">
        <v>186</v>
      </c>
      <c r="G414" s="20"/>
      <c r="H414" s="18" t="s">
        <v>1047</v>
      </c>
      <c r="I414" s="20"/>
      <c r="J414" s="18" t="s">
        <v>930</v>
      </c>
      <c r="K414" s="18"/>
      <c r="L414" s="20"/>
      <c r="M414" s="21" t="s">
        <v>1048</v>
      </c>
      <c r="N414" s="21"/>
      <c r="O414" s="22" t="s">
        <v>1022</v>
      </c>
      <c r="P414" s="22"/>
      <c r="Q414" s="23"/>
      <c r="R414" s="23"/>
      <c r="S414" s="75"/>
      <c r="T414" s="75"/>
      <c r="U414" s="75"/>
      <c r="V414" s="75"/>
      <c r="W414" s="75"/>
      <c r="X414" s="75"/>
      <c r="Y414" s="75"/>
      <c r="Z414" s="76"/>
    </row>
    <row r="415" ht="15.0" customHeight="1">
      <c r="A415" s="26" t="str">
        <f>A414</f>
        <v>http://purl.obolibrary.org/obo/OBI_0001919</v>
      </c>
      <c r="B415" s="27"/>
      <c r="C415" s="27"/>
      <c r="D415" s="27"/>
      <c r="E415" s="27"/>
      <c r="F415" s="27"/>
      <c r="G415" s="27"/>
      <c r="H415" s="52" t="s">
        <v>1049</v>
      </c>
      <c r="I415" s="27"/>
      <c r="J415" s="52" t="s">
        <v>190</v>
      </c>
      <c r="K415" s="28"/>
      <c r="L415" s="49" t="s">
        <v>191</v>
      </c>
      <c r="M415" s="29" t="s">
        <v>1050</v>
      </c>
      <c r="N415" s="29"/>
      <c r="O415" s="50" t="s">
        <v>98</v>
      </c>
      <c r="P415" s="30"/>
      <c r="Q415" s="31"/>
      <c r="R415" s="31"/>
      <c r="S415" s="83"/>
      <c r="T415" s="83"/>
      <c r="U415" s="83"/>
      <c r="V415" s="83"/>
      <c r="W415" s="83"/>
      <c r="X415" s="83"/>
      <c r="Y415" s="83"/>
      <c r="Z415" s="84"/>
    </row>
    <row r="416" ht="15.0" customHeight="1">
      <c r="A416" s="54" t="s">
        <v>1051</v>
      </c>
      <c r="B416" s="55" t="s">
        <v>1045</v>
      </c>
      <c r="C416" s="56" t="s">
        <v>1052</v>
      </c>
      <c r="D416" s="55" t="s">
        <v>1017</v>
      </c>
      <c r="E416" s="56" t="s">
        <v>30</v>
      </c>
      <c r="F416" s="55" t="s">
        <v>186</v>
      </c>
      <c r="G416" s="56"/>
      <c r="H416" s="55" t="s">
        <v>1047</v>
      </c>
      <c r="I416" s="56"/>
      <c r="J416" s="55" t="s">
        <v>930</v>
      </c>
      <c r="K416" s="35"/>
      <c r="L416" s="36" t="s">
        <v>193</v>
      </c>
      <c r="M416" s="37" t="s">
        <v>1053</v>
      </c>
      <c r="N416" s="37"/>
      <c r="O416" s="38" t="s">
        <v>1034</v>
      </c>
      <c r="P416" s="38"/>
      <c r="Q416" s="39"/>
      <c r="R416" s="39"/>
      <c r="S416" s="73"/>
      <c r="T416" s="73"/>
      <c r="U416" s="73"/>
      <c r="V416" s="73"/>
      <c r="W416" s="73"/>
      <c r="X416" s="73"/>
      <c r="Y416" s="73"/>
      <c r="Z416" s="74"/>
    </row>
    <row r="417" ht="15.0" customHeight="1">
      <c r="A417" s="17" t="str">
        <f>HYPERLINK("http://purl.obolibrary.org/obo/OBI_0001920","http://purl.obolibrary.org/obo/OBI_0001920")</f>
        <v>http://purl.obolibrary.org/obo/OBI_0001920</v>
      </c>
      <c r="B417" s="18" t="s">
        <v>1054</v>
      </c>
      <c r="C417" s="19" t="s">
        <v>1055</v>
      </c>
      <c r="D417" s="18" t="s">
        <v>1017</v>
      </c>
      <c r="E417" s="20" t="s">
        <v>30</v>
      </c>
      <c r="F417" s="18" t="s">
        <v>186</v>
      </c>
      <c r="G417" s="20"/>
      <c r="H417" s="18" t="s">
        <v>1018</v>
      </c>
      <c r="I417" s="20" t="s">
        <v>1019</v>
      </c>
      <c r="J417" s="18" t="s">
        <v>1056</v>
      </c>
      <c r="K417" s="18"/>
      <c r="L417" s="20"/>
      <c r="M417" s="21" t="s">
        <v>1057</v>
      </c>
      <c r="N417" s="21"/>
      <c r="O417" s="22" t="s">
        <v>1022</v>
      </c>
      <c r="P417" s="22"/>
      <c r="Q417" s="23"/>
      <c r="R417" s="23"/>
      <c r="S417" s="75"/>
      <c r="T417" s="75"/>
      <c r="U417" s="75"/>
      <c r="V417" s="75"/>
      <c r="W417" s="75"/>
      <c r="X417" s="75"/>
      <c r="Y417" s="75"/>
      <c r="Z417" s="76"/>
    </row>
    <row r="418" ht="15.0" customHeight="1">
      <c r="A418" s="26" t="str">
        <f>A417</f>
        <v>http://purl.obolibrary.org/obo/OBI_0001920</v>
      </c>
      <c r="B418" s="27"/>
      <c r="C418" s="27"/>
      <c r="D418" s="27"/>
      <c r="E418" s="27"/>
      <c r="F418" s="27"/>
      <c r="G418" s="27"/>
      <c r="H418" s="52" t="s">
        <v>1023</v>
      </c>
      <c r="I418" s="58" t="s">
        <v>1024</v>
      </c>
      <c r="J418" s="52" t="s">
        <v>1058</v>
      </c>
      <c r="K418" s="28" t="s">
        <v>1026</v>
      </c>
      <c r="L418" s="49" t="s">
        <v>1059</v>
      </c>
      <c r="M418" s="29" t="s">
        <v>1060</v>
      </c>
      <c r="N418" s="29"/>
      <c r="O418" s="50" t="s">
        <v>98</v>
      </c>
      <c r="P418" s="30"/>
      <c r="Q418" s="31"/>
      <c r="R418" s="31"/>
      <c r="S418" s="77"/>
      <c r="T418" s="77"/>
      <c r="U418" s="77"/>
      <c r="V418" s="77"/>
      <c r="W418" s="77"/>
      <c r="X418" s="77"/>
      <c r="Y418" s="77"/>
      <c r="Z418" s="78"/>
    </row>
    <row r="419" ht="15.0" customHeight="1">
      <c r="A419" s="54" t="s">
        <v>1061</v>
      </c>
      <c r="B419" s="55" t="s">
        <v>1054</v>
      </c>
      <c r="C419" s="56" t="s">
        <v>1062</v>
      </c>
      <c r="D419" s="55" t="s">
        <v>1017</v>
      </c>
      <c r="E419" s="56" t="s">
        <v>30</v>
      </c>
      <c r="F419" s="55" t="s">
        <v>186</v>
      </c>
      <c r="G419" s="56"/>
      <c r="H419" s="55" t="s">
        <v>1018</v>
      </c>
      <c r="I419" s="56" t="s">
        <v>1019</v>
      </c>
      <c r="J419" s="55" t="s">
        <v>1056</v>
      </c>
      <c r="K419" s="35"/>
      <c r="L419" s="36" t="s">
        <v>1063</v>
      </c>
      <c r="M419" s="37" t="s">
        <v>1064</v>
      </c>
      <c r="N419" s="37"/>
      <c r="O419" s="38" t="s">
        <v>1034</v>
      </c>
      <c r="P419" s="38"/>
      <c r="Q419" s="39"/>
      <c r="R419" s="39"/>
      <c r="S419" s="73"/>
      <c r="T419" s="73"/>
      <c r="U419" s="73"/>
      <c r="V419" s="73"/>
      <c r="W419" s="73"/>
      <c r="X419" s="73"/>
      <c r="Y419" s="73"/>
      <c r="Z419" s="74"/>
    </row>
    <row r="420" ht="15.0" customHeight="1">
      <c r="A420" s="17" t="str">
        <f>HYPERLINK("http://purl.obolibrary.org/obo/OBI_0001921","http://purl.obolibrary.org/obo/OBI_0001921")</f>
        <v>http://purl.obolibrary.org/obo/OBI_0001921</v>
      </c>
      <c r="B420" s="18" t="s">
        <v>1065</v>
      </c>
      <c r="C420" s="20" t="s">
        <v>1066</v>
      </c>
      <c r="D420" s="18" t="s">
        <v>926</v>
      </c>
      <c r="E420" s="20" t="s">
        <v>30</v>
      </c>
      <c r="F420" s="18" t="s">
        <v>1035</v>
      </c>
      <c r="G420" s="20"/>
      <c r="H420" s="18"/>
      <c r="I420" s="20"/>
      <c r="J420" s="18"/>
      <c r="K420" s="18"/>
      <c r="L420" s="20"/>
      <c r="M420" s="21"/>
      <c r="N420" s="21"/>
      <c r="O420" s="22"/>
      <c r="P420" s="22"/>
      <c r="Q420" s="23"/>
      <c r="R420" s="23"/>
      <c r="S420" s="75"/>
      <c r="T420" s="75"/>
      <c r="U420" s="75"/>
      <c r="V420" s="75"/>
      <c r="W420" s="75"/>
      <c r="X420" s="75"/>
      <c r="Y420" s="75"/>
      <c r="Z420" s="76"/>
    </row>
    <row r="421" ht="15.0" customHeight="1">
      <c r="A421" s="26" t="str">
        <f>A420</f>
        <v>http://purl.obolibrary.org/obo/OBI_0001921</v>
      </c>
      <c r="B421" s="27"/>
      <c r="C421" s="27"/>
      <c r="D421" s="27"/>
      <c r="E421" s="27"/>
      <c r="F421" s="27"/>
      <c r="G421" s="27"/>
      <c r="H421" s="28"/>
      <c r="I421" s="27"/>
      <c r="J421" s="28"/>
      <c r="K421" s="28"/>
      <c r="L421" s="49" t="s">
        <v>668</v>
      </c>
      <c r="M421" s="29"/>
      <c r="N421" s="29"/>
      <c r="O421" s="27"/>
      <c r="P421" s="30"/>
      <c r="Q421" s="31"/>
      <c r="R421" s="31"/>
      <c r="S421" s="77"/>
      <c r="T421" s="77"/>
      <c r="U421" s="77"/>
      <c r="V421" s="77"/>
      <c r="W421" s="77"/>
      <c r="X421" s="77"/>
      <c r="Y421" s="77"/>
      <c r="Z421" s="78"/>
    </row>
    <row r="422" ht="15.0" customHeight="1">
      <c r="A422" s="54" t="s">
        <v>1067</v>
      </c>
      <c r="B422" s="55" t="s">
        <v>1065</v>
      </c>
      <c r="C422" s="56" t="s">
        <v>1066</v>
      </c>
      <c r="D422" s="55" t="s">
        <v>926</v>
      </c>
      <c r="E422" s="56" t="s">
        <v>30</v>
      </c>
      <c r="F422" s="55" t="s">
        <v>1035</v>
      </c>
      <c r="G422" s="56"/>
      <c r="H422" s="56"/>
      <c r="I422" s="56"/>
      <c r="J422" s="55"/>
      <c r="K422" s="35"/>
      <c r="L422" s="36" t="s">
        <v>671</v>
      </c>
      <c r="M422" s="37"/>
      <c r="N422" s="37"/>
      <c r="O422" s="38"/>
      <c r="P422" s="38"/>
      <c r="Q422" s="39"/>
      <c r="R422" s="39"/>
      <c r="S422" s="73"/>
      <c r="T422" s="73"/>
      <c r="U422" s="73"/>
      <c r="V422" s="73"/>
      <c r="W422" s="73"/>
      <c r="X422" s="73"/>
      <c r="Y422" s="73"/>
      <c r="Z422" s="74"/>
    </row>
    <row r="423" ht="15.0" customHeight="1">
      <c r="A423" s="17" t="str">
        <f>HYPERLINK("http://purl.obolibrary.org/obo/OBI_0001922","http://purl.obolibrary.org/obo/OBI_0001922")</f>
        <v>http://purl.obolibrary.org/obo/OBI_0001922</v>
      </c>
      <c r="B423" s="18" t="s">
        <v>1068</v>
      </c>
      <c r="C423" s="19" t="s">
        <v>1069</v>
      </c>
      <c r="D423" s="18" t="s">
        <v>926</v>
      </c>
      <c r="E423" s="20" t="s">
        <v>30</v>
      </c>
      <c r="F423" s="18" t="s">
        <v>1070</v>
      </c>
      <c r="G423" s="20"/>
      <c r="H423" s="18"/>
      <c r="I423" s="20"/>
      <c r="J423" s="18" t="s">
        <v>744</v>
      </c>
      <c r="K423" s="18"/>
      <c r="L423" s="20"/>
      <c r="M423" s="21" t="s">
        <v>1000</v>
      </c>
      <c r="N423" s="21"/>
      <c r="O423" s="22" t="s">
        <v>1071</v>
      </c>
      <c r="P423" s="22"/>
      <c r="Q423" s="23"/>
      <c r="R423" s="23"/>
      <c r="S423" s="81"/>
      <c r="T423" s="81"/>
      <c r="U423" s="81"/>
      <c r="V423" s="81"/>
      <c r="W423" s="81"/>
      <c r="X423" s="81"/>
      <c r="Y423" s="81"/>
      <c r="Z423" s="82"/>
    </row>
    <row r="424" ht="15.0" customHeight="1">
      <c r="A424" s="26" t="str">
        <f>A423</f>
        <v>http://purl.obolibrary.org/obo/OBI_0001922</v>
      </c>
      <c r="B424" s="27"/>
      <c r="C424" s="27"/>
      <c r="D424" s="27"/>
      <c r="E424" s="27"/>
      <c r="F424" s="27"/>
      <c r="G424" s="27"/>
      <c r="H424" s="28"/>
      <c r="I424" s="27"/>
      <c r="J424" s="52" t="s">
        <v>745</v>
      </c>
      <c r="K424" s="28" t="s">
        <v>746</v>
      </c>
      <c r="L424" s="27"/>
      <c r="M424" s="29" t="s">
        <v>1002</v>
      </c>
      <c r="N424" s="29"/>
      <c r="O424" s="50" t="s">
        <v>87</v>
      </c>
      <c r="P424" s="30"/>
      <c r="Q424" s="31"/>
      <c r="R424" s="31"/>
      <c r="S424" s="77"/>
      <c r="T424" s="77"/>
      <c r="U424" s="77"/>
      <c r="V424" s="77"/>
      <c r="W424" s="77"/>
      <c r="X424" s="77"/>
      <c r="Y424" s="77"/>
      <c r="Z424" s="78"/>
    </row>
    <row r="425" ht="15.0" customHeight="1">
      <c r="A425" s="54" t="s">
        <v>1072</v>
      </c>
      <c r="B425" s="55" t="s">
        <v>1068</v>
      </c>
      <c r="C425" s="56" t="s">
        <v>1073</v>
      </c>
      <c r="D425" s="55" t="s">
        <v>926</v>
      </c>
      <c r="E425" s="56" t="s">
        <v>30</v>
      </c>
      <c r="F425" s="55" t="s">
        <v>1070</v>
      </c>
      <c r="G425" s="56"/>
      <c r="H425" s="56"/>
      <c r="I425" s="56"/>
      <c r="J425" s="55" t="s">
        <v>744</v>
      </c>
      <c r="K425" s="35"/>
      <c r="L425" s="36"/>
      <c r="M425" s="37" t="s">
        <v>1005</v>
      </c>
      <c r="N425" s="37"/>
      <c r="O425" s="38" t="s">
        <v>1074</v>
      </c>
      <c r="P425" s="38"/>
      <c r="Q425" s="39"/>
      <c r="R425" s="39"/>
      <c r="S425" s="73"/>
      <c r="T425" s="73"/>
      <c r="U425" s="73"/>
      <c r="V425" s="73"/>
      <c r="W425" s="73"/>
      <c r="X425" s="73"/>
      <c r="Y425" s="73"/>
      <c r="Z425" s="74"/>
    </row>
    <row r="426" ht="15.0" customHeight="1">
      <c r="A426" s="17" t="str">
        <f>HYPERLINK("http://purl.obolibrary.org/obo/OBI_0001923","http://purl.obolibrary.org/obo/OBI_0001923")</f>
        <v>http://purl.obolibrary.org/obo/OBI_0001923</v>
      </c>
      <c r="B426" s="18" t="s">
        <v>1075</v>
      </c>
      <c r="C426" s="19" t="s">
        <v>1076</v>
      </c>
      <c r="D426" s="18" t="s">
        <v>926</v>
      </c>
      <c r="E426" s="20" t="s">
        <v>30</v>
      </c>
      <c r="F426" s="18" t="s">
        <v>186</v>
      </c>
      <c r="G426" s="20"/>
      <c r="H426" s="18"/>
      <c r="I426" s="20"/>
      <c r="J426" s="18" t="s">
        <v>1077</v>
      </c>
      <c r="K426" s="18"/>
      <c r="L426" s="20"/>
      <c r="M426" s="21" t="s">
        <v>1078</v>
      </c>
      <c r="N426" s="21"/>
      <c r="O426" s="22" t="s">
        <v>1079</v>
      </c>
      <c r="P426" s="22"/>
      <c r="Q426" s="23"/>
      <c r="R426" s="23"/>
      <c r="S426" s="81"/>
      <c r="T426" s="81"/>
      <c r="U426" s="81"/>
      <c r="V426" s="81"/>
      <c r="W426" s="81"/>
      <c r="X426" s="81"/>
      <c r="Y426" s="81"/>
      <c r="Z426" s="82"/>
    </row>
    <row r="427" ht="15.0" customHeight="1">
      <c r="A427" s="26" t="str">
        <f>A426</f>
        <v>http://purl.obolibrary.org/obo/OBI_0001923</v>
      </c>
      <c r="B427" s="27"/>
      <c r="C427" s="27"/>
      <c r="D427" s="27"/>
      <c r="E427" s="27"/>
      <c r="F427" s="27"/>
      <c r="G427" s="27"/>
      <c r="H427" s="28"/>
      <c r="I427" s="27"/>
      <c r="J427" s="52" t="s">
        <v>1080</v>
      </c>
      <c r="K427" s="28"/>
      <c r="L427" s="49" t="s">
        <v>1081</v>
      </c>
      <c r="M427" s="29" t="s">
        <v>1082</v>
      </c>
      <c r="N427" s="29"/>
      <c r="O427" s="50" t="s">
        <v>730</v>
      </c>
      <c r="P427" s="30"/>
      <c r="Q427" s="31"/>
      <c r="R427" s="31"/>
      <c r="S427" s="77"/>
      <c r="T427" s="77"/>
      <c r="U427" s="77"/>
      <c r="V427" s="77"/>
      <c r="W427" s="77"/>
      <c r="X427" s="77"/>
      <c r="Y427" s="77"/>
      <c r="Z427" s="78"/>
    </row>
    <row r="428" ht="15.0" customHeight="1">
      <c r="A428" s="54" t="s">
        <v>1083</v>
      </c>
      <c r="B428" s="55" t="s">
        <v>1075</v>
      </c>
      <c r="C428" s="56" t="s">
        <v>1084</v>
      </c>
      <c r="D428" s="55" t="s">
        <v>926</v>
      </c>
      <c r="E428" s="56" t="s">
        <v>30</v>
      </c>
      <c r="F428" s="55" t="s">
        <v>186</v>
      </c>
      <c r="G428" s="56"/>
      <c r="H428" s="56"/>
      <c r="I428" s="56"/>
      <c r="J428" s="55" t="s">
        <v>1077</v>
      </c>
      <c r="K428" s="35"/>
      <c r="L428" s="36" t="s">
        <v>1085</v>
      </c>
      <c r="M428" s="37" t="s">
        <v>1086</v>
      </c>
      <c r="N428" s="37"/>
      <c r="O428" s="38" t="s">
        <v>1087</v>
      </c>
      <c r="P428" s="38"/>
      <c r="Q428" s="39"/>
      <c r="R428" s="39"/>
      <c r="S428" s="79"/>
      <c r="T428" s="79"/>
      <c r="U428" s="79"/>
      <c r="V428" s="79"/>
      <c r="W428" s="79"/>
      <c r="X428" s="79"/>
      <c r="Y428" s="79"/>
      <c r="Z428" s="80"/>
    </row>
    <row r="429" ht="15.0" customHeight="1">
      <c r="A429" s="17" t="str">
        <f>HYPERLINK("http://purl.obolibrary.org/obo/OBI_0001924","http://purl.obolibrary.org/obo/OBI_0001924")</f>
        <v>http://purl.obolibrary.org/obo/OBI_0001924</v>
      </c>
      <c r="B429" s="18" t="s">
        <v>1088</v>
      </c>
      <c r="C429" s="19" t="s">
        <v>1089</v>
      </c>
      <c r="D429" s="18" t="s">
        <v>926</v>
      </c>
      <c r="E429" s="20" t="s">
        <v>30</v>
      </c>
      <c r="F429" s="18" t="s">
        <v>186</v>
      </c>
      <c r="G429" s="20"/>
      <c r="H429" s="18" t="s">
        <v>678</v>
      </c>
      <c r="I429" s="20"/>
      <c r="J429" s="18" t="s">
        <v>930</v>
      </c>
      <c r="K429" s="18"/>
      <c r="L429" s="20"/>
      <c r="M429" s="21" t="s">
        <v>1090</v>
      </c>
      <c r="N429" s="21"/>
      <c r="O429" s="22" t="s">
        <v>1022</v>
      </c>
      <c r="P429" s="22"/>
      <c r="Q429" s="23"/>
      <c r="R429" s="23"/>
      <c r="S429" s="81"/>
      <c r="T429" s="81"/>
      <c r="U429" s="81"/>
      <c r="V429" s="81"/>
      <c r="W429" s="81"/>
      <c r="X429" s="81"/>
      <c r="Y429" s="81"/>
      <c r="Z429" s="82"/>
    </row>
    <row r="430" ht="15.0" customHeight="1">
      <c r="A430" s="26" t="str">
        <f>A429</f>
        <v>http://purl.obolibrary.org/obo/OBI_0001924</v>
      </c>
      <c r="B430" s="27"/>
      <c r="C430" s="27"/>
      <c r="D430" s="27"/>
      <c r="E430" s="27"/>
      <c r="F430" s="27"/>
      <c r="G430" s="27"/>
      <c r="H430" s="52" t="s">
        <v>683</v>
      </c>
      <c r="I430" s="27"/>
      <c r="J430" s="52" t="s">
        <v>190</v>
      </c>
      <c r="K430" s="28"/>
      <c r="L430" s="49" t="s">
        <v>191</v>
      </c>
      <c r="M430" s="29" t="s">
        <v>1091</v>
      </c>
      <c r="N430" s="29"/>
      <c r="O430" s="50" t="s">
        <v>98</v>
      </c>
      <c r="P430" s="30"/>
      <c r="Q430" s="31"/>
      <c r="R430" s="31"/>
      <c r="S430" s="77"/>
      <c r="T430" s="77"/>
      <c r="U430" s="77"/>
      <c r="V430" s="77"/>
      <c r="W430" s="77"/>
      <c r="X430" s="77"/>
      <c r="Y430" s="77"/>
      <c r="Z430" s="78"/>
    </row>
    <row r="431" ht="15.0" customHeight="1">
      <c r="A431" s="54" t="s">
        <v>1092</v>
      </c>
      <c r="B431" s="55" t="s">
        <v>1088</v>
      </c>
      <c r="C431" s="56" t="s">
        <v>1093</v>
      </c>
      <c r="D431" s="55" t="s">
        <v>926</v>
      </c>
      <c r="E431" s="56" t="s">
        <v>30</v>
      </c>
      <c r="F431" s="55" t="s">
        <v>186</v>
      </c>
      <c r="G431" s="56"/>
      <c r="H431" s="55" t="s">
        <v>678</v>
      </c>
      <c r="I431" s="56"/>
      <c r="J431" s="55" t="s">
        <v>930</v>
      </c>
      <c r="K431" s="35"/>
      <c r="L431" s="36" t="s">
        <v>193</v>
      </c>
      <c r="M431" s="37" t="s">
        <v>1094</v>
      </c>
      <c r="N431" s="37"/>
      <c r="O431" s="38" t="s">
        <v>1034</v>
      </c>
      <c r="P431" s="38"/>
      <c r="Q431" s="39"/>
      <c r="R431" s="39"/>
      <c r="S431" s="73"/>
      <c r="T431" s="73"/>
      <c r="U431" s="73"/>
      <c r="V431" s="73"/>
      <c r="W431" s="73"/>
      <c r="X431" s="73"/>
      <c r="Y431" s="73"/>
      <c r="Z431" s="74"/>
    </row>
    <row r="432" ht="15.0" customHeight="1">
      <c r="A432" s="17" t="str">
        <f>HYPERLINK("http://purl.obolibrary.org/obo/OBI_0001925","http://purl.obolibrary.org/obo/OBI_0001925")</f>
        <v>http://purl.obolibrary.org/obo/OBI_0001925</v>
      </c>
      <c r="B432" s="18" t="s">
        <v>1095</v>
      </c>
      <c r="C432" s="20" t="s">
        <v>1096</v>
      </c>
      <c r="D432" s="18" t="s">
        <v>926</v>
      </c>
      <c r="E432" s="20" t="s">
        <v>30</v>
      </c>
      <c r="F432" s="18" t="s">
        <v>258</v>
      </c>
      <c r="G432" s="20"/>
      <c r="H432" s="18"/>
      <c r="I432" s="20"/>
      <c r="J432" s="18" t="s">
        <v>930</v>
      </c>
      <c r="K432" s="18"/>
      <c r="L432" s="20"/>
      <c r="M432" s="21" t="s">
        <v>1097</v>
      </c>
      <c r="N432" s="21"/>
      <c r="O432" s="22" t="s">
        <v>1038</v>
      </c>
      <c r="P432" s="22"/>
      <c r="Q432" s="23"/>
      <c r="R432" s="23"/>
      <c r="S432" s="81"/>
      <c r="T432" s="81"/>
      <c r="U432" s="81"/>
      <c r="V432" s="81"/>
      <c r="W432" s="81"/>
      <c r="X432" s="81"/>
      <c r="Y432" s="81"/>
      <c r="Z432" s="82"/>
    </row>
    <row r="433" ht="15.0" customHeight="1">
      <c r="A433" s="26" t="str">
        <f>A432</f>
        <v>http://purl.obolibrary.org/obo/OBI_0001925</v>
      </c>
      <c r="B433" s="27"/>
      <c r="C433" s="27"/>
      <c r="D433" s="27"/>
      <c r="E433" s="27"/>
      <c r="F433" s="27"/>
      <c r="G433" s="27"/>
      <c r="H433" s="28"/>
      <c r="I433" s="27"/>
      <c r="J433" s="28" t="s">
        <v>190</v>
      </c>
      <c r="K433" s="28"/>
      <c r="L433" s="49" t="s">
        <v>1001</v>
      </c>
      <c r="M433" s="29" t="s">
        <v>1098</v>
      </c>
      <c r="N433" s="29"/>
      <c r="O433" s="50" t="s">
        <v>813</v>
      </c>
      <c r="P433" s="30"/>
      <c r="Q433" s="31"/>
      <c r="R433" s="31"/>
      <c r="S433" s="77"/>
      <c r="T433" s="77"/>
      <c r="U433" s="77"/>
      <c r="V433" s="77"/>
      <c r="W433" s="77"/>
      <c r="X433" s="77"/>
      <c r="Y433" s="77"/>
      <c r="Z433" s="78"/>
    </row>
    <row r="434" ht="15.0" customHeight="1">
      <c r="A434" s="34" t="s">
        <v>1099</v>
      </c>
      <c r="B434" s="35" t="s">
        <v>1095</v>
      </c>
      <c r="C434" s="36" t="s">
        <v>1096</v>
      </c>
      <c r="D434" s="35" t="s">
        <v>926</v>
      </c>
      <c r="E434" s="36" t="s">
        <v>30</v>
      </c>
      <c r="F434" s="35" t="s">
        <v>258</v>
      </c>
      <c r="G434" s="36"/>
      <c r="H434" s="36"/>
      <c r="I434" s="36"/>
      <c r="J434" s="35" t="s">
        <v>930</v>
      </c>
      <c r="K434" s="35"/>
      <c r="L434" s="36" t="s">
        <v>1004</v>
      </c>
      <c r="M434" s="37" t="s">
        <v>1100</v>
      </c>
      <c r="N434" s="37"/>
      <c r="O434" s="38" t="s">
        <v>1044</v>
      </c>
      <c r="P434" s="38"/>
      <c r="Q434" s="39"/>
      <c r="R434" s="39"/>
      <c r="S434" s="73"/>
      <c r="T434" s="73"/>
      <c r="U434" s="73"/>
      <c r="V434" s="73"/>
      <c r="W434" s="73"/>
      <c r="X434" s="73"/>
      <c r="Y434" s="73"/>
      <c r="Z434" s="74"/>
    </row>
    <row r="435" ht="15.0" customHeight="1">
      <c r="A435" s="17" t="str">
        <f>HYPERLINK("http://purl.obolibrary.org/obo/OBI_0001926","http://purl.obolibrary.org/obo/OBI_0001926")</f>
        <v>http://purl.obolibrary.org/obo/OBI_0001926</v>
      </c>
      <c r="B435" s="18" t="s">
        <v>743</v>
      </c>
      <c r="C435" s="20" t="s">
        <v>1101</v>
      </c>
      <c r="D435" s="18" t="s">
        <v>926</v>
      </c>
      <c r="E435" s="20" t="s">
        <v>30</v>
      </c>
      <c r="F435" s="18" t="s">
        <v>76</v>
      </c>
      <c r="G435" s="20" t="s">
        <v>1102</v>
      </c>
      <c r="H435" s="18"/>
      <c r="I435" s="20"/>
      <c r="J435" s="18" t="s">
        <v>1102</v>
      </c>
      <c r="K435" s="18"/>
      <c r="L435" s="20"/>
      <c r="M435" s="21"/>
      <c r="N435" s="21"/>
      <c r="O435" s="22" t="s">
        <v>1071</v>
      </c>
      <c r="P435" s="22"/>
      <c r="Q435" s="23"/>
      <c r="R435" s="23"/>
      <c r="S435" s="75"/>
      <c r="T435" s="75"/>
      <c r="U435" s="75"/>
      <c r="V435" s="75"/>
      <c r="W435" s="75"/>
      <c r="X435" s="75"/>
      <c r="Y435" s="75"/>
      <c r="Z435" s="76"/>
    </row>
    <row r="436" ht="15.0" customHeight="1">
      <c r="A436" s="26" t="str">
        <f>A435</f>
        <v>http://purl.obolibrary.org/obo/OBI_0001926</v>
      </c>
      <c r="B436" s="27"/>
      <c r="C436" s="27"/>
      <c r="D436" s="27"/>
      <c r="E436" s="27"/>
      <c r="F436" s="27"/>
      <c r="G436" s="27"/>
      <c r="H436" s="28"/>
      <c r="I436" s="27"/>
      <c r="J436" s="52" t="s">
        <v>1103</v>
      </c>
      <c r="K436" s="28" t="s">
        <v>746</v>
      </c>
      <c r="L436" s="27"/>
      <c r="M436" s="29"/>
      <c r="N436" s="29"/>
      <c r="O436" s="50" t="s">
        <v>87</v>
      </c>
      <c r="P436" s="30"/>
      <c r="Q436" s="31"/>
      <c r="R436" s="31"/>
      <c r="S436" s="77"/>
      <c r="T436" s="77"/>
      <c r="U436" s="77"/>
      <c r="V436" s="77"/>
      <c r="W436" s="77"/>
      <c r="X436" s="77"/>
      <c r="Y436" s="77"/>
      <c r="Z436" s="78"/>
    </row>
    <row r="437" ht="15.0" customHeight="1">
      <c r="A437" s="54" t="s">
        <v>1104</v>
      </c>
      <c r="B437" s="55" t="s">
        <v>743</v>
      </c>
      <c r="C437" s="56" t="s">
        <v>1101</v>
      </c>
      <c r="D437" s="55" t="s">
        <v>926</v>
      </c>
      <c r="E437" s="56" t="s">
        <v>30</v>
      </c>
      <c r="F437" s="55" t="s">
        <v>76</v>
      </c>
      <c r="G437" s="56" t="s">
        <v>1105</v>
      </c>
      <c r="H437" s="56"/>
      <c r="I437" s="56"/>
      <c r="J437" s="55" t="s">
        <v>1105</v>
      </c>
      <c r="K437" s="35"/>
      <c r="L437" s="36"/>
      <c r="M437" s="37"/>
      <c r="N437" s="37"/>
      <c r="O437" s="38" t="s">
        <v>1074</v>
      </c>
      <c r="P437" s="38"/>
      <c r="Q437" s="39"/>
      <c r="R437" s="39"/>
      <c r="S437" s="73"/>
      <c r="T437" s="73"/>
      <c r="U437" s="73"/>
      <c r="V437" s="73"/>
      <c r="W437" s="73"/>
      <c r="X437" s="73"/>
      <c r="Y437" s="73"/>
      <c r="Z437" s="74"/>
    </row>
    <row r="438" ht="15.0" customHeight="1">
      <c r="A438" s="17" t="str">
        <f>HYPERLINK("http://purl.obolibrary.org/obo/OBI_0001954","http://purl.obolibrary.org/obo/OBI_0001954")</f>
        <v>http://purl.obolibrary.org/obo/OBI_0001954</v>
      </c>
      <c r="B438" s="18" t="s">
        <v>1106</v>
      </c>
      <c r="C438" s="20" t="s">
        <v>1107</v>
      </c>
      <c r="D438" s="18" t="s">
        <v>45</v>
      </c>
      <c r="E438" s="20" t="s">
        <v>30</v>
      </c>
      <c r="F438" s="18" t="s">
        <v>1108</v>
      </c>
      <c r="G438" s="20"/>
      <c r="H438" s="18" t="s">
        <v>261</v>
      </c>
      <c r="I438" s="20" t="s">
        <v>262</v>
      </c>
      <c r="J438" s="18" t="s">
        <v>680</v>
      </c>
      <c r="K438" s="18"/>
      <c r="L438" s="20"/>
      <c r="M438" s="21" t="s">
        <v>1109</v>
      </c>
      <c r="N438" s="21"/>
      <c r="O438" s="22"/>
      <c r="P438" s="22"/>
      <c r="Q438" s="23" t="s">
        <v>106</v>
      </c>
      <c r="R438" s="23"/>
      <c r="S438" s="75"/>
      <c r="T438" s="75"/>
      <c r="U438" s="75"/>
      <c r="V438" s="75"/>
      <c r="W438" s="75"/>
      <c r="X438" s="75"/>
      <c r="Y438" s="75"/>
      <c r="Z438" s="76"/>
    </row>
    <row r="439" ht="15.0" customHeight="1">
      <c r="A439" s="26" t="str">
        <f>A438</f>
        <v>http://purl.obolibrary.org/obo/OBI_0001954</v>
      </c>
      <c r="B439" s="27"/>
      <c r="C439" s="42" t="s">
        <v>1110</v>
      </c>
      <c r="D439" s="27"/>
      <c r="E439" s="27"/>
      <c r="F439" s="27"/>
      <c r="G439" s="27"/>
      <c r="H439" s="28" t="s">
        <v>1111</v>
      </c>
      <c r="I439" s="64" t="s">
        <v>1112</v>
      </c>
      <c r="J439" s="28" t="s">
        <v>1113</v>
      </c>
      <c r="K439" s="28" t="s">
        <v>1114</v>
      </c>
      <c r="L439" s="27"/>
      <c r="M439" s="29" t="s">
        <v>688</v>
      </c>
      <c r="N439" s="29"/>
      <c r="O439" s="27"/>
      <c r="P439" s="30"/>
      <c r="Q439" s="31"/>
      <c r="R439" s="31" t="s">
        <v>98</v>
      </c>
      <c r="S439" s="77"/>
      <c r="T439" s="77"/>
      <c r="U439" s="77"/>
      <c r="V439" s="77"/>
      <c r="W439" s="77"/>
      <c r="X439" s="77"/>
      <c r="Y439" s="77"/>
      <c r="Z439" s="78"/>
    </row>
    <row r="440" ht="15.0" customHeight="1">
      <c r="A440" s="34" t="s">
        <v>1115</v>
      </c>
      <c r="B440" s="35" t="s">
        <v>1106</v>
      </c>
      <c r="C440" s="36" t="s">
        <v>1107</v>
      </c>
      <c r="D440" s="35" t="s">
        <v>45</v>
      </c>
      <c r="E440" s="36" t="s">
        <v>30</v>
      </c>
      <c r="F440" s="35" t="s">
        <v>677</v>
      </c>
      <c r="G440" s="36"/>
      <c r="H440" s="35" t="s">
        <v>261</v>
      </c>
      <c r="I440" s="36" t="s">
        <v>262</v>
      </c>
      <c r="J440" s="35" t="s">
        <v>680</v>
      </c>
      <c r="K440" s="35"/>
      <c r="L440" s="36"/>
      <c r="M440" s="37" t="s">
        <v>1116</v>
      </c>
      <c r="N440" s="37"/>
      <c r="O440" s="38"/>
      <c r="P440" s="38"/>
      <c r="Q440" s="39"/>
      <c r="R440" s="39" t="s">
        <v>112</v>
      </c>
      <c r="S440" s="73"/>
      <c r="T440" s="73"/>
      <c r="U440" s="73"/>
      <c r="V440" s="73"/>
      <c r="W440" s="73"/>
      <c r="X440" s="73"/>
      <c r="Y440" s="73"/>
      <c r="Z440" s="74"/>
    </row>
    <row r="441" ht="15.0" customHeight="1">
      <c r="A441" s="17" t="str">
        <f>HYPERLINK("http://purl.obolibrary.org/obo/OBI_0001956","http://purl.obolibrary.org/obo/OBI_0001956")</f>
        <v>http://purl.obolibrary.org/obo/OBI_0001956</v>
      </c>
      <c r="B441" s="18" t="s">
        <v>677</v>
      </c>
      <c r="C441" s="20" t="s">
        <v>1117</v>
      </c>
      <c r="D441" s="18" t="s">
        <v>311</v>
      </c>
      <c r="E441" s="20" t="s">
        <v>30</v>
      </c>
      <c r="F441" s="18" t="s">
        <v>1042</v>
      </c>
      <c r="G441" s="20" t="s">
        <v>1118</v>
      </c>
      <c r="H441" s="18" t="s">
        <v>1118</v>
      </c>
      <c r="I441" s="20"/>
      <c r="J441" s="18"/>
      <c r="K441" s="18"/>
      <c r="L441" s="20"/>
      <c r="M441" s="21" t="s">
        <v>1118</v>
      </c>
      <c r="N441" s="21"/>
      <c r="O441" s="22"/>
      <c r="P441" s="22"/>
      <c r="Q441" s="23"/>
      <c r="R441" s="23"/>
      <c r="S441" s="75"/>
      <c r="T441" s="75"/>
      <c r="U441" s="75"/>
      <c r="V441" s="75"/>
      <c r="W441" s="75"/>
      <c r="X441" s="75"/>
      <c r="Y441" s="75"/>
      <c r="Z441" s="76"/>
    </row>
    <row r="442" ht="15.0" customHeight="1">
      <c r="A442" s="26" t="str">
        <f>A441</f>
        <v>http://purl.obolibrary.org/obo/OBI_0001956</v>
      </c>
      <c r="B442" s="27"/>
      <c r="C442" s="42" t="s">
        <v>1119</v>
      </c>
      <c r="D442" s="27"/>
      <c r="E442" s="27"/>
      <c r="F442" s="27"/>
      <c r="G442" s="27"/>
      <c r="H442" s="52" t="s">
        <v>683</v>
      </c>
      <c r="I442" s="27"/>
      <c r="J442" s="28"/>
      <c r="K442" s="28"/>
      <c r="L442" s="27"/>
      <c r="M442" s="29" t="s">
        <v>688</v>
      </c>
      <c r="N442" s="29"/>
      <c r="O442" s="27"/>
      <c r="P442" s="30"/>
      <c r="Q442" s="31"/>
      <c r="R442" s="31"/>
      <c r="S442" s="77"/>
      <c r="T442" s="77"/>
      <c r="U442" s="77"/>
      <c r="V442" s="77"/>
      <c r="W442" s="77"/>
      <c r="X442" s="77"/>
      <c r="Y442" s="77"/>
      <c r="Z442" s="78"/>
    </row>
    <row r="443" ht="15.0" customHeight="1">
      <c r="A443" s="54" t="s">
        <v>1120</v>
      </c>
      <c r="B443" s="55" t="s">
        <v>677</v>
      </c>
      <c r="C443" s="56" t="s">
        <v>1121</v>
      </c>
      <c r="D443" s="55" t="s">
        <v>311</v>
      </c>
      <c r="E443" s="56" t="s">
        <v>30</v>
      </c>
      <c r="F443" s="55" t="s">
        <v>1042</v>
      </c>
      <c r="G443" s="56" t="s">
        <v>1118</v>
      </c>
      <c r="H443" s="55" t="s">
        <v>1118</v>
      </c>
      <c r="I443" s="56"/>
      <c r="J443" s="55"/>
      <c r="K443" s="35"/>
      <c r="L443" s="36"/>
      <c r="M443" s="37" t="s">
        <v>1118</v>
      </c>
      <c r="N443" s="37"/>
      <c r="O443" s="38"/>
      <c r="P443" s="38"/>
      <c r="Q443" s="39"/>
      <c r="R443" s="39"/>
      <c r="S443" s="79"/>
      <c r="T443" s="79"/>
      <c r="U443" s="79"/>
      <c r="V443" s="79"/>
      <c r="W443" s="79"/>
      <c r="X443" s="79"/>
      <c r="Y443" s="79"/>
      <c r="Z443" s="80"/>
    </row>
    <row r="444" ht="15.0" customHeight="1">
      <c r="A444" s="17" t="str">
        <f>HYPERLINK("http://purl.obolibrary.org/obo/OBI_0001960","http://purl.obolibrary.org/obo/OBI_0001960")</f>
        <v>http://purl.obolibrary.org/obo/OBI_0001960</v>
      </c>
      <c r="B444" s="20" t="s">
        <v>1122</v>
      </c>
      <c r="C444" s="19" t="s">
        <v>1123</v>
      </c>
      <c r="D444" s="20" t="s">
        <v>1124</v>
      </c>
      <c r="E444" s="20"/>
      <c r="F444" s="20" t="s">
        <v>186</v>
      </c>
      <c r="G444" s="20"/>
      <c r="H444" s="20" t="s">
        <v>1125</v>
      </c>
      <c r="I444" s="20"/>
      <c r="J444" s="20" t="s">
        <v>1126</v>
      </c>
      <c r="K444" s="20"/>
      <c r="L444" s="20"/>
      <c r="M444" s="20"/>
      <c r="N444" s="20"/>
      <c r="O444" s="85"/>
      <c r="P444" s="85"/>
      <c r="Q444" s="85"/>
      <c r="R444" s="85"/>
      <c r="S444" s="75"/>
      <c r="T444" s="75"/>
      <c r="U444" s="75"/>
      <c r="V444" s="75"/>
      <c r="W444" s="75"/>
      <c r="X444" s="75"/>
      <c r="Y444" s="75"/>
      <c r="Z444" s="76"/>
    </row>
    <row r="445" ht="15.0" customHeight="1">
      <c r="A445" s="86" t="str">
        <f>A444</f>
        <v>http://purl.obolibrary.org/obo/OBI_0001960</v>
      </c>
      <c r="B445" s="87"/>
      <c r="C445" s="87"/>
      <c r="D445" s="87"/>
      <c r="E445" s="87"/>
      <c r="F445" s="87"/>
      <c r="G445" s="87"/>
      <c r="H445" s="88" t="s">
        <v>1127</v>
      </c>
      <c r="I445" s="87"/>
      <c r="J445" s="88" t="s">
        <v>1080</v>
      </c>
      <c r="K445" s="88" t="s">
        <v>1128</v>
      </c>
      <c r="L445" s="87"/>
      <c r="M445" s="87"/>
      <c r="N445" s="87"/>
      <c r="O445" s="87"/>
      <c r="P445" s="87"/>
      <c r="Q445" s="87"/>
      <c r="R445" s="87"/>
      <c r="S445" s="73"/>
      <c r="T445" s="73"/>
      <c r="U445" s="73"/>
      <c r="V445" s="73"/>
      <c r="W445" s="73"/>
      <c r="X445" s="73"/>
      <c r="Y445" s="73"/>
      <c r="Z445" s="74"/>
    </row>
    <row r="446" ht="15.0" customHeight="1">
      <c r="A446" s="17" t="str">
        <f>HYPERLINK("http://purl.obolibrary.org/obo/OBI_0002014","http://purl.obolibrary.org/obo/OBI_0002014")</f>
        <v>http://purl.obolibrary.org/obo/OBI_0002014</v>
      </c>
      <c r="B446" s="18" t="s">
        <v>1129</v>
      </c>
      <c r="C446" s="19" t="s">
        <v>1130</v>
      </c>
      <c r="D446" s="18" t="s">
        <v>791</v>
      </c>
      <c r="E446" s="20" t="s">
        <v>30</v>
      </c>
      <c r="F446" s="18" t="s">
        <v>1131</v>
      </c>
      <c r="G446" s="20"/>
      <c r="H446" s="18" t="s">
        <v>205</v>
      </c>
      <c r="I446" s="20"/>
      <c r="J446" s="18" t="s">
        <v>1132</v>
      </c>
      <c r="K446" s="18"/>
      <c r="L446" s="20"/>
      <c r="M446" s="21"/>
      <c r="N446" s="21"/>
      <c r="O446" s="22"/>
      <c r="P446" s="22"/>
      <c r="Q446" s="23"/>
      <c r="R446" s="23"/>
      <c r="S446" s="75"/>
      <c r="T446" s="75"/>
      <c r="U446" s="75"/>
      <c r="V446" s="75"/>
      <c r="W446" s="75"/>
      <c r="X446" s="75"/>
      <c r="Y446" s="75"/>
      <c r="Z446" s="76"/>
    </row>
    <row r="447" ht="15.0" customHeight="1">
      <c r="A447" s="86" t="str">
        <f>A446</f>
        <v>http://purl.obolibrary.org/obo/OBI_0002014</v>
      </c>
      <c r="B447" s="88"/>
      <c r="C447" s="89"/>
      <c r="D447" s="88"/>
      <c r="E447" s="89"/>
      <c r="F447" s="88"/>
      <c r="G447" s="89"/>
      <c r="H447" s="88" t="s">
        <v>329</v>
      </c>
      <c r="I447" s="89"/>
      <c r="J447" s="88" t="s">
        <v>460</v>
      </c>
      <c r="K447" s="88" t="s">
        <v>1133</v>
      </c>
      <c r="L447" s="89"/>
      <c r="M447" s="90"/>
      <c r="N447" s="90"/>
      <c r="O447" s="91"/>
      <c r="P447" s="91"/>
      <c r="Q447" s="92"/>
      <c r="R447" s="92"/>
      <c r="S447" s="79"/>
      <c r="T447" s="79"/>
      <c r="U447" s="79"/>
      <c r="V447" s="79"/>
      <c r="W447" s="79"/>
      <c r="X447" s="79"/>
      <c r="Y447" s="79"/>
      <c r="Z447" s="80"/>
    </row>
    <row r="448" ht="15.0" customHeight="1">
      <c r="A448" s="17" t="str">
        <f>HYPERLINK("http://purl.obolibrary.org/obo/OBI_0002015","http://purl.obolibrary.org/obo/OBI_0002015")</f>
        <v>http://purl.obolibrary.org/obo/OBI_0002015</v>
      </c>
      <c r="B448" s="18" t="s">
        <v>1134</v>
      </c>
      <c r="C448" s="19" t="s">
        <v>1135</v>
      </c>
      <c r="D448" s="18" t="s">
        <v>791</v>
      </c>
      <c r="E448" s="20" t="s">
        <v>30</v>
      </c>
      <c r="F448" s="18" t="s">
        <v>76</v>
      </c>
      <c r="G448" s="20"/>
      <c r="H448" s="18" t="s">
        <v>665</v>
      </c>
      <c r="I448" s="20"/>
      <c r="J448" s="18" t="s">
        <v>459</v>
      </c>
      <c r="K448" s="18"/>
      <c r="L448" s="20"/>
      <c r="M448" s="21" t="s">
        <v>1136</v>
      </c>
      <c r="N448" s="21"/>
      <c r="O448" s="22"/>
      <c r="P448" s="22"/>
      <c r="Q448" s="23"/>
      <c r="R448" s="23"/>
      <c r="S448" s="81"/>
      <c r="T448" s="81"/>
      <c r="U448" s="81"/>
      <c r="V448" s="81"/>
      <c r="W448" s="81"/>
      <c r="X448" s="81"/>
      <c r="Y448" s="81"/>
      <c r="Z448" s="82"/>
    </row>
    <row r="449" ht="15.0" customHeight="1">
      <c r="A449" s="86" t="str">
        <f>A448</f>
        <v>http://purl.obolibrary.org/obo/OBI_0002015</v>
      </c>
      <c r="B449" s="88"/>
      <c r="C449" s="89"/>
      <c r="D449" s="88"/>
      <c r="E449" s="89"/>
      <c r="F449" s="88"/>
      <c r="G449" s="89"/>
      <c r="H449" s="88" t="s">
        <v>1137</v>
      </c>
      <c r="I449" s="89"/>
      <c r="J449" s="88" t="s">
        <v>460</v>
      </c>
      <c r="K449" s="88" t="s">
        <v>86</v>
      </c>
      <c r="L449" s="89" t="s">
        <v>1138</v>
      </c>
      <c r="M449" s="90" t="s">
        <v>1139</v>
      </c>
      <c r="N449" s="90"/>
      <c r="O449" s="91"/>
      <c r="P449" s="91"/>
      <c r="Q449" s="92"/>
      <c r="R449" s="92"/>
      <c r="S449" s="79"/>
      <c r="T449" s="79"/>
      <c r="U449" s="79"/>
      <c r="V449" s="79"/>
      <c r="W449" s="79"/>
      <c r="X449" s="79"/>
      <c r="Y449" s="79"/>
      <c r="Z449" s="80"/>
    </row>
    <row r="450" ht="15.0" customHeight="1">
      <c r="A450" s="17" t="str">
        <f>HYPERLINK("http://purl.obolibrary.org/obo/OBI_0002016","http://purl.obolibrary.org/obo/OBI_0002016")</f>
        <v>http://purl.obolibrary.org/obo/OBI_0002016</v>
      </c>
      <c r="B450" s="18" t="s">
        <v>1140</v>
      </c>
      <c r="C450" s="19" t="s">
        <v>1141</v>
      </c>
      <c r="D450" s="18" t="s">
        <v>791</v>
      </c>
      <c r="E450" s="20" t="s">
        <v>30</v>
      </c>
      <c r="F450" s="18" t="s">
        <v>1131</v>
      </c>
      <c r="G450" s="20"/>
      <c r="H450" s="18" t="s">
        <v>205</v>
      </c>
      <c r="I450" s="20"/>
      <c r="J450" s="18" t="s">
        <v>1142</v>
      </c>
      <c r="K450" s="18"/>
      <c r="L450" s="20"/>
      <c r="M450" s="21"/>
      <c r="N450" s="21"/>
      <c r="O450" s="22"/>
      <c r="P450" s="22"/>
      <c r="Q450" s="23"/>
      <c r="R450" s="23"/>
      <c r="S450" s="75"/>
      <c r="T450" s="75"/>
      <c r="U450" s="75"/>
      <c r="V450" s="75"/>
      <c r="W450" s="75"/>
      <c r="X450" s="75"/>
      <c r="Y450" s="75"/>
      <c r="Z450" s="76"/>
    </row>
    <row r="451" ht="15.0" customHeight="1">
      <c r="A451" s="86" t="str">
        <f>A450</f>
        <v>http://purl.obolibrary.org/obo/OBI_0002016</v>
      </c>
      <c r="B451" s="88"/>
      <c r="C451" s="89"/>
      <c r="D451" s="88"/>
      <c r="E451" s="89"/>
      <c r="F451" s="88"/>
      <c r="G451" s="89"/>
      <c r="H451" s="88" t="s">
        <v>329</v>
      </c>
      <c r="I451" s="89"/>
      <c r="J451" s="88" t="s">
        <v>460</v>
      </c>
      <c r="K451" s="88" t="s">
        <v>1143</v>
      </c>
      <c r="L451" s="89"/>
      <c r="M451" s="90"/>
      <c r="N451" s="90"/>
      <c r="O451" s="91"/>
      <c r="P451" s="91"/>
      <c r="Q451" s="92"/>
      <c r="R451" s="92"/>
      <c r="S451" s="79"/>
      <c r="T451" s="79"/>
      <c r="U451" s="79"/>
      <c r="V451" s="79"/>
      <c r="W451" s="79"/>
      <c r="X451" s="79"/>
      <c r="Y451" s="79"/>
      <c r="Z451" s="80"/>
    </row>
    <row r="452" ht="15.0" customHeight="1">
      <c r="A452" s="17" t="str">
        <f>HYPERLINK("http://purl.obolibrary.org/obo/OBI_0002017","http://purl.obolibrary.org/obo/OBI_0002017")</f>
        <v>http://purl.obolibrary.org/obo/OBI_0002017</v>
      </c>
      <c r="B452" s="18" t="s">
        <v>1144</v>
      </c>
      <c r="C452" s="20" t="s">
        <v>1145</v>
      </c>
      <c r="D452" s="18" t="s">
        <v>791</v>
      </c>
      <c r="E452" s="20" t="s">
        <v>30</v>
      </c>
      <c r="F452" s="18" t="s">
        <v>258</v>
      </c>
      <c r="G452" s="20"/>
      <c r="H452" s="18" t="s">
        <v>205</v>
      </c>
      <c r="I452" s="20"/>
      <c r="J452" s="18" t="s">
        <v>1142</v>
      </c>
      <c r="K452" s="18"/>
      <c r="L452" s="20"/>
      <c r="M452" s="21"/>
      <c r="N452" s="21"/>
      <c r="O452" s="22"/>
      <c r="P452" s="22"/>
      <c r="Q452" s="23"/>
      <c r="R452" s="23"/>
      <c r="S452" s="81"/>
      <c r="T452" s="81"/>
      <c r="U452" s="81"/>
      <c r="V452" s="81"/>
      <c r="W452" s="81"/>
      <c r="X452" s="81"/>
      <c r="Y452" s="81"/>
      <c r="Z452" s="82"/>
    </row>
    <row r="453" ht="15.0" customHeight="1">
      <c r="A453" s="86" t="str">
        <f>A452</f>
        <v>http://purl.obolibrary.org/obo/OBI_0002017</v>
      </c>
      <c r="B453" s="88"/>
      <c r="C453" s="89"/>
      <c r="D453" s="88"/>
      <c r="E453" s="89"/>
      <c r="F453" s="88"/>
      <c r="G453" s="89"/>
      <c r="H453" s="88" t="s">
        <v>1146</v>
      </c>
      <c r="I453" s="89"/>
      <c r="J453" s="88" t="s">
        <v>1147</v>
      </c>
      <c r="K453" s="88" t="s">
        <v>1143</v>
      </c>
      <c r="L453" s="89"/>
      <c r="M453" s="90"/>
      <c r="N453" s="90"/>
      <c r="O453" s="91"/>
      <c r="P453" s="91"/>
      <c r="Q453" s="92"/>
      <c r="R453" s="92"/>
      <c r="S453" s="73"/>
      <c r="T453" s="73"/>
      <c r="U453" s="73"/>
      <c r="V453" s="73"/>
      <c r="W453" s="73"/>
      <c r="X453" s="73"/>
      <c r="Y453" s="73"/>
      <c r="Z453" s="74"/>
    </row>
    <row r="454" ht="15.0" customHeight="1">
      <c r="A454" s="17" t="str">
        <f>HYPERLINK("http://purl.obolibrary.org/obo/OBI_0002018","http://purl.obolibrary.org/obo/OBI_0002018")</f>
        <v>http://purl.obolibrary.org/obo/OBI_0002018</v>
      </c>
      <c r="B454" s="18" t="s">
        <v>1148</v>
      </c>
      <c r="C454" s="19" t="s">
        <v>1149</v>
      </c>
      <c r="D454" s="18" t="s">
        <v>791</v>
      </c>
      <c r="E454" s="20" t="s">
        <v>30</v>
      </c>
      <c r="F454" s="18" t="s">
        <v>1150</v>
      </c>
      <c r="G454" s="20"/>
      <c r="H454" s="18" t="s">
        <v>678</v>
      </c>
      <c r="I454" s="20"/>
      <c r="J454" s="18" t="s">
        <v>1151</v>
      </c>
      <c r="K454" s="18"/>
      <c r="L454" s="20"/>
      <c r="M454" s="21"/>
      <c r="N454" s="21"/>
      <c r="O454" s="22"/>
      <c r="P454" s="22"/>
      <c r="Q454" s="23"/>
      <c r="R454" s="23"/>
      <c r="S454" s="75"/>
      <c r="T454" s="75"/>
      <c r="U454" s="75"/>
      <c r="V454" s="75"/>
      <c r="W454" s="75"/>
      <c r="X454" s="75"/>
      <c r="Y454" s="75"/>
      <c r="Z454" s="76"/>
    </row>
    <row r="455" ht="15.0" customHeight="1">
      <c r="A455" s="86" t="str">
        <f>A454</f>
        <v>http://purl.obolibrary.org/obo/OBI_0002018</v>
      </c>
      <c r="B455" s="88"/>
      <c r="C455" s="89"/>
      <c r="D455" s="88"/>
      <c r="E455" s="89"/>
      <c r="F455" s="88"/>
      <c r="G455" s="89"/>
      <c r="H455" s="88" t="s">
        <v>683</v>
      </c>
      <c r="I455" s="89"/>
      <c r="J455" s="88" t="s">
        <v>460</v>
      </c>
      <c r="K455" s="88" t="s">
        <v>1152</v>
      </c>
      <c r="L455" s="89"/>
      <c r="M455" s="90"/>
      <c r="N455" s="90"/>
      <c r="O455" s="91"/>
      <c r="P455" s="91"/>
      <c r="Q455" s="92"/>
      <c r="R455" s="92"/>
      <c r="S455" s="73"/>
      <c r="T455" s="73"/>
      <c r="U455" s="73"/>
      <c r="V455" s="73"/>
      <c r="W455" s="73"/>
      <c r="X455" s="73"/>
      <c r="Y455" s="73"/>
      <c r="Z455" s="74"/>
    </row>
    <row r="456" ht="15.0" customHeight="1">
      <c r="A456" s="17" t="str">
        <f>HYPERLINK("http://purl.obolibrary.org/obo/OBI_0002019","http://purl.obolibrary.org/obo/OBI_0002019")</f>
        <v>http://purl.obolibrary.org/obo/OBI_0002019</v>
      </c>
      <c r="B456" s="18" t="s">
        <v>1153</v>
      </c>
      <c r="C456" s="19" t="s">
        <v>1154</v>
      </c>
      <c r="D456" s="18" t="s">
        <v>791</v>
      </c>
      <c r="E456" s="20" t="s">
        <v>30</v>
      </c>
      <c r="F456" s="18" t="s">
        <v>1155</v>
      </c>
      <c r="G456" s="20"/>
      <c r="H456" s="18" t="s">
        <v>678</v>
      </c>
      <c r="I456" s="20"/>
      <c r="J456" s="18" t="s">
        <v>1151</v>
      </c>
      <c r="K456" s="18"/>
      <c r="L456" s="20"/>
      <c r="M456" s="21"/>
      <c r="N456" s="21"/>
      <c r="O456" s="22"/>
      <c r="P456" s="22"/>
      <c r="Q456" s="23"/>
      <c r="R456" s="23"/>
      <c r="S456" s="75"/>
      <c r="T456" s="75"/>
      <c r="U456" s="75"/>
      <c r="V456" s="75"/>
      <c r="W456" s="75"/>
      <c r="X456" s="75"/>
      <c r="Y456" s="75"/>
      <c r="Z456" s="76"/>
    </row>
    <row r="457" ht="15.0" customHeight="1">
      <c r="A457" s="86" t="str">
        <f>A456</f>
        <v>http://purl.obolibrary.org/obo/OBI_0002019</v>
      </c>
      <c r="B457" s="88"/>
      <c r="C457" s="89"/>
      <c r="D457" s="88"/>
      <c r="E457" s="89"/>
      <c r="F457" s="88"/>
      <c r="G457" s="89"/>
      <c r="H457" s="88" t="s">
        <v>683</v>
      </c>
      <c r="I457" s="89"/>
      <c r="J457" s="88" t="s">
        <v>460</v>
      </c>
      <c r="K457" s="88" t="s">
        <v>1152</v>
      </c>
      <c r="L457" s="89"/>
      <c r="M457" s="90"/>
      <c r="N457" s="90"/>
      <c r="O457" s="91"/>
      <c r="P457" s="91"/>
      <c r="Q457" s="92"/>
      <c r="R457" s="92"/>
      <c r="S457" s="73"/>
      <c r="T457" s="73"/>
      <c r="U457" s="73"/>
      <c r="V457" s="73"/>
      <c r="W457" s="73"/>
      <c r="X457" s="73"/>
      <c r="Y457" s="73"/>
      <c r="Z457" s="74"/>
    </row>
    <row r="458" ht="15.0" customHeight="1">
      <c r="A458" s="17" t="str">
        <f>HYPERLINK("http://purl.obolibrary.org/obo/OBI_0002020","http://purl.obolibrary.org/obo/OBI_0002020")</f>
        <v>http://purl.obolibrary.org/obo/OBI_0002020</v>
      </c>
      <c r="B458" s="18" t="s">
        <v>1156</v>
      </c>
      <c r="C458" s="19" t="s">
        <v>1157</v>
      </c>
      <c r="D458" s="18" t="s">
        <v>791</v>
      </c>
      <c r="E458" s="20" t="s">
        <v>30</v>
      </c>
      <c r="F458" s="18" t="s">
        <v>19</v>
      </c>
      <c r="G458" s="20" t="s">
        <v>1158</v>
      </c>
      <c r="H458" s="18" t="s">
        <v>1158</v>
      </c>
      <c r="I458" s="20"/>
      <c r="J458" s="18"/>
      <c r="K458" s="18"/>
      <c r="L458" s="20"/>
      <c r="M458" s="21"/>
      <c r="N458" s="21"/>
      <c r="O458" s="22"/>
      <c r="P458" s="22"/>
      <c r="Q458" s="23"/>
      <c r="R458" s="23"/>
      <c r="S458" s="75"/>
      <c r="T458" s="75"/>
      <c r="U458" s="75"/>
      <c r="V458" s="75"/>
      <c r="W458" s="75"/>
      <c r="X458" s="75"/>
      <c r="Y458" s="75"/>
      <c r="Z458" s="76"/>
    </row>
    <row r="459" ht="15.0" customHeight="1">
      <c r="A459" s="86" t="str">
        <f>A458</f>
        <v>http://purl.obolibrary.org/obo/OBI_0002020</v>
      </c>
      <c r="B459" s="88"/>
      <c r="C459" s="89"/>
      <c r="D459" s="88"/>
      <c r="E459" s="89"/>
      <c r="F459" s="88"/>
      <c r="G459" s="89"/>
      <c r="H459" s="88" t="s">
        <v>329</v>
      </c>
      <c r="I459" s="89"/>
      <c r="J459" s="88"/>
      <c r="K459" s="88"/>
      <c r="L459" s="89"/>
      <c r="M459" s="90"/>
      <c r="N459" s="90"/>
      <c r="O459" s="91"/>
      <c r="P459" s="91"/>
      <c r="Q459" s="92"/>
      <c r="R459" s="92"/>
      <c r="S459" s="73"/>
      <c r="T459" s="73"/>
      <c r="U459" s="73"/>
      <c r="V459" s="73"/>
      <c r="W459" s="73"/>
      <c r="X459" s="73"/>
      <c r="Y459" s="73"/>
      <c r="Z459" s="74"/>
    </row>
    <row r="460" ht="15.0" customHeight="1">
      <c r="A460" s="17" t="str">
        <f>HYPERLINK("http://purl.obolibrary.org/obo/OBI_0002029","http://purl.obolibrary.org/obo/OBI_0002029")</f>
        <v>http://purl.obolibrary.org/obo/OBI_0002029</v>
      </c>
      <c r="B460" s="18" t="s">
        <v>1159</v>
      </c>
      <c r="C460" s="19" t="s">
        <v>1160</v>
      </c>
      <c r="D460" s="18" t="s">
        <v>1161</v>
      </c>
      <c r="E460" s="20" t="s">
        <v>30</v>
      </c>
      <c r="F460" s="18" t="s">
        <v>76</v>
      </c>
      <c r="G460" s="20"/>
      <c r="H460" s="18"/>
      <c r="I460" s="20"/>
      <c r="J460" s="18"/>
      <c r="K460" s="18"/>
      <c r="L460" s="20"/>
      <c r="M460" s="21" t="s">
        <v>1162</v>
      </c>
      <c r="N460" s="21"/>
      <c r="O460" s="22"/>
      <c r="P460" s="22"/>
      <c r="Q460" s="23"/>
      <c r="R460" s="23"/>
      <c r="S460" s="75"/>
      <c r="T460" s="75"/>
      <c r="U460" s="75"/>
      <c r="V460" s="75"/>
      <c r="W460" s="75"/>
      <c r="X460" s="75"/>
      <c r="Y460" s="75"/>
      <c r="Z460" s="76"/>
    </row>
    <row r="461" ht="15.0" customHeight="1">
      <c r="A461" s="86" t="str">
        <f>A460</f>
        <v>http://purl.obolibrary.org/obo/OBI_0002029</v>
      </c>
      <c r="B461" s="88"/>
      <c r="C461" s="89"/>
      <c r="D461" s="88"/>
      <c r="E461" s="89"/>
      <c r="F461" s="88"/>
      <c r="G461" s="89"/>
      <c r="H461" s="88"/>
      <c r="I461" s="89"/>
      <c r="J461" s="88"/>
      <c r="K461" s="88"/>
      <c r="L461" s="89" t="s">
        <v>191</v>
      </c>
      <c r="M461" s="90" t="s">
        <v>1163</v>
      </c>
      <c r="N461" s="90"/>
      <c r="O461" s="91"/>
      <c r="P461" s="91"/>
      <c r="Q461" s="92"/>
      <c r="R461" s="92"/>
      <c r="S461" s="73"/>
      <c r="T461" s="73"/>
      <c r="U461" s="73"/>
      <c r="V461" s="73"/>
      <c r="W461" s="73"/>
      <c r="X461" s="73"/>
      <c r="Y461" s="73"/>
      <c r="Z461" s="74"/>
    </row>
    <row r="462" ht="15.0" customHeight="1">
      <c r="A462" s="17" t="str">
        <f>HYPERLINK("http://purl.obolibrary.org/obo/OBI_0002030","http://purl.obolibrary.org/obo/OBI_0002030")</f>
        <v>http://purl.obolibrary.org/obo/OBI_0002030</v>
      </c>
      <c r="B462" s="18" t="s">
        <v>1164</v>
      </c>
      <c r="C462" s="20" t="s">
        <v>1165</v>
      </c>
      <c r="D462" s="18" t="s">
        <v>1161</v>
      </c>
      <c r="E462" s="20" t="s">
        <v>30</v>
      </c>
      <c r="F462" s="18" t="s">
        <v>710</v>
      </c>
      <c r="G462" s="20"/>
      <c r="H462" s="18"/>
      <c r="I462" s="20"/>
      <c r="J462" s="18"/>
      <c r="K462" s="18"/>
      <c r="L462" s="20"/>
      <c r="M462" s="21"/>
      <c r="N462" s="21"/>
      <c r="O462" s="22"/>
      <c r="P462" s="22"/>
      <c r="Q462" s="23"/>
      <c r="R462" s="23"/>
      <c r="S462" s="81"/>
      <c r="T462" s="81"/>
      <c r="U462" s="81"/>
      <c r="V462" s="81"/>
      <c r="W462" s="81"/>
      <c r="X462" s="81"/>
      <c r="Y462" s="81"/>
      <c r="Z462" s="82"/>
    </row>
    <row r="463" ht="15.0" customHeight="1">
      <c r="A463" s="86" t="str">
        <f>A462</f>
        <v>http://purl.obolibrary.org/obo/OBI_0002030</v>
      </c>
      <c r="B463" s="88"/>
      <c r="C463" s="89"/>
      <c r="D463" s="88"/>
      <c r="E463" s="89"/>
      <c r="F463" s="88"/>
      <c r="G463" s="89"/>
      <c r="H463" s="88"/>
      <c r="I463" s="89"/>
      <c r="J463" s="88"/>
      <c r="K463" s="88"/>
      <c r="L463" s="89" t="s">
        <v>668</v>
      </c>
      <c r="M463" s="90"/>
      <c r="N463" s="90"/>
      <c r="O463" s="91"/>
      <c r="P463" s="91"/>
      <c r="Q463" s="92"/>
      <c r="R463" s="92"/>
      <c r="S463" s="73"/>
      <c r="T463" s="73"/>
      <c r="U463" s="73"/>
      <c r="V463" s="73"/>
      <c r="W463" s="73"/>
      <c r="X463" s="73"/>
      <c r="Y463" s="73"/>
      <c r="Z463" s="74"/>
    </row>
    <row r="464" ht="15.0" customHeight="1">
      <c r="A464" s="17" t="str">
        <f>HYPERLINK("http://purl.obolibrary.org/obo/OBI_0002031","http://purl.obolibrary.org/obo/OBI_0002031")</f>
        <v>http://purl.obolibrary.org/obo/OBI_0002031</v>
      </c>
      <c r="B464" s="18" t="s">
        <v>1166</v>
      </c>
      <c r="C464" s="20" t="s">
        <v>1167</v>
      </c>
      <c r="D464" s="18" t="s">
        <v>1161</v>
      </c>
      <c r="E464" s="20" t="s">
        <v>30</v>
      </c>
      <c r="F464" s="18" t="s">
        <v>710</v>
      </c>
      <c r="G464" s="20"/>
      <c r="H464" s="18"/>
      <c r="I464" s="20"/>
      <c r="J464" s="18"/>
      <c r="K464" s="18"/>
      <c r="L464" s="20"/>
      <c r="M464" s="21"/>
      <c r="N464" s="21"/>
      <c r="O464" s="22"/>
      <c r="P464" s="22"/>
      <c r="Q464" s="23"/>
      <c r="R464" s="23"/>
      <c r="S464" s="81"/>
      <c r="T464" s="81"/>
      <c r="U464" s="81"/>
      <c r="V464" s="81"/>
      <c r="W464" s="81"/>
      <c r="X464" s="81"/>
      <c r="Y464" s="81"/>
      <c r="Z464" s="82"/>
    </row>
    <row r="465" ht="15.0" customHeight="1">
      <c r="A465" s="86" t="str">
        <f>A464</f>
        <v>http://purl.obolibrary.org/obo/OBI_0002031</v>
      </c>
      <c r="B465" s="88"/>
      <c r="C465" s="89"/>
      <c r="D465" s="88"/>
      <c r="E465" s="89"/>
      <c r="F465" s="88"/>
      <c r="G465" s="89"/>
      <c r="H465" s="88"/>
      <c r="I465" s="89"/>
      <c r="J465" s="88"/>
      <c r="K465" s="88"/>
      <c r="L465" s="89" t="s">
        <v>658</v>
      </c>
      <c r="M465" s="90"/>
      <c r="N465" s="90"/>
      <c r="O465" s="91"/>
      <c r="P465" s="91"/>
      <c r="Q465" s="92"/>
      <c r="R465" s="92"/>
      <c r="S465" s="73"/>
      <c r="T465" s="73"/>
      <c r="U465" s="73"/>
      <c r="V465" s="73"/>
      <c r="W465" s="73"/>
      <c r="X465" s="73"/>
      <c r="Y465" s="73"/>
      <c r="Z465" s="74"/>
    </row>
    <row r="466" ht="15.0" customHeight="1">
      <c r="A466" s="17" t="str">
        <f>HYPERLINK("http://purl.obolibrary.org/obo/OBI_0002032","http://purl.obolibrary.org/obo/OBI_0002032")</f>
        <v>http://purl.obolibrary.org/obo/OBI_0002032</v>
      </c>
      <c r="B466" s="18" t="s">
        <v>1168</v>
      </c>
      <c r="C466" s="20" t="s">
        <v>1169</v>
      </c>
      <c r="D466" s="18" t="s">
        <v>1170</v>
      </c>
      <c r="E466" s="20" t="s">
        <v>30</v>
      </c>
      <c r="F466" s="18" t="s">
        <v>505</v>
      </c>
      <c r="G466" s="20"/>
      <c r="H466" s="18"/>
      <c r="I466" s="20"/>
      <c r="J466" s="18"/>
      <c r="K466" s="18"/>
      <c r="L466" s="20"/>
      <c r="M466" s="21"/>
      <c r="N466" s="21"/>
      <c r="O466" s="22"/>
      <c r="P466" s="22"/>
      <c r="Q466" s="23"/>
      <c r="R466" s="23"/>
      <c r="S466" s="75"/>
      <c r="T466" s="75"/>
      <c r="U466" s="75"/>
      <c r="V466" s="75"/>
      <c r="W466" s="75"/>
      <c r="X466" s="75"/>
      <c r="Y466" s="75"/>
      <c r="Z466" s="76"/>
    </row>
    <row r="467" ht="15.0" customHeight="1">
      <c r="A467" s="86" t="str">
        <f>A466</f>
        <v>http://purl.obolibrary.org/obo/OBI_0002032</v>
      </c>
      <c r="B467" s="88"/>
      <c r="C467" s="89"/>
      <c r="D467" s="88"/>
      <c r="E467" s="89"/>
      <c r="F467" s="88"/>
      <c r="G467" s="89"/>
      <c r="H467" s="88"/>
      <c r="I467" s="89"/>
      <c r="J467" s="88"/>
      <c r="K467" s="88"/>
      <c r="L467" s="89"/>
      <c r="M467" s="90"/>
      <c r="N467" s="90"/>
      <c r="O467" s="91"/>
      <c r="P467" s="91"/>
      <c r="Q467" s="92"/>
      <c r="R467" s="92"/>
      <c r="S467" s="73"/>
      <c r="T467" s="73"/>
      <c r="U467" s="73"/>
      <c r="V467" s="73"/>
      <c r="W467" s="73"/>
      <c r="X467" s="73"/>
      <c r="Y467" s="73"/>
      <c r="Z467" s="74"/>
    </row>
    <row r="468" ht="15.0" customHeight="1">
      <c r="A468" s="17" t="str">
        <f>HYPERLINK("http://purl.obolibrary.org/obo/OBI_0002033","http://purl.obolibrary.org/obo/OBI_0002033")</f>
        <v>http://purl.obolibrary.org/obo/OBI_0002033</v>
      </c>
      <c r="B468" s="18" t="s">
        <v>1171</v>
      </c>
      <c r="C468" s="20" t="s">
        <v>1172</v>
      </c>
      <c r="D468" s="18" t="s">
        <v>1170</v>
      </c>
      <c r="E468" s="20" t="s">
        <v>30</v>
      </c>
      <c r="F468" s="18" t="s">
        <v>701</v>
      </c>
      <c r="G468" s="20"/>
      <c r="H468" s="18"/>
      <c r="I468" s="20"/>
      <c r="J468" s="18"/>
      <c r="K468" s="18"/>
      <c r="L468" s="20"/>
      <c r="M468" s="21"/>
      <c r="N468" s="21"/>
      <c r="O468" s="22"/>
      <c r="P468" s="22"/>
      <c r="Q468" s="23"/>
      <c r="R468" s="23"/>
      <c r="S468" s="75"/>
      <c r="T468" s="75"/>
      <c r="U468" s="75"/>
      <c r="V468" s="75"/>
      <c r="W468" s="75"/>
      <c r="X468" s="75"/>
      <c r="Y468" s="75"/>
      <c r="Z468" s="76"/>
    </row>
    <row r="469" ht="15.0" customHeight="1">
      <c r="A469" s="86" t="str">
        <f>A468</f>
        <v>http://purl.obolibrary.org/obo/OBI_0002033</v>
      </c>
      <c r="B469" s="88"/>
      <c r="C469" s="89"/>
      <c r="D469" s="88"/>
      <c r="E469" s="89"/>
      <c r="F469" s="88"/>
      <c r="G469" s="89"/>
      <c r="H469" s="88"/>
      <c r="I469" s="89"/>
      <c r="J469" s="88"/>
      <c r="K469" s="88"/>
      <c r="L469" s="89"/>
      <c r="M469" s="90"/>
      <c r="N469" s="90"/>
      <c r="O469" s="91"/>
      <c r="P469" s="91"/>
      <c r="Q469" s="92"/>
      <c r="R469" s="92"/>
      <c r="S469" s="73"/>
      <c r="T469" s="73"/>
      <c r="U469" s="73"/>
      <c r="V469" s="73"/>
      <c r="W469" s="73"/>
      <c r="X469" s="73"/>
      <c r="Y469" s="73"/>
      <c r="Z469" s="74"/>
    </row>
    <row r="470" ht="15.0" customHeight="1">
      <c r="A470" s="17" t="str">
        <f>HYPERLINK("http://purl.obolibrary.org/obo/OBI_0002034","http://purl.obolibrary.org/obo/OBI_0002034")</f>
        <v>http://purl.obolibrary.org/obo/OBI_0002034</v>
      </c>
      <c r="B470" s="18" t="s">
        <v>1173</v>
      </c>
      <c r="C470" s="20" t="s">
        <v>1174</v>
      </c>
      <c r="D470" s="18" t="s">
        <v>1170</v>
      </c>
      <c r="E470" s="20" t="s">
        <v>30</v>
      </c>
      <c r="F470" s="18" t="s">
        <v>701</v>
      </c>
      <c r="G470" s="20"/>
      <c r="H470" s="18"/>
      <c r="I470" s="20"/>
      <c r="J470" s="18"/>
      <c r="K470" s="18"/>
      <c r="L470" s="20"/>
      <c r="M470" s="21"/>
      <c r="N470" s="21"/>
      <c r="O470" s="22"/>
      <c r="P470" s="22"/>
      <c r="Q470" s="23"/>
      <c r="R470" s="23"/>
      <c r="S470" s="75"/>
      <c r="T470" s="75"/>
      <c r="U470" s="75"/>
      <c r="V470" s="75"/>
      <c r="W470" s="75"/>
      <c r="X470" s="75"/>
      <c r="Y470" s="75"/>
      <c r="Z470" s="76"/>
    </row>
    <row r="471" ht="15.0" customHeight="1">
      <c r="A471" s="86" t="str">
        <f>A470</f>
        <v>http://purl.obolibrary.org/obo/OBI_0002034</v>
      </c>
      <c r="B471" s="88"/>
      <c r="C471" s="89"/>
      <c r="D471" s="88"/>
      <c r="E471" s="89"/>
      <c r="F471" s="88"/>
      <c r="G471" s="89"/>
      <c r="H471" s="88"/>
      <c r="I471" s="89"/>
      <c r="J471" s="88"/>
      <c r="K471" s="88"/>
      <c r="L471" s="89"/>
      <c r="M471" s="90"/>
      <c r="N471" s="90"/>
      <c r="O471" s="91"/>
      <c r="P471" s="91"/>
      <c r="Q471" s="92"/>
      <c r="R471" s="92"/>
      <c r="S471" s="79"/>
      <c r="T471" s="79"/>
      <c r="U471" s="79"/>
      <c r="V471" s="79"/>
      <c r="W471" s="79"/>
      <c r="X471" s="79"/>
      <c r="Y471" s="79"/>
      <c r="Z471" s="80"/>
    </row>
    <row r="472" ht="15.0" customHeight="1">
      <c r="A472" s="17" t="str">
        <f>HYPERLINK("http://purl.obolibrary.org/obo/OBI_0002035","http://purl.obolibrary.org/obo/OBI_0002035")</f>
        <v>http://purl.obolibrary.org/obo/OBI_0002035</v>
      </c>
      <c r="B472" s="18" t="s">
        <v>1175</v>
      </c>
      <c r="C472" s="20" t="s">
        <v>1176</v>
      </c>
      <c r="D472" s="18" t="s">
        <v>1170</v>
      </c>
      <c r="E472" s="20" t="s">
        <v>30</v>
      </c>
      <c r="F472" s="18" t="s">
        <v>149</v>
      </c>
      <c r="G472" s="20"/>
      <c r="H472" s="18"/>
      <c r="I472" s="20"/>
      <c r="J472" s="18"/>
      <c r="K472" s="18"/>
      <c r="L472" s="20"/>
      <c r="M472" s="21"/>
      <c r="N472" s="21"/>
      <c r="O472" s="22"/>
      <c r="P472" s="22"/>
      <c r="Q472" s="23"/>
      <c r="R472" s="23"/>
      <c r="S472" s="75"/>
      <c r="T472" s="75"/>
      <c r="U472" s="75"/>
      <c r="V472" s="75"/>
      <c r="W472" s="75"/>
      <c r="X472" s="75"/>
      <c r="Y472" s="75"/>
      <c r="Z472" s="76"/>
    </row>
    <row r="473" ht="15.0" customHeight="1">
      <c r="A473" s="86" t="str">
        <f>A472</f>
        <v>http://purl.obolibrary.org/obo/OBI_0002035</v>
      </c>
      <c r="B473" s="88"/>
      <c r="C473" s="89"/>
      <c r="D473" s="88"/>
      <c r="E473" s="89"/>
      <c r="F473" s="88"/>
      <c r="G473" s="89"/>
      <c r="H473" s="88"/>
      <c r="I473" s="89"/>
      <c r="J473" s="88"/>
      <c r="K473" s="88"/>
      <c r="L473" s="89"/>
      <c r="M473" s="90"/>
      <c r="N473" s="90"/>
      <c r="O473" s="91"/>
      <c r="P473" s="91"/>
      <c r="Q473" s="92"/>
      <c r="R473" s="92"/>
      <c r="S473" s="79"/>
      <c r="T473" s="79"/>
      <c r="U473" s="79"/>
      <c r="V473" s="79"/>
      <c r="W473" s="79"/>
      <c r="X473" s="79"/>
      <c r="Y473" s="79"/>
      <c r="Z473" s="80"/>
    </row>
    <row r="474" ht="15.0" customHeight="1">
      <c r="A474" s="17" t="str">
        <f>HYPERLINK("http://purl.obolibrary.org/obo/OBI_0002036","http://purl.obolibrary.org/obo/OBI_0002036")</f>
        <v>http://purl.obolibrary.org/obo/OBI_0002036</v>
      </c>
      <c r="B474" s="18" t="s">
        <v>1177</v>
      </c>
      <c r="C474" s="20" t="s">
        <v>1178</v>
      </c>
      <c r="D474" s="18" t="s">
        <v>1170</v>
      </c>
      <c r="E474" s="20" t="s">
        <v>30</v>
      </c>
      <c r="F474" s="18" t="s">
        <v>19</v>
      </c>
      <c r="G474" s="20"/>
      <c r="H474" s="18"/>
      <c r="I474" s="20"/>
      <c r="J474" s="18"/>
      <c r="K474" s="18"/>
      <c r="L474" s="20"/>
      <c r="M474" s="21"/>
      <c r="N474" s="21"/>
      <c r="O474" s="22"/>
      <c r="P474" s="22"/>
      <c r="Q474" s="23"/>
      <c r="R474" s="23"/>
      <c r="S474" s="75"/>
      <c r="T474" s="75"/>
      <c r="U474" s="75"/>
      <c r="V474" s="75"/>
      <c r="W474" s="75"/>
      <c r="X474" s="75"/>
      <c r="Y474" s="75"/>
      <c r="Z474" s="76"/>
    </row>
    <row r="475" ht="15.0" customHeight="1">
      <c r="A475" s="86" t="str">
        <f>A474</f>
        <v>http://purl.obolibrary.org/obo/OBI_0002036</v>
      </c>
      <c r="B475" s="88"/>
      <c r="C475" s="89"/>
      <c r="D475" s="88"/>
      <c r="E475" s="89"/>
      <c r="F475" s="88"/>
      <c r="G475" s="89"/>
      <c r="H475" s="88"/>
      <c r="I475" s="89"/>
      <c r="J475" s="88"/>
      <c r="K475" s="88"/>
      <c r="L475" s="89"/>
      <c r="M475" s="90"/>
      <c r="N475" s="90"/>
      <c r="O475" s="91"/>
      <c r="P475" s="91"/>
      <c r="Q475" s="92"/>
      <c r="R475" s="92"/>
      <c r="S475" s="73"/>
      <c r="T475" s="73"/>
      <c r="U475" s="73"/>
      <c r="V475" s="73"/>
      <c r="W475" s="73"/>
      <c r="X475" s="73"/>
      <c r="Y475" s="73"/>
      <c r="Z475" s="74"/>
    </row>
    <row r="476" ht="15.0" customHeight="1">
      <c r="A476" s="17" t="str">
        <f>HYPERLINK("http://purl.obolibrary.org/obo/OBI_0002037","http://purl.obolibrary.org/obo/OBI_0002037")</f>
        <v>http://purl.obolibrary.org/obo/OBI_0002037</v>
      </c>
      <c r="B476" s="18" t="s">
        <v>1179</v>
      </c>
      <c r="C476" s="20" t="s">
        <v>1180</v>
      </c>
      <c r="D476" s="18" t="s">
        <v>1170</v>
      </c>
      <c r="E476" s="20" t="s">
        <v>30</v>
      </c>
      <c r="F476" s="18" t="s">
        <v>1177</v>
      </c>
      <c r="G476" s="20"/>
      <c r="H476" s="18"/>
      <c r="I476" s="20"/>
      <c r="J476" s="18"/>
      <c r="K476" s="18"/>
      <c r="L476" s="20"/>
      <c r="M476" s="21"/>
      <c r="N476" s="21"/>
      <c r="O476" s="22"/>
      <c r="P476" s="22"/>
      <c r="Q476" s="23"/>
      <c r="R476" s="23"/>
      <c r="S476" s="75"/>
      <c r="T476" s="75"/>
      <c r="U476" s="75"/>
      <c r="V476" s="75"/>
      <c r="W476" s="75"/>
      <c r="X476" s="75"/>
      <c r="Y476" s="75"/>
      <c r="Z476" s="76"/>
    </row>
    <row r="477" ht="15.0" customHeight="1">
      <c r="A477" s="86" t="str">
        <f>A476</f>
        <v>http://purl.obolibrary.org/obo/OBI_0002037</v>
      </c>
      <c r="B477" s="88"/>
      <c r="C477" s="93" t="s">
        <v>1181</v>
      </c>
      <c r="D477" s="88"/>
      <c r="E477" s="89"/>
      <c r="F477" s="88"/>
      <c r="G477" s="89"/>
      <c r="H477" s="88"/>
      <c r="I477" s="89"/>
      <c r="J477" s="88"/>
      <c r="K477" s="88"/>
      <c r="L477" s="89"/>
      <c r="M477" s="90"/>
      <c r="N477" s="90"/>
      <c r="O477" s="91"/>
      <c r="P477" s="91"/>
      <c r="Q477" s="92"/>
      <c r="R477" s="92"/>
      <c r="S477" s="73"/>
      <c r="T477" s="73"/>
      <c r="U477" s="73"/>
      <c r="V477" s="73"/>
      <c r="W477" s="73"/>
      <c r="X477" s="73"/>
      <c r="Y477" s="73"/>
      <c r="Z477" s="74"/>
    </row>
    <row r="478" ht="15.0" customHeight="1">
      <c r="A478" s="17" t="str">
        <f>HYPERLINK("http://purl.obolibrary.org/obo/OBI_0002038","http://purl.obolibrary.org/obo/OBI_0002038")</f>
        <v>http://purl.obolibrary.org/obo/OBI_0002038</v>
      </c>
      <c r="B478" s="18" t="s">
        <v>1182</v>
      </c>
      <c r="C478" s="20" t="s">
        <v>1183</v>
      </c>
      <c r="D478" s="18" t="s">
        <v>926</v>
      </c>
      <c r="E478" s="20" t="s">
        <v>30</v>
      </c>
      <c r="F478" s="18" t="s">
        <v>701</v>
      </c>
      <c r="G478" s="20"/>
      <c r="H478" s="18"/>
      <c r="I478" s="20"/>
      <c r="J478" s="18"/>
      <c r="K478" s="18"/>
      <c r="L478" s="20"/>
      <c r="M478" s="21"/>
      <c r="N478" s="21"/>
      <c r="O478" s="22"/>
      <c r="P478" s="22"/>
      <c r="Q478" s="23"/>
      <c r="R478" s="23"/>
      <c r="S478" s="75"/>
      <c r="T478" s="75"/>
      <c r="U478" s="75"/>
      <c r="V478" s="75"/>
      <c r="W478" s="75"/>
      <c r="X478" s="75"/>
      <c r="Y478" s="75"/>
      <c r="Z478" s="76"/>
    </row>
    <row r="479" ht="15.0" customHeight="1">
      <c r="A479" s="86" t="str">
        <f>A478</f>
        <v>http://purl.obolibrary.org/obo/OBI_0002038</v>
      </c>
      <c r="B479" s="88"/>
      <c r="C479" s="89"/>
      <c r="D479" s="88"/>
      <c r="E479" s="89"/>
      <c r="F479" s="88"/>
      <c r="G479" s="89"/>
      <c r="H479" s="88"/>
      <c r="I479" s="89"/>
      <c r="J479" s="88"/>
      <c r="K479" s="88"/>
      <c r="L479" s="89"/>
      <c r="M479" s="90"/>
      <c r="N479" s="90"/>
      <c r="O479" s="91"/>
      <c r="P479" s="91"/>
      <c r="Q479" s="92"/>
      <c r="R479" s="92"/>
      <c r="S479" s="79"/>
      <c r="T479" s="79"/>
      <c r="U479" s="79"/>
      <c r="V479" s="79"/>
      <c r="W479" s="79"/>
      <c r="X479" s="79"/>
      <c r="Y479" s="79"/>
      <c r="Z479" s="80"/>
    </row>
    <row r="480" ht="15.0" customHeight="1">
      <c r="A480" s="17" t="str">
        <f>HYPERLINK("http://purl.obolibrary.org/obo/OBI_0002039","http://purl.obolibrary.org/obo/OBI_0002039")</f>
        <v>http://purl.obolibrary.org/obo/OBI_0002039</v>
      </c>
      <c r="B480" s="18" t="s">
        <v>1184</v>
      </c>
      <c r="C480" s="19" t="s">
        <v>1185</v>
      </c>
      <c r="D480" s="18" t="s">
        <v>926</v>
      </c>
      <c r="E480" s="20" t="s">
        <v>30</v>
      </c>
      <c r="F480" s="18" t="s">
        <v>19</v>
      </c>
      <c r="G480" s="20"/>
      <c r="H480" s="18"/>
      <c r="I480" s="20"/>
      <c r="J480" s="18"/>
      <c r="K480" s="18"/>
      <c r="L480" s="20"/>
      <c r="M480" s="21"/>
      <c r="N480" s="21"/>
      <c r="O480" s="22"/>
      <c r="P480" s="22"/>
      <c r="Q480" s="23"/>
      <c r="R480" s="23"/>
      <c r="S480" s="75"/>
      <c r="T480" s="75"/>
      <c r="U480" s="75"/>
      <c r="V480" s="75"/>
      <c r="W480" s="75"/>
      <c r="X480" s="75"/>
      <c r="Y480" s="75"/>
      <c r="Z480" s="76"/>
    </row>
    <row r="481" ht="15.0" customHeight="1">
      <c r="A481" s="86" t="str">
        <f>A480</f>
        <v>http://purl.obolibrary.org/obo/OBI_0002039</v>
      </c>
      <c r="B481" s="88"/>
      <c r="C481" s="89"/>
      <c r="D481" s="88"/>
      <c r="E481" s="89"/>
      <c r="F481" s="88"/>
      <c r="G481" s="89"/>
      <c r="H481" s="88"/>
      <c r="I481" s="89"/>
      <c r="J481" s="88"/>
      <c r="K481" s="88"/>
      <c r="L481" s="89"/>
      <c r="M481" s="90"/>
      <c r="N481" s="90"/>
      <c r="O481" s="91"/>
      <c r="P481" s="91"/>
      <c r="Q481" s="92"/>
      <c r="R481" s="92"/>
      <c r="S481" s="73"/>
      <c r="T481" s="73"/>
      <c r="U481" s="73"/>
      <c r="V481" s="73"/>
      <c r="W481" s="73"/>
      <c r="X481" s="73"/>
      <c r="Y481" s="73"/>
      <c r="Z481" s="74"/>
    </row>
    <row r="482" ht="15.0" customHeight="1">
      <c r="A482" s="17" t="str">
        <f>HYPERLINK("http://purl.obolibrary.org/obo/OBI_0002040","http://purl.obolibrary.org/obo/OBI_0002040")</f>
        <v>http://purl.obolibrary.org/obo/OBI_0002040</v>
      </c>
      <c r="B482" s="18" t="s">
        <v>1186</v>
      </c>
      <c r="C482" s="20" t="s">
        <v>1187</v>
      </c>
      <c r="D482" s="18" t="s">
        <v>926</v>
      </c>
      <c r="E482" s="20" t="s">
        <v>30</v>
      </c>
      <c r="F482" s="18" t="s">
        <v>1188</v>
      </c>
      <c r="G482" s="20"/>
      <c r="H482" s="18"/>
      <c r="I482" s="20"/>
      <c r="J482" s="18"/>
      <c r="K482" s="18"/>
      <c r="L482" s="20"/>
      <c r="M482" s="21"/>
      <c r="N482" s="21"/>
      <c r="O482" s="22"/>
      <c r="P482" s="22"/>
      <c r="Q482" s="23"/>
      <c r="R482" s="23"/>
      <c r="S482" s="75"/>
      <c r="T482" s="75"/>
      <c r="U482" s="75"/>
      <c r="V482" s="75"/>
      <c r="W482" s="75"/>
      <c r="X482" s="75"/>
      <c r="Y482" s="75"/>
      <c r="Z482" s="76"/>
    </row>
    <row r="483" ht="15.0" customHeight="1">
      <c r="A483" s="86" t="str">
        <f>A482</f>
        <v>http://purl.obolibrary.org/obo/OBI_0002040</v>
      </c>
      <c r="B483" s="88"/>
      <c r="C483" s="89"/>
      <c r="D483" s="88"/>
      <c r="E483" s="89"/>
      <c r="F483" s="88"/>
      <c r="G483" s="89"/>
      <c r="H483" s="88"/>
      <c r="I483" s="89"/>
      <c r="J483" s="88"/>
      <c r="K483" s="88"/>
      <c r="L483" s="89"/>
      <c r="M483" s="90"/>
      <c r="N483" s="90"/>
      <c r="O483" s="91"/>
      <c r="P483" s="91"/>
      <c r="Q483" s="92"/>
      <c r="R483" s="92"/>
      <c r="S483" s="73"/>
      <c r="T483" s="73"/>
      <c r="U483" s="73"/>
      <c r="V483" s="73"/>
      <c r="W483" s="73"/>
      <c r="X483" s="73"/>
      <c r="Y483" s="73"/>
      <c r="Z483" s="74"/>
    </row>
    <row r="484" ht="15.0" customHeight="1">
      <c r="A484" s="17" t="str">
        <f>HYPERLINK("http://purl.obolibrary.org/obo/OBI_0002041","http://purl.obolibrary.org/obo/OBI_0002041")</f>
        <v>http://purl.obolibrary.org/obo/OBI_0002041</v>
      </c>
      <c r="B484" s="18" t="s">
        <v>1189</v>
      </c>
      <c r="C484" s="20" t="s">
        <v>1190</v>
      </c>
      <c r="D484" s="18" t="s">
        <v>926</v>
      </c>
      <c r="E484" s="20" t="s">
        <v>30</v>
      </c>
      <c r="F484" s="18" t="s">
        <v>701</v>
      </c>
      <c r="G484" s="20"/>
      <c r="H484" s="18"/>
      <c r="I484" s="20"/>
      <c r="J484" s="18"/>
      <c r="K484" s="18"/>
      <c r="L484" s="20"/>
      <c r="M484" s="21"/>
      <c r="N484" s="21"/>
      <c r="O484" s="22"/>
      <c r="P484" s="22"/>
      <c r="Q484" s="23"/>
      <c r="R484" s="23"/>
      <c r="S484" s="75"/>
      <c r="T484" s="75"/>
      <c r="U484" s="75"/>
      <c r="V484" s="75"/>
      <c r="W484" s="75"/>
      <c r="X484" s="75"/>
      <c r="Y484" s="75"/>
      <c r="Z484" s="76"/>
    </row>
    <row r="485" ht="15.0" customHeight="1">
      <c r="A485" s="86" t="str">
        <f>A484</f>
        <v>http://purl.obolibrary.org/obo/OBI_0002041</v>
      </c>
      <c r="B485" s="88"/>
      <c r="C485" s="93" t="s">
        <v>1191</v>
      </c>
      <c r="D485" s="88"/>
      <c r="E485" s="89"/>
      <c r="F485" s="88"/>
      <c r="G485" s="89"/>
      <c r="H485" s="88"/>
      <c r="I485" s="89"/>
      <c r="J485" s="88"/>
      <c r="K485" s="88"/>
      <c r="L485" s="89"/>
      <c r="M485" s="90"/>
      <c r="N485" s="90"/>
      <c r="O485" s="91"/>
      <c r="P485" s="91"/>
      <c r="Q485" s="92"/>
      <c r="R485" s="92"/>
      <c r="S485" s="73"/>
      <c r="T485" s="73"/>
      <c r="U485" s="73"/>
      <c r="V485" s="73"/>
      <c r="W485" s="73"/>
      <c r="X485" s="73"/>
      <c r="Y485" s="73"/>
      <c r="Z485" s="74"/>
    </row>
    <row r="486" ht="15.0" customHeight="1">
      <c r="A486" s="17" t="str">
        <f>HYPERLINK("http://purl.obolibrary.org/obo/OBI_0002042","http://purl.obolibrary.org/obo/OBI_0002042")</f>
        <v>http://purl.obolibrary.org/obo/OBI_0002042</v>
      </c>
      <c r="B486" s="18" t="s">
        <v>1192</v>
      </c>
      <c r="C486" s="19" t="s">
        <v>1193</v>
      </c>
      <c r="D486" s="18" t="s">
        <v>926</v>
      </c>
      <c r="E486" s="20" t="s">
        <v>30</v>
      </c>
      <c r="F486" s="18" t="s">
        <v>1045</v>
      </c>
      <c r="G486" s="20"/>
      <c r="H486" s="18"/>
      <c r="I486" s="20"/>
      <c r="J486" s="18"/>
      <c r="K486" s="18"/>
      <c r="L486" s="20"/>
      <c r="M486" s="21"/>
      <c r="N486" s="21"/>
      <c r="O486" s="22"/>
      <c r="P486" s="22"/>
      <c r="Q486" s="23"/>
      <c r="R486" s="23"/>
      <c r="S486" s="75"/>
      <c r="T486" s="75"/>
      <c r="U486" s="75"/>
      <c r="V486" s="75"/>
      <c r="W486" s="75"/>
      <c r="X486" s="75"/>
      <c r="Y486" s="75"/>
      <c r="Z486" s="76"/>
    </row>
    <row r="487" ht="15.0" customHeight="1">
      <c r="A487" s="86" t="str">
        <f>A486</f>
        <v>http://purl.obolibrary.org/obo/OBI_0002042</v>
      </c>
      <c r="B487" s="88"/>
      <c r="C487" s="89"/>
      <c r="D487" s="88"/>
      <c r="E487" s="89"/>
      <c r="F487" s="88"/>
      <c r="G487" s="89"/>
      <c r="H487" s="88"/>
      <c r="I487" s="89"/>
      <c r="J487" s="88"/>
      <c r="K487" s="88"/>
      <c r="L487" s="89"/>
      <c r="M487" s="90"/>
      <c r="N487" s="90"/>
      <c r="O487" s="91"/>
      <c r="P487" s="91"/>
      <c r="Q487" s="92"/>
      <c r="R487" s="92"/>
      <c r="S487" s="73"/>
      <c r="T487" s="73"/>
      <c r="U487" s="73"/>
      <c r="V487" s="73"/>
      <c r="W487" s="73"/>
      <c r="X487" s="73"/>
      <c r="Y487" s="73"/>
      <c r="Z487" s="74"/>
    </row>
    <row r="488" ht="15.0" customHeight="1">
      <c r="A488" s="17" t="str">
        <f>HYPERLINK("http://purl.obolibrary.org/obo/OBI_0002043","http://purl.obolibrary.org/obo/OBI_0002043")</f>
        <v>http://purl.obolibrary.org/obo/OBI_0002043</v>
      </c>
      <c r="B488" s="18" t="s">
        <v>1194</v>
      </c>
      <c r="C488" s="20" t="s">
        <v>1195</v>
      </c>
      <c r="D488" s="18" t="s">
        <v>926</v>
      </c>
      <c r="E488" s="20" t="s">
        <v>30</v>
      </c>
      <c r="F488" s="18" t="s">
        <v>972</v>
      </c>
      <c r="G488" s="20"/>
      <c r="H488" s="18"/>
      <c r="I488" s="20"/>
      <c r="J488" s="18"/>
      <c r="K488" s="18"/>
      <c r="L488" s="20"/>
      <c r="M488" s="21"/>
      <c r="N488" s="21"/>
      <c r="O488" s="22"/>
      <c r="P488" s="22"/>
      <c r="Q488" s="23"/>
      <c r="R488" s="23"/>
      <c r="S488" s="75"/>
      <c r="T488" s="75"/>
      <c r="U488" s="75"/>
      <c r="V488" s="75"/>
      <c r="W488" s="75"/>
      <c r="X488" s="75"/>
      <c r="Y488" s="75"/>
      <c r="Z488" s="76"/>
    </row>
    <row r="489" ht="15.0" customHeight="1">
      <c r="A489" s="86" t="str">
        <f>A488</f>
        <v>http://purl.obolibrary.org/obo/OBI_0002043</v>
      </c>
      <c r="B489" s="88"/>
      <c r="C489" s="89"/>
      <c r="D489" s="88"/>
      <c r="E489" s="89"/>
      <c r="F489" s="88"/>
      <c r="G489" s="89"/>
      <c r="H489" s="88"/>
      <c r="I489" s="89"/>
      <c r="J489" s="88"/>
      <c r="K489" s="88"/>
      <c r="L489" s="89"/>
      <c r="M489" s="90"/>
      <c r="N489" s="90"/>
      <c r="O489" s="91"/>
      <c r="P489" s="91"/>
      <c r="Q489" s="92"/>
      <c r="R489" s="92"/>
      <c r="S489" s="73"/>
      <c r="T489" s="73"/>
      <c r="U489" s="73"/>
      <c r="V489" s="73"/>
      <c r="W489" s="73"/>
      <c r="X489" s="73"/>
      <c r="Y489" s="73"/>
      <c r="Z489" s="74"/>
    </row>
    <row r="490" ht="15.0" customHeight="1">
      <c r="A490" s="17" t="str">
        <f>HYPERLINK("http://purl.obolibrary.org/obo/OBI_0002044","http://purl.obolibrary.org/obo/OBI_0002044")</f>
        <v>http://purl.obolibrary.org/obo/OBI_0002044</v>
      </c>
      <c r="B490" s="18" t="s">
        <v>1196</v>
      </c>
      <c r="C490" s="20" t="s">
        <v>1197</v>
      </c>
      <c r="D490" s="18" t="s">
        <v>926</v>
      </c>
      <c r="E490" s="20" t="s">
        <v>30</v>
      </c>
      <c r="F490" s="18" t="s">
        <v>701</v>
      </c>
      <c r="G490" s="20"/>
      <c r="H490" s="18"/>
      <c r="I490" s="20"/>
      <c r="J490" s="18"/>
      <c r="K490" s="18"/>
      <c r="L490" s="20"/>
      <c r="M490" s="21"/>
      <c r="N490" s="21"/>
      <c r="O490" s="22"/>
      <c r="P490" s="22"/>
      <c r="Q490" s="23"/>
      <c r="R490" s="23"/>
      <c r="S490" s="75"/>
      <c r="T490" s="75"/>
      <c r="U490" s="75"/>
      <c r="V490" s="75"/>
      <c r="W490" s="75"/>
      <c r="X490" s="75"/>
      <c r="Y490" s="75"/>
      <c r="Z490" s="76"/>
    </row>
    <row r="491" ht="15.0" customHeight="1">
      <c r="A491" s="86" t="str">
        <f>A490</f>
        <v>http://purl.obolibrary.org/obo/OBI_0002044</v>
      </c>
      <c r="B491" s="88"/>
      <c r="C491" s="89"/>
      <c r="D491" s="88"/>
      <c r="E491" s="89"/>
      <c r="F491" s="88"/>
      <c r="G491" s="89"/>
      <c r="H491" s="88"/>
      <c r="I491" s="89"/>
      <c r="J491" s="88"/>
      <c r="K491" s="88"/>
      <c r="L491" s="89"/>
      <c r="M491" s="90"/>
      <c r="N491" s="90"/>
      <c r="O491" s="91"/>
      <c r="P491" s="91"/>
      <c r="Q491" s="92"/>
      <c r="R491" s="92"/>
      <c r="S491" s="73"/>
      <c r="T491" s="73"/>
      <c r="U491" s="73"/>
      <c r="V491" s="73"/>
      <c r="W491" s="73"/>
      <c r="X491" s="73"/>
      <c r="Y491" s="73"/>
      <c r="Z491" s="74"/>
    </row>
    <row r="492" ht="15.0" customHeight="1">
      <c r="A492" s="17" t="str">
        <f>HYPERLINK("http://purl.obolibrary.org/obo/OBI_0002045","http://purl.obolibrary.org/obo/OBI_0002045")</f>
        <v>http://purl.obolibrary.org/obo/OBI_0002045</v>
      </c>
      <c r="B492" s="18" t="s">
        <v>1198</v>
      </c>
      <c r="C492" s="20" t="s">
        <v>1199</v>
      </c>
      <c r="D492" s="18" t="s">
        <v>926</v>
      </c>
      <c r="E492" s="20" t="s">
        <v>30</v>
      </c>
      <c r="F492" s="18" t="s">
        <v>701</v>
      </c>
      <c r="G492" s="20"/>
      <c r="H492" s="18"/>
      <c r="I492" s="20"/>
      <c r="J492" s="18"/>
      <c r="K492" s="18"/>
      <c r="L492" s="20"/>
      <c r="M492" s="21"/>
      <c r="N492" s="21"/>
      <c r="O492" s="22"/>
      <c r="P492" s="22"/>
      <c r="Q492" s="23"/>
      <c r="R492" s="23"/>
      <c r="S492" s="75"/>
      <c r="T492" s="75"/>
      <c r="U492" s="75"/>
      <c r="V492" s="75"/>
      <c r="W492" s="75"/>
      <c r="X492" s="75"/>
      <c r="Y492" s="75"/>
      <c r="Z492" s="76"/>
    </row>
    <row r="493" ht="15.0" customHeight="1">
      <c r="A493" s="86" t="str">
        <f>A492</f>
        <v>http://purl.obolibrary.org/obo/OBI_0002045</v>
      </c>
      <c r="B493" s="88"/>
      <c r="C493" s="89"/>
      <c r="D493" s="88"/>
      <c r="E493" s="89"/>
      <c r="F493" s="88"/>
      <c r="G493" s="89"/>
      <c r="H493" s="88"/>
      <c r="I493" s="89"/>
      <c r="J493" s="88"/>
      <c r="K493" s="88"/>
      <c r="L493" s="89"/>
      <c r="M493" s="90"/>
      <c r="N493" s="90"/>
      <c r="O493" s="91"/>
      <c r="P493" s="91"/>
      <c r="Q493" s="92"/>
      <c r="R493" s="92"/>
      <c r="S493" s="73"/>
      <c r="T493" s="73"/>
      <c r="U493" s="73"/>
      <c r="V493" s="73"/>
      <c r="W493" s="73"/>
      <c r="X493" s="73"/>
      <c r="Y493" s="73"/>
      <c r="Z493" s="74"/>
    </row>
    <row r="494" ht="15.0" customHeight="1">
      <c r="A494" s="17" t="str">
        <f>HYPERLINK("http://purl.obolibrary.org/obo/OBI_0002082","http://purl.obolibrary.org/obo/OBI_0002082")</f>
        <v>http://purl.obolibrary.org/obo/OBI_0002082</v>
      </c>
      <c r="B494" s="18" t="s">
        <v>1200</v>
      </c>
      <c r="C494" s="20" t="s">
        <v>1201</v>
      </c>
      <c r="D494" s="18" t="s">
        <v>1202</v>
      </c>
      <c r="E494" s="20" t="s">
        <v>30</v>
      </c>
      <c r="F494" s="18" t="s">
        <v>19</v>
      </c>
      <c r="G494" s="20"/>
      <c r="H494" s="18"/>
      <c r="I494" s="20"/>
      <c r="J494" s="18"/>
      <c r="K494" s="18"/>
      <c r="L494" s="20"/>
      <c r="M494" s="21"/>
      <c r="N494" s="21"/>
      <c r="O494" s="22"/>
      <c r="P494" s="22"/>
      <c r="Q494" s="23"/>
      <c r="R494" s="23"/>
      <c r="S494" s="75"/>
      <c r="T494" s="75"/>
      <c r="U494" s="75"/>
      <c r="V494" s="75"/>
      <c r="W494" s="75"/>
      <c r="X494" s="75"/>
      <c r="Y494" s="75"/>
      <c r="Z494" s="76"/>
    </row>
    <row r="495" ht="15.0" customHeight="1">
      <c r="A495" s="86" t="str">
        <f>A494</f>
        <v>http://purl.obolibrary.org/obo/OBI_0002082</v>
      </c>
      <c r="B495" s="88"/>
      <c r="C495" s="93" t="s">
        <v>1203</v>
      </c>
      <c r="D495" s="88"/>
      <c r="E495" s="89"/>
      <c r="F495" s="88"/>
      <c r="G495" s="89"/>
      <c r="H495" s="88"/>
      <c r="I495" s="89"/>
      <c r="J495" s="88"/>
      <c r="K495" s="88"/>
      <c r="L495" s="89"/>
      <c r="M495" s="90"/>
      <c r="N495" s="90"/>
      <c r="O495" s="91"/>
      <c r="P495" s="91"/>
      <c r="Q495" s="92"/>
      <c r="R495" s="92"/>
      <c r="S495" s="73"/>
      <c r="T495" s="73"/>
      <c r="U495" s="73"/>
      <c r="V495" s="73"/>
      <c r="W495" s="73"/>
      <c r="X495" s="73"/>
      <c r="Y495" s="73"/>
      <c r="Z495" s="74"/>
    </row>
    <row r="496" ht="15.0" customHeight="1">
      <c r="A496" s="17" t="str">
        <f>HYPERLINK("http://purl.obolibrary.org/obo/OBI_0002083","http://purl.obolibrary.org/obo/OBI_0002083")</f>
        <v>http://purl.obolibrary.org/obo/OBI_0002083</v>
      </c>
      <c r="B496" s="18" t="s">
        <v>1204</v>
      </c>
      <c r="C496" s="20" t="s">
        <v>1205</v>
      </c>
      <c r="D496" s="18" t="s">
        <v>1206</v>
      </c>
      <c r="E496" s="20" t="s">
        <v>30</v>
      </c>
      <c r="F496" s="18" t="s">
        <v>1200</v>
      </c>
      <c r="G496" s="20"/>
      <c r="H496" s="18"/>
      <c r="I496" s="20"/>
      <c r="J496" s="18"/>
      <c r="K496" s="18"/>
      <c r="L496" s="20"/>
      <c r="M496" s="21"/>
      <c r="N496" s="21"/>
      <c r="O496" s="22"/>
      <c r="P496" s="22"/>
      <c r="Q496" s="23"/>
      <c r="R496" s="23"/>
      <c r="S496" s="75"/>
      <c r="T496" s="75"/>
      <c r="U496" s="75"/>
      <c r="V496" s="75"/>
      <c r="W496" s="75"/>
      <c r="X496" s="75"/>
      <c r="Y496" s="75"/>
      <c r="Z496" s="76"/>
    </row>
    <row r="497" ht="15.0" customHeight="1">
      <c r="A497" s="86" t="str">
        <f>A496</f>
        <v>http://purl.obolibrary.org/obo/OBI_0002083</v>
      </c>
      <c r="B497" s="88"/>
      <c r="C497" s="93" t="s">
        <v>1207</v>
      </c>
      <c r="D497" s="88"/>
      <c r="E497" s="89"/>
      <c r="F497" s="88"/>
      <c r="G497" s="89"/>
      <c r="H497" s="88"/>
      <c r="I497" s="89"/>
      <c r="J497" s="88"/>
      <c r="K497" s="88"/>
      <c r="L497" s="89"/>
      <c r="M497" s="90"/>
      <c r="N497" s="90"/>
      <c r="O497" s="91"/>
      <c r="P497" s="91"/>
      <c r="Q497" s="92"/>
      <c r="R497" s="92"/>
      <c r="S497" s="73"/>
      <c r="T497" s="73"/>
      <c r="U497" s="73"/>
      <c r="V497" s="73"/>
      <c r="W497" s="73"/>
      <c r="X497" s="73"/>
      <c r="Y497" s="73"/>
      <c r="Z497" s="74"/>
    </row>
    <row r="498" ht="15.0" customHeight="1">
      <c r="A498" s="17" t="str">
        <f>HYPERLINK("http://purl.obolibrary.org/obo/OBI_0002084","http://purl.obolibrary.org/obo/OBI_0002084")</f>
        <v>http://purl.obolibrary.org/obo/OBI_0002084</v>
      </c>
      <c r="B498" s="18" t="s">
        <v>1208</v>
      </c>
      <c r="C498" s="20" t="s">
        <v>1209</v>
      </c>
      <c r="D498" s="18" t="s">
        <v>1206</v>
      </c>
      <c r="E498" s="20" t="s">
        <v>30</v>
      </c>
      <c r="F498" s="18" t="s">
        <v>258</v>
      </c>
      <c r="G498" s="20"/>
      <c r="H498" s="18"/>
      <c r="I498" s="20"/>
      <c r="J498" s="18"/>
      <c r="K498" s="18"/>
      <c r="L498" s="20"/>
      <c r="M498" s="21"/>
      <c r="N498" s="21"/>
      <c r="O498" s="22"/>
      <c r="P498" s="22"/>
      <c r="Q498" s="23"/>
      <c r="R498" s="23"/>
      <c r="S498" s="75"/>
      <c r="T498" s="75"/>
      <c r="U498" s="75"/>
      <c r="V498" s="75"/>
      <c r="W498" s="75"/>
      <c r="X498" s="75"/>
      <c r="Y498" s="75"/>
      <c r="Z498" s="76"/>
    </row>
    <row r="499" ht="15.0" customHeight="1">
      <c r="A499" s="86" t="str">
        <f>A498</f>
        <v>http://purl.obolibrary.org/obo/OBI_0002084</v>
      </c>
      <c r="B499" s="88"/>
      <c r="C499" s="89"/>
      <c r="D499" s="88"/>
      <c r="E499" s="89"/>
      <c r="F499" s="88"/>
      <c r="G499" s="89"/>
      <c r="H499" s="88"/>
      <c r="I499" s="89"/>
      <c r="J499" s="88"/>
      <c r="K499" s="88"/>
      <c r="L499" s="89"/>
      <c r="M499" s="90"/>
      <c r="N499" s="90"/>
      <c r="O499" s="91"/>
      <c r="P499" s="91"/>
      <c r="Q499" s="92"/>
      <c r="R499" s="92"/>
      <c r="S499" s="73"/>
      <c r="T499" s="73"/>
      <c r="U499" s="73"/>
      <c r="V499" s="73"/>
      <c r="W499" s="73"/>
      <c r="X499" s="73"/>
      <c r="Y499" s="73"/>
      <c r="Z499" s="74"/>
    </row>
    <row r="500" ht="15.0" customHeight="1">
      <c r="A500" s="17" t="str">
        <f>HYPERLINK("http://purl.obolibrary.org/obo/OBI_0002085","http://purl.obolibrary.org/obo/OBI_0002085")</f>
        <v>http://purl.obolibrary.org/obo/OBI_0002085</v>
      </c>
      <c r="B500" s="18" t="s">
        <v>1210</v>
      </c>
      <c r="C500" s="20" t="s">
        <v>1211</v>
      </c>
      <c r="D500" s="18" t="s">
        <v>1206</v>
      </c>
      <c r="E500" s="20" t="s">
        <v>30</v>
      </c>
      <c r="F500" s="18" t="s">
        <v>887</v>
      </c>
      <c r="G500" s="20"/>
      <c r="H500" s="18"/>
      <c r="I500" s="20"/>
      <c r="J500" s="18"/>
      <c r="K500" s="18"/>
      <c r="L500" s="20"/>
      <c r="M500" s="21"/>
      <c r="N500" s="21"/>
      <c r="O500" s="22"/>
      <c r="P500" s="22"/>
      <c r="Q500" s="23"/>
      <c r="R500" s="23"/>
      <c r="S500" s="75"/>
      <c r="T500" s="75"/>
      <c r="U500" s="75"/>
      <c r="V500" s="75"/>
      <c r="W500" s="75"/>
      <c r="X500" s="75"/>
      <c r="Y500" s="75"/>
      <c r="Z500" s="76"/>
    </row>
    <row r="501" ht="15.0" customHeight="1">
      <c r="A501" s="86" t="str">
        <f>A500</f>
        <v>http://purl.obolibrary.org/obo/OBI_0002085</v>
      </c>
      <c r="B501" s="88"/>
      <c r="C501" s="89"/>
      <c r="D501" s="88"/>
      <c r="E501" s="89"/>
      <c r="F501" s="88"/>
      <c r="G501" s="89"/>
      <c r="H501" s="88"/>
      <c r="I501" s="89"/>
      <c r="J501" s="88"/>
      <c r="K501" s="88"/>
      <c r="L501" s="89"/>
      <c r="M501" s="90"/>
      <c r="N501" s="90"/>
      <c r="O501" s="91"/>
      <c r="P501" s="91"/>
      <c r="Q501" s="92"/>
      <c r="R501" s="92"/>
      <c r="S501" s="73"/>
      <c r="T501" s="73"/>
      <c r="U501" s="73"/>
      <c r="V501" s="73"/>
      <c r="W501" s="73"/>
      <c r="X501" s="73"/>
      <c r="Y501" s="73"/>
      <c r="Z501" s="74"/>
    </row>
    <row r="502" ht="15.0" customHeight="1">
      <c r="A502" s="17" t="str">
        <f>HYPERLINK("http://purl.obolibrary.org/obo/OBI_0302736","http://purl.obolibrary.org/obo/OBI_0302736")</f>
        <v>http://purl.obolibrary.org/obo/OBI_0302736</v>
      </c>
      <c r="B502" s="18" t="s">
        <v>1212</v>
      </c>
      <c r="C502" s="20" t="s">
        <v>1213</v>
      </c>
      <c r="D502" s="18" t="s">
        <v>45</v>
      </c>
      <c r="E502" s="20" t="s">
        <v>30</v>
      </c>
      <c r="F502" s="18" t="s">
        <v>19</v>
      </c>
      <c r="G502" s="20"/>
      <c r="H502" s="18" t="s">
        <v>24</v>
      </c>
      <c r="I502" s="20" t="s">
        <v>1214</v>
      </c>
      <c r="J502" s="18" t="s">
        <v>1215</v>
      </c>
      <c r="K502" s="18"/>
      <c r="L502" s="20"/>
      <c r="M502" s="21"/>
      <c r="N502" s="21"/>
      <c r="O502" s="22"/>
      <c r="P502" s="22"/>
      <c r="Q502" s="23"/>
      <c r="R502" s="23"/>
      <c r="S502" s="75"/>
      <c r="T502" s="75"/>
      <c r="U502" s="75"/>
      <c r="V502" s="75"/>
      <c r="W502" s="75"/>
      <c r="X502" s="75"/>
      <c r="Y502" s="75"/>
      <c r="Z502" s="76"/>
    </row>
    <row r="503" ht="15.0" customHeight="1">
      <c r="A503" s="26" t="str">
        <f>A502</f>
        <v>http://purl.obolibrary.org/obo/OBI_0302736</v>
      </c>
      <c r="B503" s="27"/>
      <c r="C503" s="42" t="s">
        <v>1216</v>
      </c>
      <c r="D503" s="27"/>
      <c r="E503" s="27"/>
      <c r="F503" s="27"/>
      <c r="G503" s="27"/>
      <c r="H503" s="28" t="s">
        <v>31</v>
      </c>
      <c r="I503" s="64" t="s">
        <v>1217</v>
      </c>
      <c r="J503" s="28" t="s">
        <v>1218</v>
      </c>
      <c r="K503" s="28" t="s">
        <v>1219</v>
      </c>
      <c r="L503" s="49" t="s">
        <v>1220</v>
      </c>
      <c r="M503" s="29"/>
      <c r="N503" s="29"/>
      <c r="O503" s="27"/>
      <c r="P503" s="30"/>
      <c r="Q503" s="31"/>
      <c r="R503" s="31"/>
      <c r="S503" s="77"/>
      <c r="T503" s="77"/>
      <c r="U503" s="77"/>
      <c r="V503" s="77"/>
      <c r="W503" s="77"/>
      <c r="X503" s="77"/>
      <c r="Y503" s="77"/>
      <c r="Z503" s="78"/>
    </row>
    <row r="504" ht="15.0" customHeight="1">
      <c r="A504" s="34" t="s">
        <v>1221</v>
      </c>
      <c r="B504" s="35" t="s">
        <v>1212</v>
      </c>
      <c r="C504" s="36" t="s">
        <v>1213</v>
      </c>
      <c r="D504" s="35" t="s">
        <v>45</v>
      </c>
      <c r="E504" s="36" t="s">
        <v>30</v>
      </c>
      <c r="F504" s="35" t="s">
        <v>19</v>
      </c>
      <c r="G504" s="36"/>
      <c r="H504" s="35" t="s">
        <v>24</v>
      </c>
      <c r="I504" s="36" t="s">
        <v>1214</v>
      </c>
      <c r="J504" s="35" t="s">
        <v>1222</v>
      </c>
      <c r="K504" s="35"/>
      <c r="L504" s="36" t="s">
        <v>1223</v>
      </c>
      <c r="M504" s="37"/>
      <c r="N504" s="37"/>
      <c r="O504" s="38"/>
      <c r="P504" s="38"/>
      <c r="Q504" s="39"/>
      <c r="R504" s="39"/>
      <c r="S504" s="73"/>
      <c r="T504" s="73"/>
      <c r="U504" s="73"/>
      <c r="V504" s="73"/>
      <c r="W504" s="73"/>
      <c r="X504" s="73"/>
      <c r="Y504" s="73"/>
      <c r="Z504" s="74"/>
    </row>
    <row r="505" ht="15.0" customHeight="1">
      <c r="A505" s="17" t="str">
        <f>HYPERLINK("http://purl.obolibrary.org/obo/OBI_0302737","http://purl.obolibrary.org/obo/OBI_0302737")</f>
        <v>http://purl.obolibrary.org/obo/OBI_0302737</v>
      </c>
      <c r="B505" s="18" t="s">
        <v>1224</v>
      </c>
      <c r="C505" s="20" t="s">
        <v>1225</v>
      </c>
      <c r="D505" s="18" t="s">
        <v>311</v>
      </c>
      <c r="E505" s="20" t="s">
        <v>30</v>
      </c>
      <c r="F505" s="18" t="s">
        <v>100</v>
      </c>
      <c r="G505" s="20"/>
      <c r="H505" s="18" t="s">
        <v>24</v>
      </c>
      <c r="I505" s="20" t="s">
        <v>1226</v>
      </c>
      <c r="J505" s="18" t="s">
        <v>1227</v>
      </c>
      <c r="K505" s="18"/>
      <c r="L505" s="20"/>
      <c r="M505" s="21" t="s">
        <v>1228</v>
      </c>
      <c r="N505" s="21"/>
      <c r="O505" s="22"/>
      <c r="P505" s="22"/>
      <c r="Q505" s="23"/>
      <c r="R505" s="23"/>
      <c r="S505" s="75"/>
      <c r="T505" s="75"/>
      <c r="U505" s="75"/>
      <c r="V505" s="75"/>
      <c r="W505" s="75"/>
      <c r="X505" s="75"/>
      <c r="Y505" s="75"/>
      <c r="Z505" s="76"/>
    </row>
    <row r="506" ht="15.0" customHeight="1">
      <c r="A506" s="26" t="str">
        <f>A505</f>
        <v>http://purl.obolibrary.org/obo/OBI_0302737</v>
      </c>
      <c r="B506" s="27"/>
      <c r="C506" s="42" t="s">
        <v>1229</v>
      </c>
      <c r="D506" s="27"/>
      <c r="E506" s="27"/>
      <c r="F506" s="27"/>
      <c r="G506" s="27"/>
      <c r="H506" s="52" t="s">
        <v>31</v>
      </c>
      <c r="I506" s="58" t="s">
        <v>1230</v>
      </c>
      <c r="J506" s="52" t="s">
        <v>1231</v>
      </c>
      <c r="K506" s="28"/>
      <c r="L506" s="49" t="s">
        <v>1232</v>
      </c>
      <c r="M506" s="29" t="s">
        <v>1233</v>
      </c>
      <c r="N506" s="29"/>
      <c r="O506" s="27"/>
      <c r="P506" s="30"/>
      <c r="Q506" s="31"/>
      <c r="R506" s="31"/>
      <c r="S506" s="77"/>
      <c r="T506" s="77"/>
      <c r="U506" s="77"/>
      <c r="V506" s="77"/>
      <c r="W506" s="77"/>
      <c r="X506" s="77"/>
      <c r="Y506" s="77"/>
      <c r="Z506" s="78"/>
    </row>
    <row r="507" ht="15.0" customHeight="1">
      <c r="A507" s="54" t="s">
        <v>1234</v>
      </c>
      <c r="B507" s="55" t="s">
        <v>1224</v>
      </c>
      <c r="C507" s="56" t="s">
        <v>1225</v>
      </c>
      <c r="D507" s="55" t="s">
        <v>311</v>
      </c>
      <c r="E507" s="56" t="s">
        <v>30</v>
      </c>
      <c r="F507" s="55" t="s">
        <v>100</v>
      </c>
      <c r="G507" s="56"/>
      <c r="H507" s="55" t="s">
        <v>24</v>
      </c>
      <c r="I507" s="56" t="s">
        <v>1226</v>
      </c>
      <c r="J507" s="55" t="s">
        <v>1227</v>
      </c>
      <c r="K507" s="35"/>
      <c r="L507" s="36" t="s">
        <v>1235</v>
      </c>
      <c r="M507" s="37" t="s">
        <v>1236</v>
      </c>
      <c r="N507" s="37"/>
      <c r="O507" s="38"/>
      <c r="P507" s="38"/>
      <c r="Q507" s="39"/>
      <c r="R507" s="39"/>
      <c r="S507" s="73"/>
      <c r="T507" s="73"/>
      <c r="U507" s="73"/>
      <c r="V507" s="73"/>
      <c r="W507" s="73"/>
      <c r="X507" s="73"/>
      <c r="Y507" s="73"/>
      <c r="Z507" s="74"/>
    </row>
    <row r="508" ht="15.0" customHeight="1">
      <c r="A508" s="17" t="str">
        <f>HYPERLINK("http://purl.obolibrary.org/obo/OBI_0600002","http://purl.obolibrary.org/obo/OBI_0600002")</f>
        <v>http://purl.obolibrary.org/obo/OBI_0600002</v>
      </c>
      <c r="B508" s="18" t="s">
        <v>1237</v>
      </c>
      <c r="C508" s="20" t="s">
        <v>1238</v>
      </c>
      <c r="D508" s="18" t="s">
        <v>1239</v>
      </c>
      <c r="E508" s="20" t="s">
        <v>30</v>
      </c>
      <c r="F508" s="18" t="s">
        <v>19</v>
      </c>
      <c r="G508" s="20"/>
      <c r="H508" s="18" t="s">
        <v>24</v>
      </c>
      <c r="I508" s="20" t="s">
        <v>57</v>
      </c>
      <c r="J508" s="18" t="s">
        <v>1240</v>
      </c>
      <c r="K508" s="18"/>
      <c r="L508" s="20"/>
      <c r="M508" s="21"/>
      <c r="N508" s="21"/>
      <c r="O508" s="22"/>
      <c r="P508" s="22"/>
      <c r="Q508" s="23"/>
      <c r="R508" s="23"/>
      <c r="S508" s="75"/>
      <c r="T508" s="75"/>
      <c r="U508" s="75"/>
      <c r="V508" s="75"/>
      <c r="W508" s="75"/>
      <c r="X508" s="75"/>
      <c r="Y508" s="75"/>
      <c r="Z508" s="76"/>
    </row>
    <row r="509" ht="15.0" customHeight="1">
      <c r="A509" s="26" t="str">
        <f>A508</f>
        <v>http://purl.obolibrary.org/obo/OBI_0600002</v>
      </c>
      <c r="B509" s="27"/>
      <c r="C509" s="42" t="s">
        <v>1241</v>
      </c>
      <c r="D509" s="27"/>
      <c r="E509" s="27"/>
      <c r="F509" s="27"/>
      <c r="G509" s="27"/>
      <c r="H509" s="28" t="s">
        <v>31</v>
      </c>
      <c r="I509" s="49" t="s">
        <v>60</v>
      </c>
      <c r="J509" s="28" t="s">
        <v>1242</v>
      </c>
      <c r="K509" s="28" t="s">
        <v>1243</v>
      </c>
      <c r="L509" s="27"/>
      <c r="M509" s="29"/>
      <c r="N509" s="29"/>
      <c r="O509" s="27"/>
      <c r="P509" s="30"/>
      <c r="Q509" s="31"/>
      <c r="R509" s="31"/>
      <c r="S509" s="83"/>
      <c r="T509" s="83"/>
      <c r="U509" s="83"/>
      <c r="V509" s="83"/>
      <c r="W509" s="83"/>
      <c r="X509" s="83"/>
      <c r="Y509" s="83"/>
      <c r="Z509" s="84"/>
    </row>
    <row r="510" ht="15.0" customHeight="1">
      <c r="A510" s="34" t="s">
        <v>1244</v>
      </c>
      <c r="B510" s="35" t="s">
        <v>1237</v>
      </c>
      <c r="C510" s="36" t="s">
        <v>1238</v>
      </c>
      <c r="D510" s="35" t="s">
        <v>1239</v>
      </c>
      <c r="E510" s="36" t="s">
        <v>30</v>
      </c>
      <c r="F510" s="35" t="s">
        <v>19</v>
      </c>
      <c r="G510" s="36"/>
      <c r="H510" s="35" t="s">
        <v>24</v>
      </c>
      <c r="I510" s="36" t="s">
        <v>57</v>
      </c>
      <c r="J510" s="35" t="s">
        <v>1245</v>
      </c>
      <c r="K510" s="35"/>
      <c r="L510" s="36"/>
      <c r="M510" s="37"/>
      <c r="N510" s="37"/>
      <c r="O510" s="38"/>
      <c r="P510" s="38"/>
      <c r="Q510" s="39"/>
      <c r="R510" s="39"/>
      <c r="S510" s="73"/>
      <c r="T510" s="73"/>
      <c r="U510" s="73"/>
      <c r="V510" s="73"/>
      <c r="W510" s="73"/>
      <c r="X510" s="73"/>
      <c r="Y510" s="73"/>
      <c r="Z510" s="74"/>
    </row>
    <row r="511" ht="15.0" customHeight="1">
      <c r="A511" s="17" t="str">
        <f>HYPERLINK("http://purl.obolibrary.org/obo/OBI_0600003","http://purl.obolibrary.org/obo/OBI_0600003")</f>
        <v>http://purl.obolibrary.org/obo/OBI_0600003</v>
      </c>
      <c r="B511" s="18" t="s">
        <v>1246</v>
      </c>
      <c r="C511" s="19" t="s">
        <v>1247</v>
      </c>
      <c r="D511" s="18" t="s">
        <v>21</v>
      </c>
      <c r="E511" s="20" t="s">
        <v>30</v>
      </c>
      <c r="F511" s="18" t="s">
        <v>19</v>
      </c>
      <c r="G511" s="20"/>
      <c r="H511" s="18" t="s">
        <v>24</v>
      </c>
      <c r="I511" s="20" t="s">
        <v>1248</v>
      </c>
      <c r="J511" s="18" t="s">
        <v>1249</v>
      </c>
      <c r="K511" s="18"/>
      <c r="L511" s="20"/>
      <c r="M511" s="21" t="s">
        <v>1250</v>
      </c>
      <c r="N511" s="21"/>
      <c r="O511" s="22"/>
      <c r="P511" s="22"/>
      <c r="Q511" s="23"/>
      <c r="R511" s="23"/>
      <c r="S511" s="75"/>
      <c r="T511" s="75"/>
      <c r="U511" s="75"/>
      <c r="V511" s="75"/>
      <c r="W511" s="75"/>
      <c r="X511" s="75"/>
      <c r="Y511" s="75"/>
      <c r="Z511" s="76"/>
    </row>
    <row r="512" ht="15.0" customHeight="1">
      <c r="A512" s="26" t="str">
        <f>A511</f>
        <v>http://purl.obolibrary.org/obo/OBI_0600003</v>
      </c>
      <c r="B512" s="27"/>
      <c r="C512" s="27"/>
      <c r="D512" s="27"/>
      <c r="E512" s="27"/>
      <c r="F512" s="27"/>
      <c r="G512" s="27"/>
      <c r="H512" s="28" t="s">
        <v>31</v>
      </c>
      <c r="I512" s="49" t="s">
        <v>1251</v>
      </c>
      <c r="J512" s="28" t="s">
        <v>1252</v>
      </c>
      <c r="K512" s="28"/>
      <c r="L512" s="27"/>
      <c r="M512" s="29" t="s">
        <v>1253</v>
      </c>
      <c r="N512" s="29"/>
      <c r="O512" s="27"/>
      <c r="P512" s="30"/>
      <c r="Q512" s="31"/>
      <c r="R512" s="31"/>
      <c r="S512" s="77"/>
      <c r="T512" s="77"/>
      <c r="U512" s="77"/>
      <c r="V512" s="77"/>
      <c r="W512" s="77"/>
      <c r="X512" s="77"/>
      <c r="Y512" s="77"/>
      <c r="Z512" s="78"/>
    </row>
    <row r="513" ht="15.0" customHeight="1">
      <c r="A513" s="34" t="s">
        <v>1254</v>
      </c>
      <c r="B513" s="35" t="s">
        <v>1246</v>
      </c>
      <c r="C513" s="36" t="s">
        <v>1255</v>
      </c>
      <c r="D513" s="35" t="s">
        <v>21</v>
      </c>
      <c r="E513" s="36" t="s">
        <v>30</v>
      </c>
      <c r="F513" s="35" t="s">
        <v>19</v>
      </c>
      <c r="G513" s="36"/>
      <c r="H513" s="35" t="s">
        <v>24</v>
      </c>
      <c r="I513" s="36" t="s">
        <v>1248</v>
      </c>
      <c r="J513" s="35" t="s">
        <v>1249</v>
      </c>
      <c r="K513" s="35"/>
      <c r="L513" s="36"/>
      <c r="M513" s="37" t="s">
        <v>1256</v>
      </c>
      <c r="N513" s="37"/>
      <c r="O513" s="38"/>
      <c r="P513" s="38"/>
      <c r="Q513" s="39"/>
      <c r="R513" s="39"/>
      <c r="S513" s="73"/>
      <c r="T513" s="73"/>
      <c r="U513" s="73"/>
      <c r="V513" s="73"/>
      <c r="W513" s="73"/>
      <c r="X513" s="73"/>
      <c r="Y513" s="73"/>
      <c r="Z513" s="74"/>
    </row>
    <row r="514" ht="15.0" customHeight="1">
      <c r="A514" s="17" t="str">
        <f>HYPERLINK("http://purl.obolibrary.org/obo/OBI_0600017","http://purl.obolibrary.org/obo/OBI_0600017")</f>
        <v>http://purl.obolibrary.org/obo/OBI_0600017</v>
      </c>
      <c r="B514" s="18" t="s">
        <v>1257</v>
      </c>
      <c r="C514" s="19" t="s">
        <v>1258</v>
      </c>
      <c r="D514" s="18" t="s">
        <v>1259</v>
      </c>
      <c r="E514" s="20" t="s">
        <v>30</v>
      </c>
      <c r="F514" s="18" t="s">
        <v>19</v>
      </c>
      <c r="G514" s="20"/>
      <c r="H514" s="18" t="s">
        <v>24</v>
      </c>
      <c r="I514" s="20" t="s">
        <v>1260</v>
      </c>
      <c r="J514" s="18" t="s">
        <v>1261</v>
      </c>
      <c r="K514" s="18"/>
      <c r="L514" s="20"/>
      <c r="M514" s="21"/>
      <c r="N514" s="21"/>
      <c r="O514" s="22"/>
      <c r="P514" s="22"/>
      <c r="Q514" s="23"/>
      <c r="R514" s="23"/>
      <c r="S514" s="75"/>
      <c r="T514" s="75"/>
      <c r="U514" s="75"/>
      <c r="V514" s="75"/>
      <c r="W514" s="75"/>
      <c r="X514" s="75"/>
      <c r="Y514" s="75"/>
      <c r="Z514" s="76"/>
    </row>
    <row r="515" ht="15.0" customHeight="1">
      <c r="A515" s="26" t="str">
        <f>A514</f>
        <v>http://purl.obolibrary.org/obo/OBI_0600017</v>
      </c>
      <c r="B515" s="27"/>
      <c r="C515" s="27"/>
      <c r="D515" s="27"/>
      <c r="E515" s="27"/>
      <c r="F515" s="27"/>
      <c r="G515" s="27"/>
      <c r="H515" s="28" t="s">
        <v>31</v>
      </c>
      <c r="I515" s="49" t="s">
        <v>1262</v>
      </c>
      <c r="J515" s="28" t="s">
        <v>1263</v>
      </c>
      <c r="K515" s="28" t="s">
        <v>1264</v>
      </c>
      <c r="L515" s="27"/>
      <c r="M515" s="29"/>
      <c r="N515" s="29"/>
      <c r="O515" s="27"/>
      <c r="P515" s="30"/>
      <c r="Q515" s="31"/>
      <c r="R515" s="31"/>
      <c r="S515" s="77"/>
      <c r="T515" s="77"/>
      <c r="U515" s="77"/>
      <c r="V515" s="77"/>
      <c r="W515" s="77"/>
      <c r="X515" s="77"/>
      <c r="Y515" s="77"/>
      <c r="Z515" s="78"/>
    </row>
    <row r="516" ht="15.0" customHeight="1">
      <c r="A516" s="34" t="s">
        <v>1265</v>
      </c>
      <c r="B516" s="35" t="s">
        <v>1257</v>
      </c>
      <c r="C516" s="36" t="s">
        <v>1266</v>
      </c>
      <c r="D516" s="35" t="s">
        <v>1259</v>
      </c>
      <c r="E516" s="36" t="s">
        <v>30</v>
      </c>
      <c r="F516" s="35" t="s">
        <v>19</v>
      </c>
      <c r="G516" s="36"/>
      <c r="H516" s="35" t="s">
        <v>24</v>
      </c>
      <c r="I516" s="36" t="s">
        <v>1260</v>
      </c>
      <c r="J516" s="35" t="s">
        <v>1267</v>
      </c>
      <c r="K516" s="35"/>
      <c r="L516" s="36"/>
      <c r="M516" s="37"/>
      <c r="N516" s="37"/>
      <c r="O516" s="38"/>
      <c r="P516" s="38"/>
      <c r="Q516" s="39"/>
      <c r="R516" s="39"/>
      <c r="S516" s="79"/>
      <c r="T516" s="79"/>
      <c r="U516" s="79"/>
      <c r="V516" s="79"/>
      <c r="W516" s="79"/>
      <c r="X516" s="79"/>
      <c r="Y516" s="79"/>
      <c r="Z516" s="80"/>
    </row>
    <row r="517" ht="15.0" customHeight="1">
      <c r="A517" s="17" t="str">
        <f>HYPERLINK("http://purl.obolibrary.org/obo/OBI_0600020","http://purl.obolibrary.org/obo/OBI_0600020")</f>
        <v>http://purl.obolibrary.org/obo/OBI_0600020</v>
      </c>
      <c r="B517" s="18" t="s">
        <v>1268</v>
      </c>
      <c r="C517" s="20" t="s">
        <v>1269</v>
      </c>
      <c r="D517" s="18" t="s">
        <v>1270</v>
      </c>
      <c r="E517" s="20" t="s">
        <v>30</v>
      </c>
      <c r="F517" s="18" t="s">
        <v>19</v>
      </c>
      <c r="G517" s="20"/>
      <c r="H517" s="18" t="s">
        <v>24</v>
      </c>
      <c r="I517" s="20"/>
      <c r="J517" s="18" t="s">
        <v>1271</v>
      </c>
      <c r="K517" s="18"/>
      <c r="L517" s="20"/>
      <c r="M517" s="21" t="s">
        <v>1272</v>
      </c>
      <c r="N517" s="21"/>
      <c r="O517" s="22"/>
      <c r="P517" s="22"/>
      <c r="Q517" s="23"/>
      <c r="R517" s="23"/>
      <c r="S517" s="75"/>
      <c r="T517" s="75"/>
      <c r="U517" s="75"/>
      <c r="V517" s="75"/>
      <c r="W517" s="75"/>
      <c r="X517" s="75"/>
      <c r="Y517" s="75"/>
      <c r="Z517" s="76"/>
    </row>
    <row r="518" ht="15.0" customHeight="1">
      <c r="A518" s="26" t="str">
        <f>A517</f>
        <v>http://purl.obolibrary.org/obo/OBI_0600020</v>
      </c>
      <c r="B518" s="27"/>
      <c r="C518" s="42" t="s">
        <v>1273</v>
      </c>
      <c r="D518" s="27"/>
      <c r="E518" s="27"/>
      <c r="F518" s="27"/>
      <c r="G518" s="27"/>
      <c r="H518" s="28" t="s">
        <v>31</v>
      </c>
      <c r="I518" s="27"/>
      <c r="J518" s="28" t="s">
        <v>1274</v>
      </c>
      <c r="K518" s="28" t="s">
        <v>1275</v>
      </c>
      <c r="L518" s="27"/>
      <c r="M518" s="29" t="s">
        <v>1276</v>
      </c>
      <c r="N518" s="29"/>
      <c r="O518" s="27"/>
      <c r="P518" s="30"/>
      <c r="Q518" s="31"/>
      <c r="R518" s="31"/>
      <c r="S518" s="77"/>
      <c r="T518" s="77"/>
      <c r="U518" s="77"/>
      <c r="V518" s="77"/>
      <c r="W518" s="77"/>
      <c r="X518" s="77"/>
      <c r="Y518" s="77"/>
      <c r="Z518" s="78"/>
    </row>
    <row r="519" ht="15.0" customHeight="1">
      <c r="A519" s="34" t="s">
        <v>1277</v>
      </c>
      <c r="B519" s="35" t="s">
        <v>1268</v>
      </c>
      <c r="C519" s="36" t="s">
        <v>1278</v>
      </c>
      <c r="D519" s="35" t="s">
        <v>1270</v>
      </c>
      <c r="E519" s="36" t="s">
        <v>30</v>
      </c>
      <c r="F519" s="35" t="s">
        <v>19</v>
      </c>
      <c r="G519" s="36"/>
      <c r="H519" s="35" t="s">
        <v>24</v>
      </c>
      <c r="I519" s="36"/>
      <c r="J519" s="35" t="s">
        <v>1271</v>
      </c>
      <c r="K519" s="35"/>
      <c r="L519" s="36"/>
      <c r="M519" s="37" t="s">
        <v>1279</v>
      </c>
      <c r="N519" s="37"/>
      <c r="O519" s="38"/>
      <c r="P519" s="38"/>
      <c r="Q519" s="39"/>
      <c r="R519" s="39"/>
      <c r="S519" s="73"/>
      <c r="T519" s="73"/>
      <c r="U519" s="73"/>
      <c r="V519" s="73"/>
      <c r="W519" s="73"/>
      <c r="X519" s="73"/>
      <c r="Y519" s="73"/>
      <c r="Z519" s="74"/>
    </row>
    <row r="520" ht="15.0" customHeight="1">
      <c r="A520" s="17" t="str">
        <f>HYPERLINK("http://purl.obolibrary.org/obo/OBI_0600025","http://purl.obolibrary.org/obo/OBI_0600025")</f>
        <v>http://purl.obolibrary.org/obo/OBI_0600025</v>
      </c>
      <c r="B520" s="18" t="s">
        <v>1280</v>
      </c>
      <c r="C520" s="20" t="s">
        <v>1281</v>
      </c>
      <c r="D520" s="18" t="s">
        <v>1282</v>
      </c>
      <c r="E520" s="20" t="s">
        <v>30</v>
      </c>
      <c r="F520" s="18" t="s">
        <v>19</v>
      </c>
      <c r="G520" s="20"/>
      <c r="H520" s="18" t="s">
        <v>24</v>
      </c>
      <c r="I520" s="20" t="s">
        <v>1283</v>
      </c>
      <c r="J520" s="18" t="s">
        <v>58</v>
      </c>
      <c r="K520" s="18"/>
      <c r="L520" s="20"/>
      <c r="M520" s="21"/>
      <c r="N520" s="21"/>
      <c r="O520" s="22"/>
      <c r="P520" s="22"/>
      <c r="Q520" s="23"/>
      <c r="R520" s="23"/>
      <c r="S520" s="81"/>
      <c r="T520" s="81"/>
      <c r="U520" s="81"/>
      <c r="V520" s="81"/>
      <c r="W520" s="81"/>
      <c r="X520" s="81"/>
      <c r="Y520" s="81"/>
      <c r="Z520" s="82"/>
    </row>
    <row r="521" ht="15.0" customHeight="1">
      <c r="A521" s="26" t="str">
        <f>A520</f>
        <v>http://purl.obolibrary.org/obo/OBI_0600025</v>
      </c>
      <c r="B521" s="27"/>
      <c r="C521" s="42" t="s">
        <v>1284</v>
      </c>
      <c r="D521" s="27"/>
      <c r="E521" s="27"/>
      <c r="F521" s="27"/>
      <c r="G521" s="27"/>
      <c r="H521" s="28" t="s">
        <v>31</v>
      </c>
      <c r="I521" s="49" t="s">
        <v>130</v>
      </c>
      <c r="J521" s="28" t="s">
        <v>61</v>
      </c>
      <c r="K521" s="28"/>
      <c r="L521" s="49" t="s">
        <v>1285</v>
      </c>
      <c r="M521" s="29"/>
      <c r="N521" s="29"/>
      <c r="O521" s="27"/>
      <c r="P521" s="30"/>
      <c r="Q521" s="31"/>
      <c r="R521" s="31"/>
      <c r="S521" s="83"/>
      <c r="T521" s="83"/>
      <c r="U521" s="83"/>
      <c r="V521" s="83"/>
      <c r="W521" s="83"/>
      <c r="X521" s="83"/>
      <c r="Y521" s="83"/>
      <c r="Z521" s="84"/>
    </row>
    <row r="522" ht="15.0" customHeight="1">
      <c r="A522" s="34" t="s">
        <v>1286</v>
      </c>
      <c r="B522" s="35" t="s">
        <v>1280</v>
      </c>
      <c r="C522" s="36" t="s">
        <v>1281</v>
      </c>
      <c r="D522" s="35" t="s">
        <v>1282</v>
      </c>
      <c r="E522" s="36" t="s">
        <v>30</v>
      </c>
      <c r="F522" s="35" t="s">
        <v>19</v>
      </c>
      <c r="G522" s="36"/>
      <c r="H522" s="35" t="s">
        <v>24</v>
      </c>
      <c r="I522" s="36" t="s">
        <v>1283</v>
      </c>
      <c r="J522" s="35" t="s">
        <v>63</v>
      </c>
      <c r="K522" s="35"/>
      <c r="L522" s="36" t="s">
        <v>1287</v>
      </c>
      <c r="M522" s="37"/>
      <c r="N522" s="37"/>
      <c r="O522" s="38"/>
      <c r="P522" s="38"/>
      <c r="Q522" s="39"/>
      <c r="R522" s="39"/>
      <c r="S522" s="73"/>
      <c r="T522" s="73"/>
      <c r="U522" s="73"/>
      <c r="V522" s="73"/>
      <c r="W522" s="73"/>
      <c r="X522" s="73"/>
      <c r="Y522" s="73"/>
      <c r="Z522" s="74"/>
    </row>
    <row r="523" ht="15.0" customHeight="1">
      <c r="A523" s="17" t="str">
        <f>HYPERLINK("http://purl.obolibrary.org/obo/OBI_0600026","http://purl.obolibrary.org/obo/OBI_0600026")</f>
        <v>http://purl.obolibrary.org/obo/OBI_0600026</v>
      </c>
      <c r="B523" s="18" t="s">
        <v>1288</v>
      </c>
      <c r="C523" s="19" t="s">
        <v>1289</v>
      </c>
      <c r="D523" s="18" t="s">
        <v>125</v>
      </c>
      <c r="E523" s="20" t="s">
        <v>30</v>
      </c>
      <c r="F523" s="18" t="s">
        <v>19</v>
      </c>
      <c r="G523" s="20"/>
      <c r="H523" s="18" t="s">
        <v>24</v>
      </c>
      <c r="I523" s="20" t="s">
        <v>243</v>
      </c>
      <c r="J523" s="18" t="s">
        <v>58</v>
      </c>
      <c r="K523" s="18"/>
      <c r="L523" s="20"/>
      <c r="M523" s="21"/>
      <c r="N523" s="21"/>
      <c r="O523" s="22"/>
      <c r="P523" s="22"/>
      <c r="Q523" s="23"/>
      <c r="R523" s="23"/>
      <c r="S523" s="75"/>
      <c r="T523" s="75"/>
      <c r="U523" s="75"/>
      <c r="V523" s="75"/>
      <c r="W523" s="75"/>
      <c r="X523" s="75"/>
      <c r="Y523" s="75"/>
      <c r="Z523" s="76"/>
    </row>
    <row r="524" ht="15.0" customHeight="1">
      <c r="A524" s="26" t="str">
        <f>A523</f>
        <v>http://purl.obolibrary.org/obo/OBI_0600026</v>
      </c>
      <c r="B524" s="27"/>
      <c r="C524" s="27"/>
      <c r="D524" s="27"/>
      <c r="E524" s="27"/>
      <c r="F524" s="27"/>
      <c r="G524" s="27"/>
      <c r="H524" s="28" t="s">
        <v>31</v>
      </c>
      <c r="I524" s="49" t="s">
        <v>245</v>
      </c>
      <c r="J524" s="28" t="s">
        <v>61</v>
      </c>
      <c r="K524" s="28"/>
      <c r="L524" s="27"/>
      <c r="M524" s="29"/>
      <c r="N524" s="29"/>
      <c r="O524" s="27"/>
      <c r="P524" s="30"/>
      <c r="Q524" s="31"/>
      <c r="R524" s="31"/>
      <c r="S524" s="77"/>
      <c r="T524" s="77"/>
      <c r="U524" s="77"/>
      <c r="V524" s="77"/>
      <c r="W524" s="77"/>
      <c r="X524" s="77"/>
      <c r="Y524" s="77"/>
      <c r="Z524" s="78"/>
    </row>
    <row r="525" ht="15.0" customHeight="1">
      <c r="A525" s="34" t="s">
        <v>1290</v>
      </c>
      <c r="B525" s="35" t="s">
        <v>1288</v>
      </c>
      <c r="C525" s="36" t="s">
        <v>1291</v>
      </c>
      <c r="D525" s="35" t="s">
        <v>125</v>
      </c>
      <c r="E525" s="36" t="s">
        <v>30</v>
      </c>
      <c r="F525" s="35" t="s">
        <v>19</v>
      </c>
      <c r="G525" s="36"/>
      <c r="H525" s="35" t="s">
        <v>24</v>
      </c>
      <c r="I525" s="36" t="s">
        <v>243</v>
      </c>
      <c r="J525" s="35" t="s">
        <v>63</v>
      </c>
      <c r="K525" s="35"/>
      <c r="L525" s="36"/>
      <c r="M525" s="37"/>
      <c r="N525" s="37"/>
      <c r="O525" s="38"/>
      <c r="P525" s="38"/>
      <c r="Q525" s="39"/>
      <c r="R525" s="39"/>
      <c r="S525" s="73"/>
      <c r="T525" s="73"/>
      <c r="U525" s="73"/>
      <c r="V525" s="73"/>
      <c r="W525" s="73"/>
      <c r="X525" s="73"/>
      <c r="Y525" s="73"/>
      <c r="Z525" s="74"/>
    </row>
    <row r="526" ht="15.0" customHeight="1">
      <c r="A526" s="17" t="str">
        <f>HYPERLINK("http://purl.obolibrary.org/obo/OBI_0600047","http://purl.obolibrary.org/obo/OBI_0600047")</f>
        <v>http://purl.obolibrary.org/obo/OBI_0600047</v>
      </c>
      <c r="B526" s="18" t="s">
        <v>186</v>
      </c>
      <c r="C526" s="20" t="s">
        <v>1292</v>
      </c>
      <c r="D526" s="18" t="s">
        <v>21</v>
      </c>
      <c r="E526" s="20" t="s">
        <v>30</v>
      </c>
      <c r="F526" s="18" t="s">
        <v>19</v>
      </c>
      <c r="G526" s="20" t="s">
        <v>1293</v>
      </c>
      <c r="H526" s="18" t="s">
        <v>1293</v>
      </c>
      <c r="I526" s="20" t="s">
        <v>1294</v>
      </c>
      <c r="J526" s="18" t="s">
        <v>1293</v>
      </c>
      <c r="K526" s="18"/>
      <c r="L526" s="20"/>
      <c r="M526" s="21"/>
      <c r="N526" s="21"/>
      <c r="O526" s="22" t="s">
        <v>1294</v>
      </c>
      <c r="P526" s="22"/>
      <c r="Q526" s="23"/>
      <c r="R526" s="23"/>
      <c r="S526" s="75"/>
      <c r="T526" s="75"/>
      <c r="U526" s="75"/>
      <c r="V526" s="75"/>
      <c r="W526" s="75"/>
      <c r="X526" s="75"/>
      <c r="Y526" s="75"/>
      <c r="Z526" s="76"/>
    </row>
    <row r="527" ht="15.0" customHeight="1">
      <c r="A527" s="26" t="str">
        <f>A526</f>
        <v>http://purl.obolibrary.org/obo/OBI_0600047</v>
      </c>
      <c r="B527" s="27"/>
      <c r="C527" s="42" t="s">
        <v>1295</v>
      </c>
      <c r="D527" s="27"/>
      <c r="E527" s="27"/>
      <c r="F527" s="27"/>
      <c r="G527" s="27"/>
      <c r="H527" s="28" t="s">
        <v>31</v>
      </c>
      <c r="I527" s="64" t="s">
        <v>1296</v>
      </c>
      <c r="J527" s="28" t="s">
        <v>1080</v>
      </c>
      <c r="K527" s="28"/>
      <c r="L527" s="27"/>
      <c r="M527" s="29"/>
      <c r="N527" s="29"/>
      <c r="O527" s="27"/>
      <c r="P527" s="30"/>
      <c r="Q527" s="31"/>
      <c r="R527" s="31"/>
      <c r="S527" s="77"/>
      <c r="T527" s="77"/>
      <c r="U527" s="77"/>
      <c r="V527" s="77"/>
      <c r="W527" s="77"/>
      <c r="X527" s="77"/>
      <c r="Y527" s="77"/>
      <c r="Z527" s="78"/>
    </row>
    <row r="528" ht="15.0" customHeight="1">
      <c r="A528" s="34" t="s">
        <v>1297</v>
      </c>
      <c r="B528" s="35" t="s">
        <v>186</v>
      </c>
      <c r="C528" s="36" t="s">
        <v>1292</v>
      </c>
      <c r="D528" s="35" t="s">
        <v>21</v>
      </c>
      <c r="E528" s="36" t="s">
        <v>30</v>
      </c>
      <c r="F528" s="35" t="s">
        <v>19</v>
      </c>
      <c r="G528" s="36" t="s">
        <v>1293</v>
      </c>
      <c r="H528" s="35" t="s">
        <v>1293</v>
      </c>
      <c r="I528" s="36" t="s">
        <v>1294</v>
      </c>
      <c r="J528" s="35" t="s">
        <v>1293</v>
      </c>
      <c r="K528" s="35"/>
      <c r="L528" s="36"/>
      <c r="M528" s="37"/>
      <c r="N528" s="37"/>
      <c r="O528" s="38" t="s">
        <v>1294</v>
      </c>
      <c r="P528" s="38"/>
      <c r="Q528" s="39"/>
      <c r="R528" s="39"/>
      <c r="S528" s="73"/>
      <c r="T528" s="73"/>
      <c r="U528" s="73"/>
      <c r="V528" s="73"/>
      <c r="W528" s="73"/>
      <c r="X528" s="73"/>
      <c r="Y528" s="73"/>
      <c r="Z528" s="74"/>
    </row>
  </sheetData>
  <hyperlinks>
    <hyperlink r:id="rId2" ref="A3"/>
    <hyperlink r:id="rId3" ref="A4"/>
    <hyperlink r:id="rId4" ref="A6"/>
    <hyperlink r:id="rId5" ref="A7"/>
    <hyperlink r:id="rId6" ref="A9"/>
    <hyperlink r:id="rId7" ref="A10"/>
    <hyperlink r:id="rId8" ref="A12"/>
    <hyperlink r:id="rId9" ref="A13"/>
    <hyperlink r:id="rId10" ref="A15"/>
    <hyperlink r:id="rId11" ref="A16"/>
    <hyperlink r:id="rId12" ref="A18"/>
    <hyperlink r:id="rId13" ref="A19"/>
    <hyperlink r:id="rId14" ref="A21"/>
    <hyperlink r:id="rId15" ref="A22"/>
    <hyperlink r:id="rId16" ref="A24"/>
    <hyperlink r:id="rId17" ref="A25"/>
    <hyperlink r:id="rId18" ref="A27"/>
    <hyperlink r:id="rId19" ref="A28"/>
    <hyperlink r:id="rId20" ref="A30"/>
    <hyperlink r:id="rId21" ref="A31"/>
    <hyperlink r:id="rId22" ref="A33"/>
    <hyperlink r:id="rId23" ref="A34"/>
    <hyperlink r:id="rId24" ref="A36"/>
    <hyperlink r:id="rId25" ref="A37"/>
    <hyperlink r:id="rId26" ref="A39"/>
    <hyperlink r:id="rId27" ref="A40"/>
    <hyperlink r:id="rId28" ref="A42"/>
    <hyperlink r:id="rId29" ref="A43"/>
    <hyperlink r:id="rId30" ref="A45"/>
    <hyperlink r:id="rId31" ref="A46"/>
    <hyperlink r:id="rId32" ref="A48"/>
    <hyperlink r:id="rId33" ref="A49"/>
    <hyperlink r:id="rId34" ref="A51"/>
    <hyperlink r:id="rId35" ref="A52"/>
    <hyperlink r:id="rId36" ref="A54"/>
    <hyperlink r:id="rId37" ref="A55"/>
    <hyperlink r:id="rId38" ref="A57"/>
    <hyperlink r:id="rId39" ref="A58"/>
    <hyperlink r:id="rId40" ref="A60"/>
    <hyperlink r:id="rId41" ref="A61"/>
    <hyperlink r:id="rId42" ref="A63"/>
    <hyperlink r:id="rId43" ref="A64"/>
    <hyperlink r:id="rId44" ref="A66"/>
    <hyperlink r:id="rId45" ref="A67"/>
    <hyperlink r:id="rId46" ref="A69"/>
    <hyperlink r:id="rId47" ref="A70"/>
    <hyperlink r:id="rId48" ref="A72"/>
    <hyperlink r:id="rId49" ref="A73"/>
    <hyperlink r:id="rId50" ref="A75"/>
    <hyperlink r:id="rId51" ref="A76"/>
    <hyperlink r:id="rId52" ref="A78"/>
    <hyperlink r:id="rId53" ref="A79"/>
    <hyperlink r:id="rId54" ref="A81"/>
    <hyperlink r:id="rId55" ref="A82"/>
    <hyperlink r:id="rId56" ref="A84"/>
    <hyperlink r:id="rId57" ref="A85"/>
    <hyperlink r:id="rId58" ref="A87"/>
    <hyperlink r:id="rId59" ref="A88"/>
    <hyperlink r:id="rId60" ref="A90"/>
    <hyperlink r:id="rId61" ref="A91"/>
    <hyperlink r:id="rId62" ref="A93"/>
    <hyperlink r:id="rId63" ref="A94"/>
    <hyperlink r:id="rId64" ref="A96"/>
    <hyperlink r:id="rId65" ref="A97"/>
    <hyperlink r:id="rId66" ref="A99"/>
    <hyperlink r:id="rId67" ref="A100"/>
    <hyperlink r:id="rId68" ref="A102"/>
    <hyperlink r:id="rId69" ref="A103"/>
    <hyperlink r:id="rId70" ref="A105"/>
    <hyperlink r:id="rId71" ref="A106"/>
    <hyperlink r:id="rId72" ref="A108"/>
    <hyperlink r:id="rId73" ref="A109"/>
    <hyperlink r:id="rId74" ref="A111"/>
    <hyperlink r:id="rId75" ref="A112"/>
    <hyperlink r:id="rId76" ref="A114"/>
    <hyperlink r:id="rId77" ref="A115"/>
    <hyperlink r:id="rId78" ref="A117"/>
    <hyperlink r:id="rId79" ref="A118"/>
    <hyperlink r:id="rId80" ref="A120"/>
    <hyperlink r:id="rId81" ref="A121"/>
    <hyperlink r:id="rId82" ref="A123"/>
    <hyperlink r:id="rId83" ref="A124"/>
    <hyperlink r:id="rId84" ref="A126"/>
    <hyperlink r:id="rId85" ref="A127"/>
    <hyperlink r:id="rId86" ref="A129"/>
    <hyperlink r:id="rId87" ref="A130"/>
    <hyperlink r:id="rId88" ref="A132"/>
    <hyperlink r:id="rId89" ref="A133"/>
    <hyperlink r:id="rId90" ref="A135"/>
    <hyperlink r:id="rId91" ref="A136"/>
    <hyperlink r:id="rId92" ref="A138"/>
    <hyperlink r:id="rId93" ref="A139"/>
    <hyperlink r:id="rId94" ref="A141"/>
    <hyperlink r:id="rId95" ref="A142"/>
    <hyperlink r:id="rId96" ref="A144"/>
    <hyperlink r:id="rId97" ref="A145"/>
    <hyperlink r:id="rId98" ref="A147"/>
    <hyperlink r:id="rId99" ref="A148"/>
    <hyperlink r:id="rId100" ref="A150"/>
    <hyperlink r:id="rId101" ref="A151"/>
    <hyperlink r:id="rId102" ref="A153"/>
    <hyperlink r:id="rId103" ref="A154"/>
    <hyperlink r:id="rId104" ref="A156"/>
    <hyperlink r:id="rId105" ref="A157"/>
    <hyperlink r:id="rId106" ref="A159"/>
    <hyperlink r:id="rId107" ref="A160"/>
    <hyperlink r:id="rId108" ref="A162"/>
    <hyperlink r:id="rId109" ref="A163"/>
    <hyperlink r:id="rId110" ref="A165"/>
    <hyperlink r:id="rId111" ref="A166"/>
    <hyperlink r:id="rId112" ref="A168"/>
    <hyperlink r:id="rId113" ref="A169"/>
    <hyperlink r:id="rId114" ref="A171"/>
    <hyperlink r:id="rId115" ref="A172"/>
    <hyperlink r:id="rId116" ref="A174"/>
    <hyperlink r:id="rId117" ref="A175"/>
    <hyperlink r:id="rId118" ref="A177"/>
    <hyperlink r:id="rId119" ref="A178"/>
    <hyperlink r:id="rId120" ref="A180"/>
    <hyperlink r:id="rId121" ref="A181"/>
    <hyperlink r:id="rId122" ref="A183"/>
    <hyperlink r:id="rId123" ref="A184"/>
    <hyperlink r:id="rId124" ref="A186"/>
    <hyperlink r:id="rId125" ref="A187"/>
    <hyperlink r:id="rId126" ref="A189"/>
    <hyperlink r:id="rId127" ref="A190"/>
    <hyperlink r:id="rId128" ref="A192"/>
    <hyperlink r:id="rId129" ref="A193"/>
    <hyperlink r:id="rId130" ref="A195"/>
    <hyperlink r:id="rId131" ref="A196"/>
    <hyperlink r:id="rId132" ref="A198"/>
    <hyperlink r:id="rId133" ref="A199"/>
    <hyperlink r:id="rId134" ref="A201"/>
    <hyperlink r:id="rId135" ref="A202"/>
    <hyperlink r:id="rId136" ref="A204"/>
    <hyperlink r:id="rId137" ref="A205"/>
    <hyperlink r:id="rId138" ref="A207"/>
    <hyperlink r:id="rId139" ref="A208"/>
    <hyperlink r:id="rId140" ref="A210"/>
    <hyperlink r:id="rId141" ref="A211"/>
    <hyperlink r:id="rId142" ref="A213"/>
    <hyperlink r:id="rId143" ref="A214"/>
    <hyperlink r:id="rId144" ref="A216"/>
    <hyperlink r:id="rId145" ref="A217"/>
    <hyperlink r:id="rId146" ref="A219"/>
    <hyperlink r:id="rId147" ref="A220"/>
    <hyperlink r:id="rId148" ref="A222"/>
    <hyperlink r:id="rId149" ref="A223"/>
    <hyperlink r:id="rId150" ref="A225"/>
    <hyperlink r:id="rId151" ref="A226"/>
    <hyperlink r:id="rId152" ref="A228"/>
    <hyperlink r:id="rId153" ref="A229"/>
    <hyperlink r:id="rId154" ref="A231"/>
    <hyperlink r:id="rId155" ref="A232"/>
    <hyperlink r:id="rId156" ref="A234"/>
    <hyperlink r:id="rId157" ref="A235"/>
    <hyperlink r:id="rId158" ref="A237"/>
    <hyperlink r:id="rId159" ref="A238"/>
    <hyperlink r:id="rId160" ref="A240"/>
    <hyperlink r:id="rId161" ref="A241"/>
    <hyperlink r:id="rId162" ref="A243"/>
    <hyperlink r:id="rId163" ref="A244"/>
    <hyperlink r:id="rId164" ref="A246"/>
    <hyperlink r:id="rId165" ref="A247"/>
    <hyperlink r:id="rId166" ref="A249"/>
    <hyperlink r:id="rId167" ref="A250"/>
    <hyperlink r:id="rId168" ref="A252"/>
    <hyperlink r:id="rId169" ref="A253"/>
    <hyperlink r:id="rId170" ref="A255"/>
    <hyperlink r:id="rId171" ref="A256"/>
    <hyperlink r:id="rId172" ref="A258"/>
    <hyperlink r:id="rId173" ref="A261"/>
    <hyperlink r:id="rId174" ref="A262"/>
    <hyperlink r:id="rId175" ref="A264"/>
    <hyperlink r:id="rId176" ref="A265"/>
    <hyperlink r:id="rId177" ref="A267"/>
    <hyperlink r:id="rId178" ref="A268"/>
    <hyperlink r:id="rId179" ref="A270"/>
    <hyperlink r:id="rId180" ref="A271"/>
    <hyperlink r:id="rId181" ref="A273"/>
    <hyperlink r:id="rId182" ref="A274"/>
    <hyperlink r:id="rId183" ref="A276"/>
    <hyperlink r:id="rId184" ref="A277"/>
    <hyperlink r:id="rId185" ref="A279"/>
    <hyperlink r:id="rId186" ref="A280"/>
    <hyperlink r:id="rId187" ref="A282"/>
    <hyperlink r:id="rId188" ref="A283"/>
    <hyperlink r:id="rId189" ref="A285"/>
    <hyperlink r:id="rId190" ref="A286"/>
    <hyperlink r:id="rId191" ref="A288"/>
    <hyperlink r:id="rId192" ref="A289"/>
    <hyperlink r:id="rId193" ref="A291"/>
    <hyperlink r:id="rId194" ref="A292"/>
    <hyperlink r:id="rId195" ref="A294"/>
    <hyperlink r:id="rId196" ref="A295"/>
    <hyperlink r:id="rId197" ref="A297"/>
    <hyperlink r:id="rId198" ref="A298"/>
    <hyperlink r:id="rId199" ref="A300"/>
    <hyperlink r:id="rId200" ref="A301"/>
    <hyperlink r:id="rId201" ref="A303"/>
    <hyperlink r:id="rId202" ref="A304"/>
    <hyperlink r:id="rId203" ref="A306"/>
    <hyperlink r:id="rId204" ref="A307"/>
    <hyperlink r:id="rId205" ref="A309"/>
    <hyperlink r:id="rId206" ref="A310"/>
    <hyperlink r:id="rId207" ref="A312"/>
    <hyperlink r:id="rId208" ref="A313"/>
    <hyperlink r:id="rId209" ref="A315"/>
    <hyperlink r:id="rId210" ref="A316"/>
    <hyperlink r:id="rId211" ref="A318"/>
    <hyperlink r:id="rId212" ref="A319"/>
    <hyperlink r:id="rId213" ref="A321"/>
    <hyperlink r:id="rId214" ref="A322"/>
    <hyperlink r:id="rId215" ref="A324"/>
    <hyperlink r:id="rId216" ref="A325"/>
    <hyperlink r:id="rId217" ref="A327"/>
    <hyperlink r:id="rId218" ref="A328"/>
    <hyperlink r:id="rId219" ref="A330"/>
    <hyperlink r:id="rId220" ref="A331"/>
    <hyperlink r:id="rId221" ref="A333"/>
    <hyperlink r:id="rId222" ref="A334"/>
    <hyperlink r:id="rId223" ref="A336"/>
    <hyperlink r:id="rId224" ref="A337"/>
    <hyperlink r:id="rId225" ref="A339"/>
    <hyperlink r:id="rId226" ref="A340"/>
    <hyperlink r:id="rId227" ref="A342"/>
    <hyperlink r:id="rId228" ref="A343"/>
    <hyperlink r:id="rId229" ref="A345"/>
    <hyperlink r:id="rId230" ref="A346"/>
    <hyperlink r:id="rId231" ref="A348"/>
    <hyperlink r:id="rId232" ref="A349"/>
    <hyperlink r:id="rId233" ref="A351"/>
    <hyperlink r:id="rId234" ref="A352"/>
    <hyperlink r:id="rId235" ref="A354"/>
    <hyperlink r:id="rId236" ref="A355"/>
    <hyperlink r:id="rId237" ref="A357"/>
    <hyperlink r:id="rId238" ref="A358"/>
    <hyperlink r:id="rId239" ref="A360"/>
    <hyperlink r:id="rId240" ref="A361"/>
    <hyperlink r:id="rId241" ref="A363"/>
    <hyperlink r:id="rId242" ref="A364"/>
    <hyperlink r:id="rId243" ref="A366"/>
    <hyperlink r:id="rId244" ref="A367"/>
    <hyperlink r:id="rId245" ref="A369"/>
    <hyperlink r:id="rId246" ref="A370"/>
    <hyperlink r:id="rId247" ref="A372"/>
    <hyperlink r:id="rId248" ref="A373"/>
    <hyperlink r:id="rId249" ref="A375"/>
    <hyperlink r:id="rId250" ref="A376"/>
    <hyperlink r:id="rId251" ref="A378"/>
    <hyperlink r:id="rId252" ref="A379"/>
    <hyperlink r:id="rId253" ref="A381"/>
    <hyperlink r:id="rId254" ref="A382"/>
    <hyperlink r:id="rId255" ref="A384"/>
    <hyperlink r:id="rId256" ref="A385"/>
    <hyperlink r:id="rId257" ref="A387"/>
    <hyperlink r:id="rId258" ref="A388"/>
    <hyperlink r:id="rId259" ref="A390"/>
    <hyperlink r:id="rId260" ref="A391"/>
    <hyperlink r:id="rId261" ref="A393"/>
    <hyperlink r:id="rId262" ref="A394"/>
    <hyperlink r:id="rId263" ref="A396"/>
    <hyperlink r:id="rId264" ref="A397"/>
    <hyperlink r:id="rId265" ref="A399"/>
    <hyperlink r:id="rId266" ref="A400"/>
    <hyperlink r:id="rId267" ref="A402"/>
    <hyperlink r:id="rId268" ref="A403"/>
    <hyperlink r:id="rId269" ref="A405"/>
    <hyperlink r:id="rId270" ref="A406"/>
    <hyperlink r:id="rId271" ref="A408"/>
    <hyperlink r:id="rId272" ref="A409"/>
    <hyperlink r:id="rId273" ref="A411"/>
    <hyperlink r:id="rId274" ref="A412"/>
    <hyperlink r:id="rId275" ref="A414"/>
    <hyperlink r:id="rId276" ref="A415"/>
    <hyperlink r:id="rId277" ref="A417"/>
    <hyperlink r:id="rId278" ref="A418"/>
    <hyperlink r:id="rId279" ref="A420"/>
    <hyperlink r:id="rId280" ref="A421"/>
    <hyperlink r:id="rId281" ref="A423"/>
    <hyperlink r:id="rId282" ref="A424"/>
    <hyperlink r:id="rId283" ref="A426"/>
    <hyperlink r:id="rId284" ref="A427"/>
    <hyperlink r:id="rId285" ref="A429"/>
    <hyperlink r:id="rId286" ref="A430"/>
    <hyperlink r:id="rId287" ref="A432"/>
    <hyperlink r:id="rId288" ref="A433"/>
    <hyperlink r:id="rId289" ref="A435"/>
    <hyperlink r:id="rId290" ref="A436"/>
    <hyperlink r:id="rId291" ref="A438"/>
    <hyperlink r:id="rId292" ref="A439"/>
    <hyperlink r:id="rId293" ref="A441"/>
    <hyperlink r:id="rId294" ref="A442"/>
    <hyperlink r:id="rId295" ref="A444"/>
    <hyperlink r:id="rId296" ref="A445"/>
    <hyperlink r:id="rId297" ref="A446"/>
    <hyperlink r:id="rId298" ref="A447"/>
    <hyperlink r:id="rId299" ref="A448"/>
    <hyperlink r:id="rId300" ref="A449"/>
    <hyperlink r:id="rId301" ref="A450"/>
    <hyperlink r:id="rId302" ref="A451"/>
    <hyperlink r:id="rId303" ref="A452"/>
    <hyperlink r:id="rId304" ref="A453"/>
    <hyperlink r:id="rId305" ref="A454"/>
    <hyperlink r:id="rId306" ref="A455"/>
    <hyperlink r:id="rId307" ref="A456"/>
    <hyperlink r:id="rId308" ref="A457"/>
    <hyperlink r:id="rId309" ref="A458"/>
    <hyperlink r:id="rId310" ref="A459"/>
    <hyperlink r:id="rId311" ref="A460"/>
    <hyperlink r:id="rId312" ref="A461"/>
    <hyperlink r:id="rId313" ref="A462"/>
    <hyperlink r:id="rId314" ref="A463"/>
    <hyperlink r:id="rId315" ref="A464"/>
    <hyperlink r:id="rId316" ref="A465"/>
    <hyperlink r:id="rId317" ref="A466"/>
    <hyperlink r:id="rId318" ref="A467"/>
    <hyperlink r:id="rId319" ref="A468"/>
    <hyperlink r:id="rId320" ref="A469"/>
    <hyperlink r:id="rId321" ref="A470"/>
    <hyperlink r:id="rId322" ref="A471"/>
    <hyperlink r:id="rId323" ref="A472"/>
    <hyperlink r:id="rId324" ref="A473"/>
    <hyperlink r:id="rId325" ref="A474"/>
    <hyperlink r:id="rId326" ref="A475"/>
    <hyperlink r:id="rId327" ref="A476"/>
    <hyperlink r:id="rId328" ref="A477"/>
    <hyperlink r:id="rId329" ref="A478"/>
    <hyperlink r:id="rId330" ref="A479"/>
    <hyperlink r:id="rId331" ref="A480"/>
    <hyperlink r:id="rId332" ref="A481"/>
    <hyperlink r:id="rId333" ref="A482"/>
    <hyperlink r:id="rId334" ref="A483"/>
    <hyperlink r:id="rId335" ref="A484"/>
    <hyperlink r:id="rId336" ref="A485"/>
    <hyperlink r:id="rId337" ref="A486"/>
    <hyperlink r:id="rId338" ref="A487"/>
    <hyperlink r:id="rId339" ref="A488"/>
    <hyperlink r:id="rId340" ref="A489"/>
    <hyperlink r:id="rId341" ref="A490"/>
    <hyperlink r:id="rId342" ref="A491"/>
    <hyperlink r:id="rId343" ref="A492"/>
    <hyperlink r:id="rId344" ref="A493"/>
    <hyperlink r:id="rId345" ref="A494"/>
    <hyperlink r:id="rId346" ref="A495"/>
    <hyperlink r:id="rId347" ref="A496"/>
    <hyperlink r:id="rId348" ref="A497"/>
    <hyperlink r:id="rId349" ref="A498"/>
    <hyperlink r:id="rId350" ref="A499"/>
    <hyperlink r:id="rId351" ref="A500"/>
    <hyperlink r:id="rId352" ref="A501"/>
    <hyperlink r:id="rId353" ref="A502"/>
    <hyperlink r:id="rId354" ref="A503"/>
    <hyperlink r:id="rId355" ref="A505"/>
    <hyperlink r:id="rId356" ref="A506"/>
    <hyperlink r:id="rId357" ref="A508"/>
    <hyperlink r:id="rId358" ref="A509"/>
    <hyperlink r:id="rId359" ref="A511"/>
    <hyperlink r:id="rId360" ref="A512"/>
    <hyperlink r:id="rId361" ref="A514"/>
    <hyperlink r:id="rId362" ref="A515"/>
    <hyperlink r:id="rId363" ref="A517"/>
    <hyperlink r:id="rId364" ref="A518"/>
    <hyperlink r:id="rId365" ref="A520"/>
    <hyperlink r:id="rId366" ref="A521"/>
    <hyperlink r:id="rId367" ref="A523"/>
    <hyperlink r:id="rId368" ref="A524"/>
    <hyperlink r:id="rId369" ref="A526"/>
    <hyperlink r:id="rId370" ref="A527"/>
  </hyperlinks>
  <drawing r:id="rId371"/>
  <legacyDrawing r:id="rId37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7.43"/>
    <col customWidth="1" min="2" max="2" width="33.14"/>
    <col customWidth="1" min="3" max="3" width="32.86"/>
    <col customWidth="1" min="4" max="4" width="23.71"/>
    <col customWidth="1" min="5" max="5" width="11.14"/>
    <col customWidth="1" min="6" max="6" width="29.0"/>
    <col customWidth="1" min="7" max="7" width="36.86"/>
    <col customWidth="1" min="8" max="8" width="37.71"/>
    <col customWidth="1" min="9" max="9" width="37.43"/>
    <col customWidth="1" min="10" max="10" width="37.0"/>
    <col customWidth="1" min="11" max="11" width="28.29"/>
    <col customWidth="1" min="12" max="12" width="34.43"/>
    <col customWidth="1" min="13" max="13" width="25.71"/>
    <col customWidth="1" min="14" max="14" width="27.29"/>
    <col customWidth="1" min="15" max="26" width="14.43"/>
  </cols>
  <sheetData>
    <row r="1" ht="15.75" customHeight="1">
      <c r="A1" s="94" t="s">
        <v>0</v>
      </c>
      <c r="B1" s="94" t="s">
        <v>1</v>
      </c>
      <c r="C1" s="94" t="s">
        <v>2</v>
      </c>
      <c r="D1" s="94" t="s">
        <v>3</v>
      </c>
      <c r="E1" s="94" t="s">
        <v>4</v>
      </c>
      <c r="F1" s="94" t="s">
        <v>5</v>
      </c>
      <c r="G1" s="94" t="s">
        <v>6</v>
      </c>
      <c r="H1" s="94" t="s">
        <v>1298</v>
      </c>
      <c r="I1" s="94" t="s">
        <v>1299</v>
      </c>
      <c r="J1" s="94" t="s">
        <v>1300</v>
      </c>
      <c r="K1" s="94" t="s">
        <v>1301</v>
      </c>
      <c r="L1" s="94" t="s">
        <v>1302</v>
      </c>
      <c r="M1" s="94" t="s">
        <v>1303</v>
      </c>
      <c r="N1" s="94" t="s">
        <v>1304</v>
      </c>
      <c r="O1" s="95"/>
    </row>
    <row r="2" ht="108.0" customHeight="1">
      <c r="A2" s="96" t="str">
        <f>HYPERLINK("http://purl.obolibrary.org/obo/OBI_0000070","http://purl.obolibrary.org/obo/OBI_0000070")</f>
        <v>http://purl.obolibrary.org/obo/OBI_0000070</v>
      </c>
      <c r="B2" s="97" t="s">
        <v>19</v>
      </c>
      <c r="C2" s="97" t="s">
        <v>1305</v>
      </c>
      <c r="D2" s="97" t="s">
        <v>21</v>
      </c>
      <c r="E2" s="97" t="s">
        <v>22</v>
      </c>
      <c r="F2" s="97" t="s">
        <v>23</v>
      </c>
      <c r="G2" s="97" t="s">
        <v>24</v>
      </c>
      <c r="H2" s="97" t="s">
        <v>24</v>
      </c>
      <c r="I2" s="97" t="s">
        <v>25</v>
      </c>
      <c r="J2" s="97" t="s">
        <v>26</v>
      </c>
      <c r="K2" s="97"/>
      <c r="L2" s="97"/>
      <c r="M2" s="97" t="s">
        <v>27</v>
      </c>
      <c r="N2" s="97"/>
    </row>
    <row r="3" ht="84.0" customHeight="1">
      <c r="A3" s="96" t="str">
        <f>HYPERLINK("http://purl.obolibrary.org/obo/OBI_0000182","http://purl.obolibrary.org/obo/OBI_0000182")</f>
        <v>http://purl.obolibrary.org/obo/OBI_0000182</v>
      </c>
      <c r="B3" s="97" t="s">
        <v>1306</v>
      </c>
      <c r="C3" s="97" t="s">
        <v>1307</v>
      </c>
      <c r="D3" s="97" t="s">
        <v>1308</v>
      </c>
      <c r="E3" s="97" t="s">
        <v>1309</v>
      </c>
      <c r="F3" s="97" t="s">
        <v>1310</v>
      </c>
      <c r="G3" s="97" t="s">
        <v>1311</v>
      </c>
      <c r="H3" s="97"/>
      <c r="I3" s="97" t="s">
        <v>1311</v>
      </c>
      <c r="J3" s="97" t="s">
        <v>1311</v>
      </c>
      <c r="K3" s="97"/>
      <c r="L3" s="97"/>
      <c r="M3" s="97"/>
      <c r="N3" s="97"/>
    </row>
    <row r="4" ht="96.0" customHeight="1">
      <c r="A4" s="96" t="str">
        <f>HYPERLINK("http://purl.obolibrary.org/obo/OBI_0000201","http://purl.obolibrary.org/obo/OBI_0000201")</f>
        <v>http://purl.obolibrary.org/obo/OBI_0000201</v>
      </c>
      <c r="B4" s="97" t="s">
        <v>775</v>
      </c>
      <c r="C4" s="97" t="s">
        <v>1312</v>
      </c>
      <c r="D4" s="97" t="s">
        <v>1308</v>
      </c>
      <c r="E4" s="97" t="s">
        <v>1309</v>
      </c>
      <c r="F4" s="97" t="s">
        <v>19</v>
      </c>
      <c r="G4" s="97" t="s">
        <v>1313</v>
      </c>
      <c r="H4" s="97"/>
      <c r="I4" s="97" t="s">
        <v>1313</v>
      </c>
      <c r="J4" s="97" t="s">
        <v>1313</v>
      </c>
      <c r="K4" s="97"/>
      <c r="L4" s="97"/>
      <c r="M4" s="97"/>
      <c r="N4" s="97"/>
    </row>
    <row r="5" ht="84.0" customHeight="1">
      <c r="A5" s="96" t="str">
        <f>HYPERLINK("http://purl.obolibrary.org/obo/OBI_0000661","http://purl.obolibrary.org/obo/OBI_0000661")</f>
        <v>http://purl.obolibrary.org/obo/OBI_0000661</v>
      </c>
      <c r="B5" s="97" t="s">
        <v>1314</v>
      </c>
      <c r="C5" s="97" t="s">
        <v>1315</v>
      </c>
      <c r="D5" s="97" t="s">
        <v>4</v>
      </c>
      <c r="E5" s="97" t="s">
        <v>1309</v>
      </c>
      <c r="F5" s="97" t="s">
        <v>67</v>
      </c>
      <c r="G5" s="97"/>
      <c r="H5" s="97"/>
      <c r="I5" s="97" t="s">
        <v>1316</v>
      </c>
      <c r="J5" s="97"/>
      <c r="K5" s="97"/>
      <c r="L5" s="97"/>
      <c r="M5" s="97"/>
      <c r="N5" s="97"/>
    </row>
    <row r="6" ht="156.0" customHeight="1">
      <c r="A6" s="96" t="str">
        <f>HYPERLINK("http://purl.obolibrary.org/obo/OBI_0000664","http://purl.obolibrary.org/obo/OBI_0000664")</f>
        <v>http://purl.obolibrary.org/obo/OBI_0000664</v>
      </c>
      <c r="B6" s="97" t="s">
        <v>1317</v>
      </c>
      <c r="C6" s="97" t="s">
        <v>1318</v>
      </c>
      <c r="D6" s="97" t="s">
        <v>4</v>
      </c>
      <c r="E6" s="97" t="s">
        <v>1309</v>
      </c>
      <c r="F6" s="97" t="s">
        <v>1319</v>
      </c>
      <c r="G6" s="97"/>
      <c r="H6" s="97"/>
      <c r="I6" s="97" t="s">
        <v>1320</v>
      </c>
      <c r="J6" s="97"/>
      <c r="K6" s="97"/>
      <c r="L6" s="97"/>
      <c r="M6" s="97"/>
      <c r="N6" s="97"/>
    </row>
    <row r="7" ht="36.0" customHeight="1">
      <c r="A7" s="96" t="str">
        <f>HYPERLINK("http://purl.obolibrary.org/obo/OBI_0000669","http://purl.obolibrary.org/obo/OBI_0000669")</f>
        <v>http://purl.obolibrary.org/obo/OBI_0000669</v>
      </c>
      <c r="B7" s="97" t="s">
        <v>1321</v>
      </c>
      <c r="C7" s="97" t="s">
        <v>1322</v>
      </c>
      <c r="D7" s="97" t="s">
        <v>4</v>
      </c>
      <c r="E7" s="97" t="s">
        <v>1309</v>
      </c>
      <c r="F7" s="97" t="s">
        <v>1319</v>
      </c>
      <c r="G7" s="97"/>
      <c r="H7" s="97"/>
      <c r="I7" s="97" t="s">
        <v>1323</v>
      </c>
      <c r="J7" s="97"/>
      <c r="K7" s="97"/>
      <c r="L7" s="97" t="s">
        <v>1324</v>
      </c>
      <c r="M7" s="97"/>
      <c r="N7" s="97"/>
    </row>
    <row r="8" ht="72.0" customHeight="1">
      <c r="A8" s="96" t="str">
        <f>HYPERLINK("http://purl.obolibrary.org/obo/OBI_0000705","http://purl.obolibrary.org/obo/OBI_0000705")</f>
        <v>http://purl.obolibrary.org/obo/OBI_0000705</v>
      </c>
      <c r="B8" s="97" t="s">
        <v>1325</v>
      </c>
      <c r="C8" s="97" t="s">
        <v>1326</v>
      </c>
      <c r="D8" s="97" t="s">
        <v>4</v>
      </c>
      <c r="E8" s="97" t="s">
        <v>1309</v>
      </c>
      <c r="F8" s="97" t="s">
        <v>186</v>
      </c>
      <c r="G8" s="97"/>
      <c r="H8" s="97"/>
      <c r="I8" s="97" t="s">
        <v>1327</v>
      </c>
      <c r="J8" s="97" t="s">
        <v>1328</v>
      </c>
      <c r="K8" s="97"/>
      <c r="L8" s="97"/>
      <c r="M8" s="97"/>
      <c r="N8" s="97"/>
    </row>
    <row r="9" ht="84.0" customHeight="1">
      <c r="A9" s="96" t="str">
        <f>HYPERLINK("http://purl.obolibrary.org/obo/OBI_0000854","http://purl.obolibrary.org/obo/OBI_0000854")</f>
        <v>http://purl.obolibrary.org/obo/OBI_0000854</v>
      </c>
      <c r="B9" s="97" t="s">
        <v>1329</v>
      </c>
      <c r="C9" s="97" t="s">
        <v>1330</v>
      </c>
      <c r="D9" s="97" t="s">
        <v>1331</v>
      </c>
      <c r="E9" s="97" t="s">
        <v>1309</v>
      </c>
      <c r="F9" s="97" t="s">
        <v>1332</v>
      </c>
      <c r="G9" s="97"/>
      <c r="H9" s="97"/>
      <c r="I9" s="97" t="s">
        <v>1333</v>
      </c>
      <c r="J9" s="97"/>
      <c r="K9" s="97"/>
      <c r="L9" s="97"/>
      <c r="M9" s="97"/>
      <c r="N9" s="97" t="s">
        <v>1333</v>
      </c>
    </row>
    <row r="10" ht="72.0" customHeight="1">
      <c r="A10" s="96" t="str">
        <f>HYPERLINK("http://purl.obolibrary.org/obo/OBI_0000874","http://purl.obolibrary.org/obo/OBI_0000874")</f>
        <v>http://purl.obolibrary.org/obo/OBI_0000874</v>
      </c>
      <c r="B10" s="97" t="s">
        <v>1188</v>
      </c>
      <c r="C10" s="97" t="s">
        <v>1334</v>
      </c>
      <c r="D10" s="97" t="s">
        <v>4</v>
      </c>
      <c r="E10" s="97" t="s">
        <v>1309</v>
      </c>
      <c r="F10" s="97" t="s">
        <v>67</v>
      </c>
      <c r="G10" s="97" t="s">
        <v>1335</v>
      </c>
      <c r="H10" s="97"/>
      <c r="I10" s="97" t="s">
        <v>1335</v>
      </c>
      <c r="J10" s="97"/>
      <c r="K10" s="97"/>
      <c r="L10" s="97"/>
      <c r="M10" s="97"/>
      <c r="N10" s="97" t="s">
        <v>1335</v>
      </c>
    </row>
    <row r="11" ht="84.0" customHeight="1">
      <c r="A11" s="96" t="str">
        <f>HYPERLINK("http://purl.obolibrary.org/obo/OBI_0000882","http://purl.obolibrary.org/obo/OBI_0000882")</f>
        <v>http://purl.obolibrary.org/obo/OBI_0000882</v>
      </c>
      <c r="B11" s="97" t="s">
        <v>1336</v>
      </c>
      <c r="C11" s="97" t="s">
        <v>1337</v>
      </c>
      <c r="D11" s="97" t="s">
        <v>4</v>
      </c>
      <c r="E11" s="97" t="s">
        <v>1309</v>
      </c>
      <c r="F11" s="97" t="s">
        <v>1338</v>
      </c>
      <c r="G11" s="97" t="s">
        <v>1339</v>
      </c>
      <c r="H11" s="97"/>
      <c r="I11" s="97" t="s">
        <v>1339</v>
      </c>
      <c r="J11" s="97" t="s">
        <v>1339</v>
      </c>
      <c r="K11" s="97"/>
      <c r="L11" s="97"/>
      <c r="M11" s="97"/>
      <c r="N11" s="97"/>
    </row>
    <row r="12" ht="84.0" customHeight="1">
      <c r="A12" s="96" t="str">
        <f>HYPERLINK("http://purl.obolibrary.org/obo/OBI_0000883","http://purl.obolibrary.org/obo/OBI_0000883")</f>
        <v>http://purl.obolibrary.org/obo/OBI_0000883</v>
      </c>
      <c r="B12" s="97" t="s">
        <v>1340</v>
      </c>
      <c r="C12" s="97" t="s">
        <v>1341</v>
      </c>
      <c r="D12" s="97" t="s">
        <v>4</v>
      </c>
      <c r="E12" s="97" t="s">
        <v>1309</v>
      </c>
      <c r="F12" s="97" t="s">
        <v>1336</v>
      </c>
      <c r="G12" s="97" t="s">
        <v>1342</v>
      </c>
      <c r="H12" s="97"/>
      <c r="I12" s="97" t="s">
        <v>1342</v>
      </c>
      <c r="J12" s="97"/>
      <c r="K12" s="97"/>
      <c r="L12" s="97"/>
      <c r="M12" s="97" t="s">
        <v>1342</v>
      </c>
      <c r="N12" s="97"/>
    </row>
    <row r="13" ht="72.0" customHeight="1">
      <c r="A13" s="96" t="str">
        <f>HYPERLINK("http://purl.obolibrary.org/obo/OBI_0000891","http://purl.obolibrary.org/obo/OBI_0000891")</f>
        <v>http://purl.obolibrary.org/obo/OBI_0000891</v>
      </c>
      <c r="B13" s="97" t="s">
        <v>1319</v>
      </c>
      <c r="C13" s="97" t="s">
        <v>1343</v>
      </c>
      <c r="D13" s="97" t="s">
        <v>4</v>
      </c>
      <c r="E13" s="97" t="s">
        <v>1309</v>
      </c>
      <c r="F13" s="97" t="s">
        <v>1338</v>
      </c>
      <c r="G13" s="97" t="s">
        <v>1344</v>
      </c>
      <c r="H13" s="97"/>
      <c r="I13" s="97" t="s">
        <v>1344</v>
      </c>
      <c r="J13" s="97" t="s">
        <v>1344</v>
      </c>
      <c r="K13" s="97"/>
      <c r="L13" s="97"/>
      <c r="M13" s="97" t="s">
        <v>1344</v>
      </c>
      <c r="N13" s="97"/>
    </row>
    <row r="14" ht="84.0" customHeight="1">
      <c r="A14" s="96" t="str">
        <f>HYPERLINK("http://purl.obolibrary.org/obo/OBI_0000903","http://purl.obolibrary.org/obo/OBI_0000903")</f>
        <v>http://purl.obolibrary.org/obo/OBI_0000903</v>
      </c>
      <c r="B14" s="97" t="s">
        <v>1345</v>
      </c>
      <c r="C14" s="97" t="s">
        <v>1346</v>
      </c>
      <c r="D14" s="97" t="s">
        <v>4</v>
      </c>
      <c r="E14" s="97" t="s">
        <v>1309</v>
      </c>
      <c r="F14" s="97" t="s">
        <v>1336</v>
      </c>
      <c r="G14" s="97" t="s">
        <v>1347</v>
      </c>
      <c r="H14" s="97"/>
      <c r="I14" s="97" t="s">
        <v>1347</v>
      </c>
      <c r="J14" s="97"/>
      <c r="K14" s="97"/>
      <c r="L14" s="97"/>
      <c r="M14" s="97" t="s">
        <v>1347</v>
      </c>
      <c r="N14" s="97"/>
    </row>
    <row r="15" ht="72.0" customHeight="1">
      <c r="A15" s="96" t="str">
        <f>HYPERLINK("http://purl.obolibrary.org/obo/OBI_0000904","http://purl.obolibrary.org/obo/OBI_0000904")</f>
        <v>http://purl.obolibrary.org/obo/OBI_0000904</v>
      </c>
      <c r="B15" s="97" t="s">
        <v>1348</v>
      </c>
      <c r="C15" s="97" t="s">
        <v>1349</v>
      </c>
      <c r="D15" s="97" t="s">
        <v>4</v>
      </c>
      <c r="E15" s="97" t="s">
        <v>1309</v>
      </c>
      <c r="F15" s="97" t="s">
        <v>67</v>
      </c>
      <c r="G15" s="97"/>
      <c r="H15" s="97"/>
      <c r="I15" s="97" t="s">
        <v>1350</v>
      </c>
      <c r="J15" s="97"/>
      <c r="K15" s="97"/>
      <c r="L15" s="97" t="s">
        <v>1351</v>
      </c>
      <c r="M15" s="97"/>
      <c r="N15" s="97"/>
    </row>
    <row r="16" ht="72.0" customHeight="1">
      <c r="A16" s="96" t="str">
        <f>HYPERLINK("http://purl.obolibrary.org/obo/OBI_0000910","http://purl.obolibrary.org/obo/OBI_0000910")</f>
        <v>http://purl.obolibrary.org/obo/OBI_0000910</v>
      </c>
      <c r="B16" s="97" t="s">
        <v>1352</v>
      </c>
      <c r="C16" s="97" t="s">
        <v>1353</v>
      </c>
      <c r="D16" s="97" t="s">
        <v>4</v>
      </c>
      <c r="E16" s="97" t="s">
        <v>1309</v>
      </c>
      <c r="F16" s="97" t="s">
        <v>19</v>
      </c>
      <c r="G16" s="97"/>
      <c r="H16" s="97"/>
      <c r="I16" s="97" t="s">
        <v>1354</v>
      </c>
      <c r="J16" s="97"/>
      <c r="K16" s="97"/>
      <c r="L16" s="97" t="s">
        <v>1324</v>
      </c>
      <c r="M16" s="97"/>
      <c r="N16" s="97"/>
    </row>
    <row r="17" ht="60.0" customHeight="1">
      <c r="A17" s="96" t="str">
        <f>HYPERLINK("http://purl.obolibrary.org/obo/OBI_0000912","http://purl.obolibrary.org/obo/OBI_0000912")</f>
        <v>http://purl.obolibrary.org/obo/OBI_0000912</v>
      </c>
      <c r="B17" s="97" t="s">
        <v>1355</v>
      </c>
      <c r="C17" s="97" t="s">
        <v>1356</v>
      </c>
      <c r="D17" s="97" t="s">
        <v>4</v>
      </c>
      <c r="E17" s="97" t="s">
        <v>1309</v>
      </c>
      <c r="F17" s="97" t="s">
        <v>1310</v>
      </c>
      <c r="G17" s="97"/>
      <c r="H17" s="97"/>
      <c r="I17" s="97" t="s">
        <v>1357</v>
      </c>
      <c r="J17" s="97"/>
      <c r="K17" s="97"/>
      <c r="L17" s="97"/>
      <c r="M17" s="97"/>
      <c r="N17" s="97"/>
    </row>
    <row r="18" ht="48.0" customHeight="1">
      <c r="A18" s="96" t="str">
        <f>HYPERLINK("http://purl.obolibrary.org/obo/OBI_0000913","http://purl.obolibrary.org/obo/OBI_0000913")</f>
        <v>http://purl.obolibrary.org/obo/OBI_0000913</v>
      </c>
      <c r="B18" s="97" t="s">
        <v>1358</v>
      </c>
      <c r="C18" s="97" t="s">
        <v>1359</v>
      </c>
      <c r="D18" s="97" t="s">
        <v>4</v>
      </c>
      <c r="E18" s="97" t="s">
        <v>1309</v>
      </c>
      <c r="F18" s="97" t="s">
        <v>46</v>
      </c>
      <c r="G18" s="97"/>
      <c r="H18" s="97"/>
      <c r="I18" s="97" t="s">
        <v>1360</v>
      </c>
      <c r="J18" s="97" t="s">
        <v>1361</v>
      </c>
      <c r="K18" s="97"/>
      <c r="L18" s="97"/>
      <c r="M18" s="97"/>
      <c r="N18" s="97"/>
    </row>
    <row r="19" ht="48.0" customHeight="1">
      <c r="A19" s="96" t="str">
        <f>HYPERLINK("http://purl.obolibrary.org/obo/OBI_0000916","http://purl.obolibrary.org/obo/OBI_0000916")</f>
        <v>http://purl.obolibrary.org/obo/OBI_0000916</v>
      </c>
      <c r="B19" s="97" t="s">
        <v>1362</v>
      </c>
      <c r="C19" s="97" t="s">
        <v>1363</v>
      </c>
      <c r="D19" s="97" t="s">
        <v>4</v>
      </c>
      <c r="E19" s="97" t="s">
        <v>1309</v>
      </c>
      <c r="F19" s="97" t="s">
        <v>1338</v>
      </c>
      <c r="G19" s="97" t="s">
        <v>1364</v>
      </c>
      <c r="H19" s="97"/>
      <c r="I19" s="97" t="s">
        <v>1364</v>
      </c>
      <c r="J19" s="97"/>
      <c r="K19" s="97"/>
      <c r="L19" s="97" t="s">
        <v>1364</v>
      </c>
      <c r="M19" s="97"/>
      <c r="N19" s="97"/>
    </row>
    <row r="20" ht="96.0" customHeight="1">
      <c r="A20" s="96" t="str">
        <f>HYPERLINK("http://purl.obolibrary.org/obo/OBI_0000920","http://purl.obolibrary.org/obo/OBI_0000920")</f>
        <v>http://purl.obolibrary.org/obo/OBI_0000920</v>
      </c>
      <c r="B20" s="97" t="s">
        <v>1365</v>
      </c>
      <c r="C20" s="97" t="s">
        <v>1366</v>
      </c>
      <c r="D20" s="97" t="s">
        <v>4</v>
      </c>
      <c r="E20" s="97" t="s">
        <v>1309</v>
      </c>
      <c r="F20" s="97" t="s">
        <v>67</v>
      </c>
      <c r="G20" s="97" t="s">
        <v>1367</v>
      </c>
      <c r="H20" s="97"/>
      <c r="I20" s="97" t="s">
        <v>1367</v>
      </c>
      <c r="J20" s="97"/>
      <c r="K20" s="97"/>
      <c r="L20" s="97" t="s">
        <v>1367</v>
      </c>
      <c r="M20" s="97"/>
      <c r="N20" s="97"/>
    </row>
    <row r="21" ht="72.0" customHeight="1">
      <c r="A21" s="96" t="str">
        <f>HYPERLINK("http://purl.obolibrary.org/obo/OBI_0000923","http://purl.obolibrary.org/obo/OBI_0000923")</f>
        <v>http://purl.obolibrary.org/obo/OBI_0000923</v>
      </c>
      <c r="B21" s="97" t="s">
        <v>1368</v>
      </c>
      <c r="C21" s="97" t="s">
        <v>1369</v>
      </c>
      <c r="D21" s="97" t="s">
        <v>4</v>
      </c>
      <c r="E21" s="97" t="s">
        <v>1309</v>
      </c>
      <c r="F21" s="97" t="s">
        <v>46</v>
      </c>
      <c r="G21" s="97"/>
      <c r="H21" s="97"/>
      <c r="I21" s="97" t="s">
        <v>1370</v>
      </c>
      <c r="J21" s="97"/>
      <c r="K21" s="97"/>
      <c r="L21" s="97"/>
      <c r="M21" s="97"/>
      <c r="N21" s="97"/>
    </row>
    <row r="22" ht="84.0" customHeight="1">
      <c r="A22" s="96" t="str">
        <f>HYPERLINK("http://purl.obolibrary.org/obo/OBI_0000975","http://purl.obolibrary.org/obo/OBI_0000975")</f>
        <v>http://purl.obolibrary.org/obo/OBI_0000975</v>
      </c>
      <c r="B22" s="97" t="s">
        <v>1371</v>
      </c>
      <c r="C22" s="97" t="s">
        <v>1372</v>
      </c>
      <c r="D22" s="97" t="s">
        <v>4</v>
      </c>
      <c r="E22" s="97" t="s">
        <v>1309</v>
      </c>
      <c r="F22" s="97" t="s">
        <v>1373</v>
      </c>
      <c r="G22" s="97" t="s">
        <v>1374</v>
      </c>
      <c r="H22" s="97"/>
      <c r="I22" s="97"/>
      <c r="J22" s="97" t="s">
        <v>1374</v>
      </c>
      <c r="K22" s="97"/>
      <c r="L22" s="97" t="s">
        <v>1374</v>
      </c>
      <c r="M22" s="97"/>
      <c r="N22" s="97"/>
    </row>
    <row r="23" ht="72.0" customHeight="1">
      <c r="A23" s="96" t="str">
        <f>HYPERLINK("http://purl.obolibrary.org/obo/OBI_0001145","http://purl.obolibrary.org/obo/OBI_0001145")</f>
        <v>http://purl.obolibrary.org/obo/OBI_0001145</v>
      </c>
      <c r="B23" s="97" t="s">
        <v>1375</v>
      </c>
      <c r="C23" s="97" t="s">
        <v>1376</v>
      </c>
      <c r="D23" s="97" t="s">
        <v>4</v>
      </c>
      <c r="E23" s="97" t="s">
        <v>1309</v>
      </c>
      <c r="F23" s="97" t="s">
        <v>1377</v>
      </c>
      <c r="G23" s="97" t="s">
        <v>1378</v>
      </c>
      <c r="H23" s="97"/>
      <c r="I23" s="97"/>
      <c r="J23" s="97" t="s">
        <v>1378</v>
      </c>
      <c r="K23" s="97"/>
      <c r="L23" s="97"/>
      <c r="M23" s="97"/>
      <c r="N23" s="97"/>
    </row>
    <row r="24" ht="48.0" customHeight="1">
      <c r="A24" s="96" t="str">
        <f>HYPERLINK("http://purl.obolibrary.org/obo/OBI_0001178","http://purl.obolibrary.org/obo/OBI_0001178")</f>
        <v>http://purl.obolibrary.org/obo/OBI_0001178</v>
      </c>
      <c r="B24" s="97" t="s">
        <v>1379</v>
      </c>
      <c r="C24" s="97" t="s">
        <v>1380</v>
      </c>
      <c r="D24" s="97" t="s">
        <v>644</v>
      </c>
      <c r="E24" s="97" t="s">
        <v>22</v>
      </c>
      <c r="F24" s="97" t="s">
        <v>19</v>
      </c>
      <c r="G24" s="97"/>
      <c r="H24" s="97"/>
      <c r="I24" s="97"/>
      <c r="J24" s="97" t="s">
        <v>1381</v>
      </c>
      <c r="K24" s="97"/>
      <c r="L24" s="97" t="s">
        <v>1382</v>
      </c>
      <c r="M24" s="97"/>
      <c r="N24" s="97"/>
    </row>
    <row r="25" ht="84.0" customHeight="1">
      <c r="A25" s="96" t="str">
        <f>HYPERLINK("http://purl.obolibrary.org/obo/OBI_0001179","http://purl.obolibrary.org/obo/OBI_0001179")</f>
        <v>http://purl.obolibrary.org/obo/OBI_0001179</v>
      </c>
      <c r="B25" s="97" t="s">
        <v>1383</v>
      </c>
      <c r="C25" s="97" t="s">
        <v>1384</v>
      </c>
      <c r="D25" s="97" t="s">
        <v>644</v>
      </c>
      <c r="E25" s="97" t="s">
        <v>22</v>
      </c>
      <c r="F25" s="97" t="s">
        <v>1385</v>
      </c>
      <c r="G25" s="97"/>
      <c r="H25" s="97"/>
      <c r="I25" s="97"/>
      <c r="J25" s="97"/>
      <c r="K25" s="97"/>
      <c r="L25" s="97" t="s">
        <v>1386</v>
      </c>
      <c r="M25" s="97"/>
      <c r="N25" s="97"/>
    </row>
    <row r="26" ht="60.0" customHeight="1">
      <c r="A26" s="96" t="str">
        <f>HYPERLINK("http://purl.obolibrary.org/obo/OBI_0001183","http://purl.obolibrary.org/obo/OBI_0001183")</f>
        <v>http://purl.obolibrary.org/obo/OBI_0001183</v>
      </c>
      <c r="B26" s="97" t="s">
        <v>1387</v>
      </c>
      <c r="C26" s="97" t="s">
        <v>1388</v>
      </c>
      <c r="D26" s="97" t="s">
        <v>644</v>
      </c>
      <c r="E26" s="97" t="s">
        <v>22</v>
      </c>
      <c r="F26" s="97" t="s">
        <v>1385</v>
      </c>
      <c r="G26" s="97"/>
      <c r="H26" s="97"/>
      <c r="I26" s="97"/>
      <c r="J26" s="97"/>
      <c r="K26" s="97"/>
      <c r="L26" s="97"/>
      <c r="M26" s="97"/>
      <c r="N26" s="97"/>
    </row>
    <row r="27" ht="60.0" customHeight="1">
      <c r="A27" s="96" t="str">
        <f>HYPERLINK("http://purl.obolibrary.org/obo/OBI_0001184","http://purl.obolibrary.org/obo/OBI_0001184")</f>
        <v>http://purl.obolibrary.org/obo/OBI_0001184</v>
      </c>
      <c r="B27" s="97" t="s">
        <v>1385</v>
      </c>
      <c r="C27" s="97" t="s">
        <v>1389</v>
      </c>
      <c r="D27" s="97" t="s">
        <v>644</v>
      </c>
      <c r="E27" s="97" t="s">
        <v>22</v>
      </c>
      <c r="F27" s="97" t="s">
        <v>1379</v>
      </c>
      <c r="G27" s="97"/>
      <c r="H27" s="97"/>
      <c r="I27" s="97"/>
      <c r="J27" s="97"/>
      <c r="K27" s="97"/>
      <c r="L27" s="97"/>
      <c r="M27" s="97"/>
      <c r="N27" s="97"/>
    </row>
    <row r="28" ht="48.0" customHeight="1">
      <c r="A28" s="96" t="str">
        <f>HYPERLINK("http://purl.obolibrary.org/obo/OBI_0001186","http://purl.obolibrary.org/obo/OBI_0001186")</f>
        <v>http://purl.obolibrary.org/obo/OBI_0001186</v>
      </c>
      <c r="B28" s="97" t="s">
        <v>1390</v>
      </c>
      <c r="C28" s="97" t="s">
        <v>1391</v>
      </c>
      <c r="D28" s="97" t="s">
        <v>644</v>
      </c>
      <c r="E28" s="97" t="s">
        <v>22</v>
      </c>
      <c r="F28" s="97" t="s">
        <v>1383</v>
      </c>
      <c r="G28" s="97"/>
      <c r="H28" s="97"/>
      <c r="I28" s="97"/>
      <c r="J28" s="97"/>
      <c r="K28" s="97"/>
      <c r="L28" s="97" t="s">
        <v>1392</v>
      </c>
      <c r="M28" s="97"/>
      <c r="N28" s="97"/>
    </row>
    <row r="29" ht="36.0" customHeight="1">
      <c r="A29" s="96" t="str">
        <f>HYPERLINK("http://purl.obolibrary.org/obo/OBI_0001188","http://purl.obolibrary.org/obo/OBI_0001188")</f>
        <v>http://purl.obolibrary.org/obo/OBI_0001188</v>
      </c>
      <c r="B29" s="97" t="s">
        <v>1393</v>
      </c>
      <c r="C29" s="97" t="s">
        <v>1394</v>
      </c>
      <c r="D29" s="97" t="s">
        <v>644</v>
      </c>
      <c r="E29" s="97" t="s">
        <v>22</v>
      </c>
      <c r="F29" s="97" t="s">
        <v>1379</v>
      </c>
      <c r="G29" s="97"/>
      <c r="H29" s="97"/>
      <c r="I29" s="97"/>
      <c r="J29" s="97"/>
      <c r="K29" s="97"/>
      <c r="L29" s="97"/>
      <c r="M29" s="97"/>
      <c r="N29" s="97"/>
    </row>
    <row r="30" ht="36.0" customHeight="1">
      <c r="A30" s="96" t="str">
        <f>HYPERLINK("http://purl.obolibrary.org/obo/OBI_0001189","http://purl.obolibrary.org/obo/OBI_0001189")</f>
        <v>http://purl.obolibrary.org/obo/OBI_0001189</v>
      </c>
      <c r="B30" s="97" t="s">
        <v>1395</v>
      </c>
      <c r="C30" s="97" t="s">
        <v>1396</v>
      </c>
      <c r="D30" s="97" t="s">
        <v>644</v>
      </c>
      <c r="E30" s="97" t="s">
        <v>22</v>
      </c>
      <c r="F30" s="97" t="s">
        <v>1385</v>
      </c>
      <c r="G30" s="97"/>
      <c r="H30" s="97"/>
      <c r="I30" s="97"/>
      <c r="J30" s="97"/>
      <c r="K30" s="97"/>
      <c r="L30" s="97" t="s">
        <v>1397</v>
      </c>
      <c r="M30" s="97"/>
      <c r="N30" s="97"/>
    </row>
    <row r="31" ht="48.0" customHeight="1">
      <c r="A31" s="96" t="str">
        <f>HYPERLINK("http://purl.obolibrary.org/obo/OBI_0001190","http://purl.obolibrary.org/obo/OBI_0001190")</f>
        <v>http://purl.obolibrary.org/obo/OBI_0001190</v>
      </c>
      <c r="B31" s="97" t="s">
        <v>1398</v>
      </c>
      <c r="C31" s="97" t="s">
        <v>1399</v>
      </c>
      <c r="D31" s="97" t="s">
        <v>644</v>
      </c>
      <c r="E31" s="97" t="s">
        <v>22</v>
      </c>
      <c r="F31" s="97" t="s">
        <v>1379</v>
      </c>
      <c r="G31" s="97"/>
      <c r="H31" s="97"/>
      <c r="I31" s="97"/>
      <c r="J31" s="97"/>
      <c r="K31" s="97"/>
      <c r="L31" s="97"/>
      <c r="M31" s="97"/>
      <c r="N31" s="97"/>
    </row>
    <row r="32" ht="36.0" customHeight="1">
      <c r="A32" s="96" t="str">
        <f>HYPERLINK("http://purl.obolibrary.org/obo/OBI_0001194","http://purl.obolibrary.org/obo/OBI_0001194")</f>
        <v>http://purl.obolibrary.org/obo/OBI_0001194</v>
      </c>
      <c r="B32" s="97" t="s">
        <v>1400</v>
      </c>
      <c r="C32" s="97" t="s">
        <v>1401</v>
      </c>
      <c r="D32" s="97" t="s">
        <v>1402</v>
      </c>
      <c r="E32" s="97" t="s">
        <v>22</v>
      </c>
      <c r="F32" s="97" t="s">
        <v>1403</v>
      </c>
      <c r="G32" s="97" t="s">
        <v>1404</v>
      </c>
      <c r="H32" s="97"/>
      <c r="I32" s="97"/>
      <c r="J32" s="97"/>
      <c r="K32" s="97"/>
      <c r="L32" s="97" t="s">
        <v>1404</v>
      </c>
      <c r="M32" s="97"/>
      <c r="N32" s="97"/>
    </row>
    <row r="33" ht="72.0" customHeight="1">
      <c r="A33" s="96" t="str">
        <f>HYPERLINK("http://purl.obolibrary.org/obo/OBI_0001196","http://purl.obolibrary.org/obo/OBI_0001196")</f>
        <v>http://purl.obolibrary.org/obo/OBI_0001196</v>
      </c>
      <c r="B33" s="97" t="s">
        <v>1405</v>
      </c>
      <c r="C33" s="97" t="s">
        <v>1406</v>
      </c>
      <c r="D33" s="97" t="s">
        <v>1402</v>
      </c>
      <c r="E33" s="97" t="s">
        <v>22</v>
      </c>
      <c r="F33" s="97" t="s">
        <v>1407</v>
      </c>
      <c r="G33" s="97" t="s">
        <v>1408</v>
      </c>
      <c r="H33" s="97"/>
      <c r="I33" s="97"/>
      <c r="J33" s="97"/>
      <c r="K33" s="97"/>
      <c r="L33" s="97" t="s">
        <v>1408</v>
      </c>
      <c r="M33" s="97"/>
      <c r="N33" s="97"/>
    </row>
    <row r="34" ht="96.0" customHeight="1">
      <c r="A34" s="96" t="str">
        <f>HYPERLINK("http://purl.obolibrary.org/obo/OBI_0001198","http://purl.obolibrary.org/obo/OBI_0001198")</f>
        <v>http://purl.obolibrary.org/obo/OBI_0001198</v>
      </c>
      <c r="B34" s="97" t="s">
        <v>1409</v>
      </c>
      <c r="C34" s="97" t="s">
        <v>1410</v>
      </c>
      <c r="D34" s="97" t="s">
        <v>1402</v>
      </c>
      <c r="E34" s="97" t="s">
        <v>22</v>
      </c>
      <c r="F34" s="97" t="s">
        <v>1411</v>
      </c>
      <c r="G34" s="97" t="s">
        <v>1412</v>
      </c>
      <c r="H34" s="97"/>
      <c r="I34" s="97"/>
      <c r="J34" s="97" t="s">
        <v>1412</v>
      </c>
      <c r="K34" s="97"/>
      <c r="L34" s="97"/>
      <c r="M34" s="97"/>
      <c r="N34" s="97"/>
    </row>
    <row r="35" ht="48.0" customHeight="1">
      <c r="A35" s="96" t="str">
        <f>HYPERLINK("http://purl.obolibrary.org/obo/OBI_0001203","http://purl.obolibrary.org/obo/OBI_0001203")</f>
        <v>http://purl.obolibrary.org/obo/OBI_0001203</v>
      </c>
      <c r="B35" s="97" t="s">
        <v>1413</v>
      </c>
      <c r="C35" s="97" t="s">
        <v>1414</v>
      </c>
      <c r="D35" s="97" t="s">
        <v>1402</v>
      </c>
      <c r="E35" s="97" t="s">
        <v>22</v>
      </c>
      <c r="F35" s="97" t="s">
        <v>1403</v>
      </c>
      <c r="G35" s="97" t="s">
        <v>1415</v>
      </c>
      <c r="H35" s="97"/>
      <c r="I35" s="97"/>
      <c r="J35" s="97"/>
      <c r="K35" s="97"/>
      <c r="L35" s="97" t="s">
        <v>1415</v>
      </c>
      <c r="M35" s="97"/>
      <c r="N35" s="97"/>
    </row>
    <row r="36" ht="84.0" customHeight="1">
      <c r="A36" s="96" t="str">
        <f>HYPERLINK("http://purl.obolibrary.org/obo/OBI_0001206","http://purl.obolibrary.org/obo/OBI_0001206")</f>
        <v>http://purl.obolibrary.org/obo/OBI_0001206</v>
      </c>
      <c r="B36" s="97" t="s">
        <v>1416</v>
      </c>
      <c r="C36" s="97" t="s">
        <v>1417</v>
      </c>
      <c r="D36" s="97" t="s">
        <v>1402</v>
      </c>
      <c r="E36" s="97" t="s">
        <v>22</v>
      </c>
      <c r="F36" s="97" t="s">
        <v>1418</v>
      </c>
      <c r="G36" s="97" t="s">
        <v>1419</v>
      </c>
      <c r="H36" s="97"/>
      <c r="I36" s="97"/>
      <c r="J36" s="97"/>
      <c r="K36" s="97"/>
      <c r="L36" s="97" t="s">
        <v>1419</v>
      </c>
      <c r="M36" s="97"/>
      <c r="N36" s="97"/>
    </row>
    <row r="37" ht="72.0" customHeight="1">
      <c r="A37" s="96" t="str">
        <f>HYPERLINK("http://purl.obolibrary.org/obo/OBI_0001209","http://purl.obolibrary.org/obo/OBI_0001209")</f>
        <v>http://purl.obolibrary.org/obo/OBI_0001209</v>
      </c>
      <c r="B37" s="97" t="s">
        <v>1420</v>
      </c>
      <c r="C37" s="97" t="s">
        <v>1421</v>
      </c>
      <c r="D37" s="97" t="s">
        <v>1402</v>
      </c>
      <c r="E37" s="97" t="s">
        <v>22</v>
      </c>
      <c r="F37" s="97" t="s">
        <v>1411</v>
      </c>
      <c r="G37" s="97" t="s">
        <v>1422</v>
      </c>
      <c r="H37" s="97"/>
      <c r="I37" s="97"/>
      <c r="J37" s="97" t="s">
        <v>1422</v>
      </c>
      <c r="K37" s="97"/>
      <c r="L37" s="97"/>
      <c r="M37" s="97"/>
      <c r="N37" s="97"/>
    </row>
    <row r="38" ht="48.0" customHeight="1">
      <c r="A38" s="96" t="str">
        <f>HYPERLINK("http://purl.obolibrary.org/obo/OBI_0001210","http://purl.obolibrary.org/obo/OBI_0001210")</f>
        <v>http://purl.obolibrary.org/obo/OBI_0001210</v>
      </c>
      <c r="B38" s="97" t="s">
        <v>1423</v>
      </c>
      <c r="C38" s="97" t="s">
        <v>1424</v>
      </c>
      <c r="D38" s="97" t="s">
        <v>1402</v>
      </c>
      <c r="E38" s="97" t="s">
        <v>22</v>
      </c>
      <c r="F38" s="97" t="s">
        <v>1403</v>
      </c>
      <c r="G38" s="97" t="s">
        <v>1425</v>
      </c>
      <c r="H38" s="97"/>
      <c r="I38" s="97"/>
      <c r="J38" s="97"/>
      <c r="K38" s="97"/>
      <c r="L38" s="97" t="s">
        <v>1425</v>
      </c>
      <c r="M38" s="97"/>
      <c r="N38" s="97"/>
    </row>
    <row r="39" ht="144.0" customHeight="1">
      <c r="A39" s="96" t="str">
        <f>HYPERLINK("http://purl.obolibrary.org/obo/OBI_0001215","http://purl.obolibrary.org/obo/OBI_0001215")</f>
        <v>http://purl.obolibrary.org/obo/OBI_0001215</v>
      </c>
      <c r="B39" s="97" t="s">
        <v>1426</v>
      </c>
      <c r="C39" s="97" t="s">
        <v>1427</v>
      </c>
      <c r="D39" s="97" t="s">
        <v>1402</v>
      </c>
      <c r="E39" s="97" t="s">
        <v>22</v>
      </c>
      <c r="F39" s="97" t="s">
        <v>1428</v>
      </c>
      <c r="G39" s="97" t="s">
        <v>1429</v>
      </c>
      <c r="H39" s="97"/>
      <c r="I39" s="97"/>
      <c r="J39" s="97"/>
      <c r="K39" s="97"/>
      <c r="L39" s="97" t="s">
        <v>1429</v>
      </c>
      <c r="M39" s="97"/>
      <c r="N39" s="97"/>
    </row>
    <row r="40" ht="120.0" customHeight="1">
      <c r="A40" s="96" t="str">
        <f>HYPERLINK("http://purl.obolibrary.org/obo/OBI_0001216","http://purl.obolibrary.org/obo/OBI_0001216")</f>
        <v>http://purl.obolibrary.org/obo/OBI_0001216</v>
      </c>
      <c r="B40" s="97" t="s">
        <v>1430</v>
      </c>
      <c r="C40" s="97" t="s">
        <v>1431</v>
      </c>
      <c r="D40" s="97" t="s">
        <v>1402</v>
      </c>
      <c r="E40" s="97" t="s">
        <v>22</v>
      </c>
      <c r="F40" s="97" t="s">
        <v>1432</v>
      </c>
      <c r="G40" s="97" t="s">
        <v>1433</v>
      </c>
      <c r="H40" s="97"/>
      <c r="I40" s="97"/>
      <c r="J40" s="97"/>
      <c r="K40" s="97"/>
      <c r="L40" s="97" t="s">
        <v>1433</v>
      </c>
      <c r="M40" s="97"/>
      <c r="N40" s="97"/>
    </row>
    <row r="41" ht="36.0" customHeight="1">
      <c r="A41" s="96" t="str">
        <f>HYPERLINK("http://purl.obolibrary.org/obo/OBI_0001217","http://purl.obolibrary.org/obo/OBI_0001217")</f>
        <v>http://purl.obolibrary.org/obo/OBI_0001217</v>
      </c>
      <c r="B41" s="97" t="s">
        <v>1434</v>
      </c>
      <c r="C41" s="97" t="s">
        <v>1435</v>
      </c>
      <c r="D41" s="97" t="s">
        <v>1402</v>
      </c>
      <c r="E41" s="97" t="s">
        <v>22</v>
      </c>
      <c r="F41" s="97" t="s">
        <v>1411</v>
      </c>
      <c r="G41" s="97" t="s">
        <v>1436</v>
      </c>
      <c r="H41" s="97"/>
      <c r="I41" s="97"/>
      <c r="J41" s="97" t="s">
        <v>1436</v>
      </c>
      <c r="K41" s="97"/>
      <c r="L41" s="97"/>
      <c r="M41" s="97"/>
      <c r="N41" s="97"/>
    </row>
    <row r="42" ht="132.0" customHeight="1">
      <c r="A42" s="96" t="str">
        <f>HYPERLINK("http://purl.obolibrary.org/obo/OBI_0001218","http://purl.obolibrary.org/obo/OBI_0001218")</f>
        <v>http://purl.obolibrary.org/obo/OBI_0001218</v>
      </c>
      <c r="B42" s="97" t="s">
        <v>1437</v>
      </c>
      <c r="C42" s="97" t="s">
        <v>1438</v>
      </c>
      <c r="D42" s="97" t="s">
        <v>1402</v>
      </c>
      <c r="E42" s="97" t="s">
        <v>22</v>
      </c>
      <c r="F42" s="97" t="s">
        <v>1411</v>
      </c>
      <c r="G42" s="97" t="s">
        <v>1439</v>
      </c>
      <c r="H42" s="97"/>
      <c r="I42" s="97"/>
      <c r="J42" s="97" t="s">
        <v>1439</v>
      </c>
      <c r="K42" s="97"/>
      <c r="L42" s="97"/>
      <c r="M42" s="97"/>
      <c r="N42" s="97"/>
    </row>
    <row r="43" ht="84.0" customHeight="1">
      <c r="A43" s="96" t="str">
        <f>HYPERLINK("http://purl.obolibrary.org/obo/OBI_0001220","http://purl.obolibrary.org/obo/OBI_0001220")</f>
        <v>http://purl.obolibrary.org/obo/OBI_0001220</v>
      </c>
      <c r="B43" s="97" t="s">
        <v>1440</v>
      </c>
      <c r="C43" s="97" t="s">
        <v>1441</v>
      </c>
      <c r="D43" s="97" t="s">
        <v>1402</v>
      </c>
      <c r="E43" s="97" t="s">
        <v>22</v>
      </c>
      <c r="F43" s="97" t="s">
        <v>1420</v>
      </c>
      <c r="G43" s="97" t="s">
        <v>1442</v>
      </c>
      <c r="H43" s="97"/>
      <c r="I43" s="97"/>
      <c r="J43" s="97"/>
      <c r="K43" s="97"/>
      <c r="L43" s="97" t="s">
        <v>1442</v>
      </c>
      <c r="M43" s="97"/>
      <c r="N43" s="97"/>
    </row>
    <row r="44" ht="84.0" customHeight="1">
      <c r="A44" s="96" t="str">
        <f>HYPERLINK("http://purl.obolibrary.org/obo/OBI_0001222","http://purl.obolibrary.org/obo/OBI_0001222")</f>
        <v>http://purl.obolibrary.org/obo/OBI_0001222</v>
      </c>
      <c r="B44" s="97" t="s">
        <v>1443</v>
      </c>
      <c r="C44" s="97" t="s">
        <v>1444</v>
      </c>
      <c r="D44" s="97" t="s">
        <v>1402</v>
      </c>
      <c r="E44" s="97" t="s">
        <v>22</v>
      </c>
      <c r="F44" s="97" t="s">
        <v>1445</v>
      </c>
      <c r="G44" s="97" t="s">
        <v>1446</v>
      </c>
      <c r="H44" s="97"/>
      <c r="I44" s="97"/>
      <c r="J44" s="97"/>
      <c r="K44" s="97"/>
      <c r="L44" s="97" t="s">
        <v>1446</v>
      </c>
      <c r="M44" s="97"/>
      <c r="N44" s="97"/>
    </row>
    <row r="45" ht="60.0" customHeight="1">
      <c r="A45" s="96" t="str">
        <f>HYPERLINK("http://purl.obolibrary.org/obo/OBI_0001223","http://purl.obolibrary.org/obo/OBI_0001223")</f>
        <v>http://purl.obolibrary.org/obo/OBI_0001223</v>
      </c>
      <c r="B45" s="97" t="s">
        <v>1447</v>
      </c>
      <c r="C45" s="97" t="s">
        <v>1448</v>
      </c>
      <c r="D45" s="97" t="s">
        <v>1402</v>
      </c>
      <c r="E45" s="97" t="s">
        <v>22</v>
      </c>
      <c r="F45" s="97" t="s">
        <v>1449</v>
      </c>
      <c r="G45" s="97" t="s">
        <v>1450</v>
      </c>
      <c r="H45" s="97"/>
      <c r="I45" s="97"/>
      <c r="J45" s="97"/>
      <c r="K45" s="97"/>
      <c r="L45" s="97" t="s">
        <v>1450</v>
      </c>
      <c r="M45" s="97"/>
      <c r="N45" s="97"/>
    </row>
    <row r="46" ht="48.0" customHeight="1">
      <c r="A46" s="96" t="str">
        <f>HYPERLINK("http://purl.obolibrary.org/obo/OBI_0001227","http://purl.obolibrary.org/obo/OBI_0001227")</f>
        <v>http://purl.obolibrary.org/obo/OBI_0001227</v>
      </c>
      <c r="B46" s="97" t="s">
        <v>1451</v>
      </c>
      <c r="C46" s="97" t="s">
        <v>1452</v>
      </c>
      <c r="D46" s="97" t="s">
        <v>1402</v>
      </c>
      <c r="E46" s="97" t="s">
        <v>22</v>
      </c>
      <c r="F46" s="97" t="s">
        <v>1453</v>
      </c>
      <c r="G46" s="97" t="s">
        <v>1454</v>
      </c>
      <c r="H46" s="97"/>
      <c r="I46" s="97"/>
      <c r="J46" s="97"/>
      <c r="K46" s="97"/>
      <c r="L46" s="97" t="s">
        <v>1454</v>
      </c>
      <c r="M46" s="97"/>
      <c r="N46" s="97"/>
    </row>
    <row r="47" ht="60.0" customHeight="1">
      <c r="A47" s="96" t="str">
        <f>HYPERLINK("http://purl.obolibrary.org/obo/OBI_0001228","http://purl.obolibrary.org/obo/OBI_0001228")</f>
        <v>http://purl.obolibrary.org/obo/OBI_0001228</v>
      </c>
      <c r="B47" s="97" t="s">
        <v>1455</v>
      </c>
      <c r="C47" s="97" t="s">
        <v>1456</v>
      </c>
      <c r="D47" s="97" t="s">
        <v>4</v>
      </c>
      <c r="E47" s="97" t="s">
        <v>22</v>
      </c>
      <c r="F47" s="97" t="s">
        <v>1457</v>
      </c>
      <c r="G47" s="97"/>
      <c r="H47" s="97"/>
      <c r="I47" s="97"/>
      <c r="J47" s="97"/>
      <c r="K47" s="97"/>
      <c r="L47" s="97"/>
      <c r="M47" s="97"/>
      <c r="N47" s="97"/>
    </row>
    <row r="48" ht="36.0" customHeight="1">
      <c r="A48" s="96" t="str">
        <f>HYPERLINK("http://purl.obolibrary.org/obo/OBI_0001229","http://purl.obolibrary.org/obo/OBI_0001229")</f>
        <v>http://purl.obolibrary.org/obo/OBI_0001229</v>
      </c>
      <c r="B48" s="97" t="s">
        <v>1458</v>
      </c>
      <c r="C48" s="97" t="s">
        <v>1459</v>
      </c>
      <c r="D48" s="97" t="s">
        <v>1402</v>
      </c>
      <c r="E48" s="97" t="s">
        <v>22</v>
      </c>
      <c r="F48" s="97" t="s">
        <v>1460</v>
      </c>
      <c r="G48" s="97" t="s">
        <v>1461</v>
      </c>
      <c r="H48" s="97"/>
      <c r="I48" s="97"/>
      <c r="J48" s="97" t="s">
        <v>1461</v>
      </c>
      <c r="K48" s="97"/>
      <c r="L48" s="97" t="s">
        <v>1461</v>
      </c>
      <c r="M48" s="97"/>
      <c r="N48" s="97"/>
    </row>
    <row r="49" ht="36.0" customHeight="1">
      <c r="A49" s="96" t="str">
        <f>HYPERLINK("http://purl.obolibrary.org/obo/OBI_0001230","http://purl.obolibrary.org/obo/OBI_0001230")</f>
        <v>http://purl.obolibrary.org/obo/OBI_0001230</v>
      </c>
      <c r="B49" s="97" t="s">
        <v>1462</v>
      </c>
      <c r="C49" s="97" t="s">
        <v>1463</v>
      </c>
      <c r="D49" s="97" t="s">
        <v>1402</v>
      </c>
      <c r="E49" s="97" t="s">
        <v>22</v>
      </c>
      <c r="F49" s="97" t="s">
        <v>1411</v>
      </c>
      <c r="G49" s="97" t="s">
        <v>1464</v>
      </c>
      <c r="H49" s="97"/>
      <c r="I49" s="97"/>
      <c r="J49" s="97" t="s">
        <v>1464</v>
      </c>
      <c r="K49" s="97"/>
      <c r="L49" s="97"/>
      <c r="M49" s="97"/>
      <c r="N49" s="97"/>
    </row>
    <row r="50" ht="48.0" customHeight="1">
      <c r="A50" s="96" t="str">
        <f>HYPERLINK("http://purl.obolibrary.org/obo/OBI_0001231","http://purl.obolibrary.org/obo/OBI_0001231")</f>
        <v>http://purl.obolibrary.org/obo/OBI_0001231</v>
      </c>
      <c r="B50" s="97" t="s">
        <v>1465</v>
      </c>
      <c r="C50" s="97" t="s">
        <v>1466</v>
      </c>
      <c r="D50" s="97" t="s">
        <v>1402</v>
      </c>
      <c r="E50" s="97" t="s">
        <v>22</v>
      </c>
      <c r="F50" s="97" t="s">
        <v>1403</v>
      </c>
      <c r="G50" s="97" t="s">
        <v>1467</v>
      </c>
      <c r="H50" s="97"/>
      <c r="I50" s="97"/>
      <c r="J50" s="97"/>
      <c r="K50" s="97"/>
      <c r="L50" s="97" t="s">
        <v>1467</v>
      </c>
      <c r="M50" s="97"/>
      <c r="N50" s="97"/>
    </row>
    <row r="51" ht="60.0" customHeight="1">
      <c r="A51" s="96" t="str">
        <f>HYPERLINK("http://purl.obolibrary.org/obo/OBI_0001232","http://purl.obolibrary.org/obo/OBI_0001232")</f>
        <v>http://purl.obolibrary.org/obo/OBI_0001232</v>
      </c>
      <c r="B51" s="97" t="s">
        <v>1445</v>
      </c>
      <c r="C51" s="97" t="s">
        <v>1468</v>
      </c>
      <c r="D51" s="97" t="s">
        <v>1402</v>
      </c>
      <c r="E51" s="97" t="s">
        <v>22</v>
      </c>
      <c r="F51" s="97" t="s">
        <v>1411</v>
      </c>
      <c r="G51" s="97" t="s">
        <v>1469</v>
      </c>
      <c r="H51" s="97"/>
      <c r="I51" s="97"/>
      <c r="J51" s="97" t="s">
        <v>1469</v>
      </c>
      <c r="K51" s="97"/>
      <c r="L51" s="97"/>
      <c r="M51" s="97"/>
      <c r="N51" s="97"/>
    </row>
    <row r="52" ht="48.0" customHeight="1">
      <c r="A52" s="96" t="str">
        <f>HYPERLINK("http://purl.obolibrary.org/obo/OBI_0001233","http://purl.obolibrary.org/obo/OBI_0001233")</f>
        <v>http://purl.obolibrary.org/obo/OBI_0001233</v>
      </c>
      <c r="B52" s="97" t="s">
        <v>1418</v>
      </c>
      <c r="C52" s="97" t="s">
        <v>1470</v>
      </c>
      <c r="D52" s="97" t="s">
        <v>1402</v>
      </c>
      <c r="E52" s="97" t="s">
        <v>22</v>
      </c>
      <c r="F52" s="97" t="s">
        <v>1411</v>
      </c>
      <c r="G52" s="97" t="s">
        <v>1471</v>
      </c>
      <c r="H52" s="97"/>
      <c r="I52" s="97"/>
      <c r="J52" s="97" t="s">
        <v>1471</v>
      </c>
      <c r="K52" s="97"/>
      <c r="L52" s="97"/>
      <c r="M52" s="97"/>
      <c r="N52" s="97"/>
    </row>
    <row r="53" ht="48.0" customHeight="1">
      <c r="A53" s="96" t="str">
        <f>HYPERLINK("http://purl.obolibrary.org/obo/OBI_0001236","http://purl.obolibrary.org/obo/OBI_0001236")</f>
        <v>http://purl.obolibrary.org/obo/OBI_0001236</v>
      </c>
      <c r="B53" s="97" t="s">
        <v>1472</v>
      </c>
      <c r="C53" s="97" t="s">
        <v>1473</v>
      </c>
      <c r="D53" s="97" t="s">
        <v>1402</v>
      </c>
      <c r="E53" s="97" t="s">
        <v>22</v>
      </c>
      <c r="F53" s="97" t="s">
        <v>1434</v>
      </c>
      <c r="G53" s="97" t="s">
        <v>1474</v>
      </c>
      <c r="H53" s="97"/>
      <c r="I53" s="97"/>
      <c r="J53" s="97"/>
      <c r="K53" s="97"/>
      <c r="L53" s="97" t="s">
        <v>1474</v>
      </c>
      <c r="M53" s="97"/>
      <c r="N53" s="97"/>
    </row>
    <row r="54" ht="48.0" customHeight="1">
      <c r="A54" s="96" t="str">
        <f>HYPERLINK("http://purl.obolibrary.org/obo/OBI_0001237","http://purl.obolibrary.org/obo/OBI_0001237")</f>
        <v>http://purl.obolibrary.org/obo/OBI_0001237</v>
      </c>
      <c r="B54" s="97" t="s">
        <v>1475</v>
      </c>
      <c r="C54" s="97" t="s">
        <v>1476</v>
      </c>
      <c r="D54" s="97" t="s">
        <v>1402</v>
      </c>
      <c r="E54" s="97" t="s">
        <v>22</v>
      </c>
      <c r="F54" s="97" t="s">
        <v>1411</v>
      </c>
      <c r="G54" s="97" t="s">
        <v>1477</v>
      </c>
      <c r="H54" s="97"/>
      <c r="I54" s="97"/>
      <c r="J54" s="97" t="s">
        <v>1477</v>
      </c>
      <c r="K54" s="97"/>
      <c r="L54" s="97"/>
      <c r="M54" s="97"/>
      <c r="N54" s="97"/>
    </row>
    <row r="55" ht="36.0" customHeight="1">
      <c r="A55" s="96" t="str">
        <f>HYPERLINK("http://purl.obolibrary.org/obo/OBI_0001238","http://purl.obolibrary.org/obo/OBI_0001238")</f>
        <v>http://purl.obolibrary.org/obo/OBI_0001238</v>
      </c>
      <c r="B55" s="97" t="s">
        <v>1478</v>
      </c>
      <c r="C55" s="97" t="s">
        <v>1479</v>
      </c>
      <c r="D55" s="97" t="s">
        <v>1402</v>
      </c>
      <c r="E55" s="97" t="s">
        <v>22</v>
      </c>
      <c r="F55" s="97" t="s">
        <v>1480</v>
      </c>
      <c r="G55" s="97" t="s">
        <v>1481</v>
      </c>
      <c r="H55" s="97"/>
      <c r="I55" s="97"/>
      <c r="J55" s="97"/>
      <c r="K55" s="97"/>
      <c r="L55" s="97" t="s">
        <v>1481</v>
      </c>
      <c r="M55" s="97"/>
      <c r="N55" s="97"/>
    </row>
    <row r="56" ht="48.0" customHeight="1">
      <c r="A56" s="96" t="str">
        <f>HYPERLINK("http://purl.obolibrary.org/obo/OBI_0001240","http://purl.obolibrary.org/obo/OBI_0001240")</f>
        <v>http://purl.obolibrary.org/obo/OBI_0001240</v>
      </c>
      <c r="B56" s="97" t="s">
        <v>1482</v>
      </c>
      <c r="C56" s="97" t="s">
        <v>1483</v>
      </c>
      <c r="D56" s="97" t="s">
        <v>1402</v>
      </c>
      <c r="E56" s="97" t="s">
        <v>22</v>
      </c>
      <c r="F56" s="97" t="s">
        <v>1453</v>
      </c>
      <c r="G56" s="97" t="s">
        <v>1484</v>
      </c>
      <c r="H56" s="97"/>
      <c r="I56" s="97"/>
      <c r="J56" s="97"/>
      <c r="K56" s="97"/>
      <c r="L56" s="97" t="s">
        <v>1484</v>
      </c>
      <c r="M56" s="97"/>
      <c r="N56" s="97"/>
    </row>
    <row r="57" ht="48.0" customHeight="1">
      <c r="A57" s="96" t="str">
        <f>HYPERLINK("http://purl.obolibrary.org/obo/OBI_0001241","http://purl.obolibrary.org/obo/OBI_0001241")</f>
        <v>http://purl.obolibrary.org/obo/OBI_0001241</v>
      </c>
      <c r="B57" s="97" t="s">
        <v>1485</v>
      </c>
      <c r="C57" s="97" t="s">
        <v>1486</v>
      </c>
      <c r="D57" s="97" t="s">
        <v>1402</v>
      </c>
      <c r="E57" s="97" t="s">
        <v>22</v>
      </c>
      <c r="F57" s="97" t="s">
        <v>1487</v>
      </c>
      <c r="G57" s="97" t="s">
        <v>1488</v>
      </c>
      <c r="H57" s="97"/>
      <c r="I57" s="97"/>
      <c r="J57" s="97"/>
      <c r="K57" s="97"/>
      <c r="L57" s="97" t="s">
        <v>1488</v>
      </c>
      <c r="M57" s="97"/>
      <c r="N57" s="97"/>
    </row>
    <row r="58" ht="48.0" customHeight="1">
      <c r="A58" s="96" t="str">
        <f>HYPERLINK("http://purl.obolibrary.org/obo/OBI_0001242","http://purl.obolibrary.org/obo/OBI_0001242")</f>
        <v>http://purl.obolibrary.org/obo/OBI_0001242</v>
      </c>
      <c r="B58" s="97" t="s">
        <v>1489</v>
      </c>
      <c r="C58" s="97" t="s">
        <v>1490</v>
      </c>
      <c r="D58" s="97" t="s">
        <v>1402</v>
      </c>
      <c r="E58" s="97" t="s">
        <v>22</v>
      </c>
      <c r="F58" s="97" t="s">
        <v>1491</v>
      </c>
      <c r="G58" s="97" t="s">
        <v>1492</v>
      </c>
      <c r="H58" s="97"/>
      <c r="I58" s="97"/>
      <c r="J58" s="97"/>
      <c r="K58" s="97"/>
      <c r="L58" s="97" t="s">
        <v>1492</v>
      </c>
      <c r="M58" s="97"/>
      <c r="N58" s="97"/>
    </row>
    <row r="59" ht="48.0" customHeight="1">
      <c r="A59" s="96" t="str">
        <f>HYPERLINK("http://purl.obolibrary.org/obo/OBI_0001243","http://purl.obolibrary.org/obo/OBI_0001243")</f>
        <v>http://purl.obolibrary.org/obo/OBI_0001243</v>
      </c>
      <c r="B59" s="97" t="s">
        <v>1493</v>
      </c>
      <c r="C59" s="97" t="s">
        <v>1494</v>
      </c>
      <c r="D59" s="97" t="s">
        <v>1402</v>
      </c>
      <c r="E59" s="97" t="s">
        <v>22</v>
      </c>
      <c r="F59" s="97" t="s">
        <v>1495</v>
      </c>
      <c r="G59" s="97" t="s">
        <v>1496</v>
      </c>
      <c r="H59" s="97"/>
      <c r="I59" s="97"/>
      <c r="J59" s="97"/>
      <c r="K59" s="97"/>
      <c r="L59" s="97" t="s">
        <v>1496</v>
      </c>
      <c r="M59" s="97"/>
      <c r="N59" s="97"/>
    </row>
    <row r="60" ht="24.0" customHeight="1">
      <c r="A60" s="96" t="str">
        <f>HYPERLINK("http://purl.obolibrary.org/obo/OBI_0001244","http://purl.obolibrary.org/obo/OBI_0001244")</f>
        <v>http://purl.obolibrary.org/obo/OBI_0001244</v>
      </c>
      <c r="B60" s="97" t="s">
        <v>1497</v>
      </c>
      <c r="C60" s="97" t="s">
        <v>1498</v>
      </c>
      <c r="D60" s="97" t="s">
        <v>1402</v>
      </c>
      <c r="E60" s="97" t="s">
        <v>22</v>
      </c>
      <c r="F60" s="97" t="s">
        <v>1499</v>
      </c>
      <c r="G60" s="97" t="s">
        <v>1500</v>
      </c>
      <c r="H60" s="97"/>
      <c r="I60" s="97"/>
      <c r="J60" s="97"/>
      <c r="K60" s="97"/>
      <c r="L60" s="97" t="s">
        <v>1500</v>
      </c>
      <c r="M60" s="97"/>
      <c r="N60" s="97"/>
    </row>
    <row r="61" ht="48.0" customHeight="1">
      <c r="A61" s="96" t="str">
        <f>HYPERLINK("http://purl.obolibrary.org/obo/OBI_0001245","http://purl.obolibrary.org/obo/OBI_0001245")</f>
        <v>http://purl.obolibrary.org/obo/OBI_0001245</v>
      </c>
      <c r="B61" s="97" t="s">
        <v>1501</v>
      </c>
      <c r="C61" s="97" t="s">
        <v>1502</v>
      </c>
      <c r="D61" s="97" t="s">
        <v>1402</v>
      </c>
      <c r="E61" s="97" t="s">
        <v>22</v>
      </c>
      <c r="F61" s="97" t="s">
        <v>1428</v>
      </c>
      <c r="G61" s="97" t="s">
        <v>1503</v>
      </c>
      <c r="H61" s="97"/>
      <c r="I61" s="97"/>
      <c r="J61" s="97"/>
      <c r="K61" s="97"/>
      <c r="L61" s="97" t="s">
        <v>1503</v>
      </c>
      <c r="M61" s="97"/>
      <c r="N61" s="97"/>
    </row>
    <row r="62" ht="60.0" customHeight="1">
      <c r="A62" s="96" t="str">
        <f>HYPERLINK("http://purl.obolibrary.org/obo/OBI_0001246","http://purl.obolibrary.org/obo/OBI_0001246")</f>
        <v>http://purl.obolibrary.org/obo/OBI_0001246</v>
      </c>
      <c r="B62" s="97" t="s">
        <v>1504</v>
      </c>
      <c r="C62" s="97" t="s">
        <v>1505</v>
      </c>
      <c r="D62" s="97" t="s">
        <v>1402</v>
      </c>
      <c r="E62" s="97" t="s">
        <v>22</v>
      </c>
      <c r="F62" s="97" t="s">
        <v>1506</v>
      </c>
      <c r="G62" s="97" t="s">
        <v>1507</v>
      </c>
      <c r="H62" s="97"/>
      <c r="I62" s="97"/>
      <c r="J62" s="97"/>
      <c r="K62" s="97"/>
      <c r="L62" s="97" t="s">
        <v>1507</v>
      </c>
      <c r="M62" s="97"/>
      <c r="N62" s="97"/>
    </row>
    <row r="63" ht="72.0" customHeight="1">
      <c r="A63" s="96" t="str">
        <f>HYPERLINK("http://purl.obolibrary.org/obo/OBI_0001251","http://purl.obolibrary.org/obo/OBI_0001251")</f>
        <v>http://purl.obolibrary.org/obo/OBI_0001251</v>
      </c>
      <c r="B63" s="97" t="s">
        <v>1508</v>
      </c>
      <c r="C63" s="97" t="s">
        <v>1509</v>
      </c>
      <c r="D63" s="97" t="s">
        <v>1402</v>
      </c>
      <c r="E63" s="97" t="s">
        <v>22</v>
      </c>
      <c r="F63" s="97" t="s">
        <v>1411</v>
      </c>
      <c r="G63" s="97" t="s">
        <v>1510</v>
      </c>
      <c r="H63" s="97"/>
      <c r="I63" s="97"/>
      <c r="J63" s="97" t="s">
        <v>1510</v>
      </c>
      <c r="K63" s="97"/>
      <c r="L63" s="97"/>
      <c r="M63" s="97"/>
      <c r="N63" s="97"/>
    </row>
    <row r="64" ht="48.0" customHeight="1">
      <c r="A64" s="96" t="str">
        <f>HYPERLINK("http://purl.obolibrary.org/obo/OBI_0001253","http://purl.obolibrary.org/obo/OBI_0001253")</f>
        <v>http://purl.obolibrary.org/obo/OBI_0001253</v>
      </c>
      <c r="B64" s="97" t="s">
        <v>1480</v>
      </c>
      <c r="C64" s="97" t="s">
        <v>1511</v>
      </c>
      <c r="D64" s="97" t="s">
        <v>1402</v>
      </c>
      <c r="E64" s="97" t="s">
        <v>22</v>
      </c>
      <c r="F64" s="97" t="s">
        <v>1411</v>
      </c>
      <c r="G64" s="97" t="s">
        <v>1512</v>
      </c>
      <c r="H64" s="97"/>
      <c r="I64" s="97"/>
      <c r="J64" s="97" t="s">
        <v>1512</v>
      </c>
      <c r="K64" s="97"/>
      <c r="L64" s="97"/>
      <c r="M64" s="97"/>
      <c r="N64" s="97"/>
    </row>
    <row r="65" ht="48.0" customHeight="1">
      <c r="A65" s="96" t="str">
        <f>HYPERLINK("http://purl.obolibrary.org/obo/OBI_0001255","http://purl.obolibrary.org/obo/OBI_0001255")</f>
        <v>http://purl.obolibrary.org/obo/OBI_0001255</v>
      </c>
      <c r="B65" s="97" t="s">
        <v>1513</v>
      </c>
      <c r="C65" s="97" t="s">
        <v>1514</v>
      </c>
      <c r="D65" s="97" t="s">
        <v>1402</v>
      </c>
      <c r="E65" s="97" t="s">
        <v>22</v>
      </c>
      <c r="F65" s="97" t="s">
        <v>1462</v>
      </c>
      <c r="G65" s="97" t="s">
        <v>1515</v>
      </c>
      <c r="H65" s="97"/>
      <c r="I65" s="97"/>
      <c r="J65" s="97"/>
      <c r="K65" s="97"/>
      <c r="L65" s="97" t="s">
        <v>1515</v>
      </c>
      <c r="M65" s="97"/>
      <c r="N65" s="97"/>
    </row>
    <row r="66" ht="48.0" customHeight="1">
      <c r="A66" s="96" t="str">
        <f>HYPERLINK("http://purl.obolibrary.org/obo/OBI_0001260","http://purl.obolibrary.org/obo/OBI_0001260")</f>
        <v>http://purl.obolibrary.org/obo/OBI_0001260</v>
      </c>
      <c r="B66" s="97" t="s">
        <v>1516</v>
      </c>
      <c r="C66" s="97" t="s">
        <v>1517</v>
      </c>
      <c r="D66" s="97" t="s">
        <v>1402</v>
      </c>
      <c r="E66" s="97" t="s">
        <v>22</v>
      </c>
      <c r="F66" s="97" t="s">
        <v>1518</v>
      </c>
      <c r="G66" s="97" t="s">
        <v>1519</v>
      </c>
      <c r="H66" s="97"/>
      <c r="I66" s="97"/>
      <c r="J66" s="97"/>
      <c r="K66" s="97"/>
      <c r="L66" s="97" t="s">
        <v>1519</v>
      </c>
      <c r="M66" s="97"/>
      <c r="N66" s="97"/>
    </row>
    <row r="67" ht="48.0" customHeight="1">
      <c r="A67" s="96" t="str">
        <f>HYPERLINK("http://purl.obolibrary.org/obo/OBI_0001261","http://purl.obolibrary.org/obo/OBI_0001261")</f>
        <v>http://purl.obolibrary.org/obo/OBI_0001261</v>
      </c>
      <c r="B67" s="97" t="s">
        <v>1520</v>
      </c>
      <c r="C67" s="97" t="s">
        <v>1521</v>
      </c>
      <c r="D67" s="97" t="s">
        <v>1402</v>
      </c>
      <c r="E67" s="97" t="s">
        <v>22</v>
      </c>
      <c r="F67" s="97" t="s">
        <v>1522</v>
      </c>
      <c r="G67" s="97" t="s">
        <v>1523</v>
      </c>
      <c r="H67" s="97"/>
      <c r="I67" s="97"/>
      <c r="J67" s="97"/>
      <c r="K67" s="97"/>
      <c r="L67" s="97" t="s">
        <v>1523</v>
      </c>
      <c r="M67" s="97"/>
      <c r="N67" s="97"/>
    </row>
    <row r="68" ht="36.0" customHeight="1">
      <c r="A68" s="96" t="str">
        <f>HYPERLINK("http://purl.obolibrary.org/obo/OBI_0001263","http://purl.obolibrary.org/obo/OBI_0001263")</f>
        <v>http://purl.obolibrary.org/obo/OBI_0001263</v>
      </c>
      <c r="B68" s="97" t="s">
        <v>1524</v>
      </c>
      <c r="C68" s="97" t="s">
        <v>1525</v>
      </c>
      <c r="D68" s="97" t="s">
        <v>1402</v>
      </c>
      <c r="E68" s="97" t="s">
        <v>22</v>
      </c>
      <c r="F68" s="97" t="s">
        <v>1457</v>
      </c>
      <c r="G68" s="97" t="s">
        <v>1526</v>
      </c>
      <c r="H68" s="97"/>
      <c r="I68" s="97"/>
      <c r="J68" s="97" t="s">
        <v>1526</v>
      </c>
      <c r="K68" s="97"/>
      <c r="L68" s="97"/>
      <c r="M68" s="97"/>
      <c r="N68" s="97"/>
    </row>
    <row r="69" ht="48.0" customHeight="1">
      <c r="A69" s="96" t="str">
        <f>HYPERLINK("http://purl.obolibrary.org/obo/OBI_0001264","http://purl.obolibrary.org/obo/OBI_0001264")</f>
        <v>http://purl.obolibrary.org/obo/OBI_0001264</v>
      </c>
      <c r="B69" s="97" t="s">
        <v>1403</v>
      </c>
      <c r="C69" s="97" t="s">
        <v>1527</v>
      </c>
      <c r="D69" s="97" t="s">
        <v>1402</v>
      </c>
      <c r="E69" s="97" t="s">
        <v>22</v>
      </c>
      <c r="F69" s="97" t="s">
        <v>1411</v>
      </c>
      <c r="G69" s="97" t="s">
        <v>1528</v>
      </c>
      <c r="H69" s="97"/>
      <c r="I69" s="97"/>
      <c r="J69" s="97" t="s">
        <v>1528</v>
      </c>
      <c r="K69" s="97"/>
      <c r="L69" s="97"/>
      <c r="M69" s="97"/>
      <c r="N69" s="97"/>
    </row>
    <row r="70" ht="48.0" customHeight="1">
      <c r="A70" s="96" t="str">
        <f>HYPERLINK("http://purl.obolibrary.org/obo/OBI_0001268","http://purl.obolibrary.org/obo/OBI_0001268")</f>
        <v>http://purl.obolibrary.org/obo/OBI_0001268</v>
      </c>
      <c r="B70" s="97" t="s">
        <v>1529</v>
      </c>
      <c r="C70" s="97" t="s">
        <v>1530</v>
      </c>
      <c r="D70" s="97" t="s">
        <v>1402</v>
      </c>
      <c r="E70" s="97" t="s">
        <v>22</v>
      </c>
      <c r="F70" s="97" t="s">
        <v>1531</v>
      </c>
      <c r="G70" s="97" t="s">
        <v>1532</v>
      </c>
      <c r="H70" s="97"/>
      <c r="I70" s="97"/>
      <c r="J70" s="97"/>
      <c r="K70" s="97"/>
      <c r="L70" s="97" t="s">
        <v>1532</v>
      </c>
      <c r="M70" s="97"/>
      <c r="N70" s="97"/>
    </row>
    <row r="71" ht="132.0" customHeight="1">
      <c r="A71" s="96" t="str">
        <f>HYPERLINK("http://purl.obolibrary.org/obo/OBI_0001269","http://purl.obolibrary.org/obo/OBI_0001269")</f>
        <v>http://purl.obolibrary.org/obo/OBI_0001269</v>
      </c>
      <c r="B71" s="97" t="s">
        <v>1533</v>
      </c>
      <c r="C71" s="97" t="s">
        <v>1534</v>
      </c>
      <c r="D71" s="97" t="s">
        <v>1402</v>
      </c>
      <c r="E71" s="97" t="s">
        <v>22</v>
      </c>
      <c r="F71" s="97" t="s">
        <v>1535</v>
      </c>
      <c r="G71" s="97" t="s">
        <v>1536</v>
      </c>
      <c r="H71" s="97"/>
      <c r="I71" s="97"/>
      <c r="J71" s="97" t="s">
        <v>1536</v>
      </c>
      <c r="K71" s="97"/>
      <c r="L71" s="97"/>
      <c r="M71" s="97"/>
      <c r="N71" s="97"/>
    </row>
    <row r="72" ht="36.0" customHeight="1">
      <c r="A72" s="96" t="str">
        <f>HYPERLINK("http://purl.obolibrary.org/obo/OBI_0001270","http://purl.obolibrary.org/obo/OBI_0001270")</f>
        <v>http://purl.obolibrary.org/obo/OBI_0001270</v>
      </c>
      <c r="B72" s="97" t="s">
        <v>1537</v>
      </c>
      <c r="C72" s="97" t="s">
        <v>1538</v>
      </c>
      <c r="D72" s="97" t="s">
        <v>1402</v>
      </c>
      <c r="E72" s="97" t="s">
        <v>22</v>
      </c>
      <c r="F72" s="97" t="s">
        <v>1403</v>
      </c>
      <c r="G72" s="97" t="s">
        <v>1539</v>
      </c>
      <c r="H72" s="97"/>
      <c r="I72" s="97"/>
      <c r="J72" s="97"/>
      <c r="K72" s="97"/>
      <c r="L72" s="97" t="s">
        <v>1539</v>
      </c>
      <c r="M72" s="97"/>
      <c r="N72" s="97"/>
    </row>
    <row r="73" ht="60.0" customHeight="1">
      <c r="A73" s="96" t="str">
        <f>HYPERLINK("http://purl.obolibrary.org/obo/OBI_0001272","http://purl.obolibrary.org/obo/OBI_0001272")</f>
        <v>http://purl.obolibrary.org/obo/OBI_0001272</v>
      </c>
      <c r="B73" s="97" t="s">
        <v>1540</v>
      </c>
      <c r="C73" s="97" t="s">
        <v>1541</v>
      </c>
      <c r="D73" s="97" t="s">
        <v>1402</v>
      </c>
      <c r="E73" s="97" t="s">
        <v>22</v>
      </c>
      <c r="F73" s="97" t="s">
        <v>1506</v>
      </c>
      <c r="G73" s="97" t="s">
        <v>1542</v>
      </c>
      <c r="H73" s="97"/>
      <c r="I73" s="97"/>
      <c r="J73" s="97"/>
      <c r="K73" s="97"/>
      <c r="L73" s="97" t="s">
        <v>1542</v>
      </c>
      <c r="M73" s="97"/>
      <c r="N73" s="97"/>
    </row>
    <row r="74" ht="48.0" customHeight="1">
      <c r="A74" s="96" t="str">
        <f>HYPERLINK("http://purl.obolibrary.org/obo/OBI_0001273","http://purl.obolibrary.org/obo/OBI_0001273")</f>
        <v>http://purl.obolibrary.org/obo/OBI_0001273</v>
      </c>
      <c r="B74" s="97" t="s">
        <v>1543</v>
      </c>
      <c r="C74" s="97" t="s">
        <v>1544</v>
      </c>
      <c r="D74" s="97" t="s">
        <v>1402</v>
      </c>
      <c r="E74" s="97" t="s">
        <v>22</v>
      </c>
      <c r="F74" s="97" t="s">
        <v>1462</v>
      </c>
      <c r="G74" s="97" t="s">
        <v>1545</v>
      </c>
      <c r="H74" s="97"/>
      <c r="I74" s="97"/>
      <c r="J74" s="97"/>
      <c r="K74" s="97"/>
      <c r="L74" s="97" t="s">
        <v>1545</v>
      </c>
      <c r="M74" s="97"/>
      <c r="N74" s="97"/>
    </row>
    <row r="75" ht="36.0" customHeight="1">
      <c r="A75" s="96" t="str">
        <f>HYPERLINK("http://purl.obolibrary.org/obo/OBI_0001276","http://purl.obolibrary.org/obo/OBI_0001276")</f>
        <v>http://purl.obolibrary.org/obo/OBI_0001276</v>
      </c>
      <c r="B75" s="97" t="s">
        <v>1546</v>
      </c>
      <c r="C75" s="97" t="s">
        <v>1547</v>
      </c>
      <c r="D75" s="97" t="s">
        <v>1402</v>
      </c>
      <c r="E75" s="97" t="s">
        <v>22</v>
      </c>
      <c r="F75" s="97" t="s">
        <v>1411</v>
      </c>
      <c r="G75" s="97" t="s">
        <v>1548</v>
      </c>
      <c r="H75" s="97"/>
      <c r="I75" s="97"/>
      <c r="J75" s="97" t="s">
        <v>1548</v>
      </c>
      <c r="K75" s="97"/>
      <c r="L75" s="97"/>
      <c r="M75" s="97"/>
      <c r="N75" s="97"/>
    </row>
    <row r="76" ht="72.0" customHeight="1">
      <c r="A76" s="96" t="str">
        <f>HYPERLINK("http://purl.obolibrary.org/obo/OBI_0001277","http://purl.obolibrary.org/obo/OBI_0001277")</f>
        <v>http://purl.obolibrary.org/obo/OBI_0001277</v>
      </c>
      <c r="B76" s="97" t="s">
        <v>1549</v>
      </c>
      <c r="C76" s="97" t="s">
        <v>1550</v>
      </c>
      <c r="D76" s="97" t="s">
        <v>1402</v>
      </c>
      <c r="E76" s="97" t="s">
        <v>22</v>
      </c>
      <c r="F76" s="97" t="s">
        <v>1432</v>
      </c>
      <c r="G76" s="97" t="s">
        <v>1551</v>
      </c>
      <c r="H76" s="97"/>
      <c r="I76" s="97"/>
      <c r="J76" s="97"/>
      <c r="K76" s="97"/>
      <c r="L76" s="97" t="s">
        <v>1551</v>
      </c>
      <c r="M76" s="97"/>
      <c r="N76" s="97"/>
    </row>
    <row r="77" ht="48.0" customHeight="1">
      <c r="A77" s="96" t="str">
        <f>HYPERLINK("http://purl.obolibrary.org/obo/OBI_0001279","http://purl.obolibrary.org/obo/OBI_0001279")</f>
        <v>http://purl.obolibrary.org/obo/OBI_0001279</v>
      </c>
      <c r="B77" s="97" t="s">
        <v>1552</v>
      </c>
      <c r="C77" s="97" t="s">
        <v>1553</v>
      </c>
      <c r="D77" s="97" t="s">
        <v>1402</v>
      </c>
      <c r="E77" s="97" t="s">
        <v>22</v>
      </c>
      <c r="F77" s="97" t="s">
        <v>1434</v>
      </c>
      <c r="G77" s="97" t="s">
        <v>1554</v>
      </c>
      <c r="H77" s="97"/>
      <c r="I77" s="97"/>
      <c r="J77" s="97"/>
      <c r="K77" s="97"/>
      <c r="L77" s="97" t="s">
        <v>1554</v>
      </c>
      <c r="M77" s="97"/>
      <c r="N77" s="97"/>
    </row>
    <row r="78" ht="72.0" customHeight="1">
      <c r="A78" s="96" t="str">
        <f>HYPERLINK("http://purl.obolibrary.org/obo/OBI_0001280","http://purl.obolibrary.org/obo/OBI_0001280")</f>
        <v>http://purl.obolibrary.org/obo/OBI_0001280</v>
      </c>
      <c r="B78" s="97" t="s">
        <v>1555</v>
      </c>
      <c r="C78" s="97" t="s">
        <v>1556</v>
      </c>
      <c r="D78" s="97" t="s">
        <v>1402</v>
      </c>
      <c r="E78" s="97" t="s">
        <v>22</v>
      </c>
      <c r="F78" s="97" t="s">
        <v>1411</v>
      </c>
      <c r="G78" s="97" t="s">
        <v>1557</v>
      </c>
      <c r="H78" s="97"/>
      <c r="I78" s="97"/>
      <c r="J78" s="97" t="s">
        <v>1557</v>
      </c>
      <c r="K78" s="97"/>
      <c r="L78" s="97"/>
      <c r="M78" s="97"/>
      <c r="N78" s="97"/>
    </row>
    <row r="79" ht="96.0" customHeight="1">
      <c r="A79" s="96" t="str">
        <f>HYPERLINK("http://purl.obolibrary.org/obo/OBI_0001281","http://purl.obolibrary.org/obo/OBI_0001281")</f>
        <v>http://purl.obolibrary.org/obo/OBI_0001281</v>
      </c>
      <c r="B79" s="97" t="s">
        <v>1558</v>
      </c>
      <c r="C79" s="97" t="s">
        <v>1559</v>
      </c>
      <c r="D79" s="97" t="s">
        <v>1402</v>
      </c>
      <c r="E79" s="97" t="s">
        <v>22</v>
      </c>
      <c r="F79" s="97" t="s">
        <v>1407</v>
      </c>
      <c r="G79" s="97" t="s">
        <v>1560</v>
      </c>
      <c r="H79" s="97"/>
      <c r="I79" s="97"/>
      <c r="J79" s="97"/>
      <c r="K79" s="97"/>
      <c r="L79" s="97" t="s">
        <v>1560</v>
      </c>
      <c r="M79" s="97"/>
      <c r="N79" s="97"/>
    </row>
    <row r="80" ht="108.0" customHeight="1">
      <c r="A80" s="96" t="str">
        <f>HYPERLINK("http://purl.obolibrary.org/obo/OBI_0001283","http://purl.obolibrary.org/obo/OBI_0001283")</f>
        <v>http://purl.obolibrary.org/obo/OBI_0001283</v>
      </c>
      <c r="B80" s="97" t="s">
        <v>1561</v>
      </c>
      <c r="C80" s="97" t="s">
        <v>1562</v>
      </c>
      <c r="D80" s="97" t="s">
        <v>1402</v>
      </c>
      <c r="E80" s="97" t="s">
        <v>22</v>
      </c>
      <c r="F80" s="97" t="s">
        <v>1563</v>
      </c>
      <c r="G80" s="97" t="s">
        <v>1564</v>
      </c>
      <c r="H80" s="97"/>
      <c r="I80" s="97"/>
      <c r="J80" s="97"/>
      <c r="K80" s="97"/>
      <c r="L80" s="97" t="s">
        <v>1564</v>
      </c>
      <c r="M80" s="97"/>
      <c r="N80" s="97"/>
    </row>
    <row r="81" ht="36.0" customHeight="1">
      <c r="A81" s="96" t="str">
        <f>HYPERLINK("http://purl.obolibrary.org/obo/OBI_0001284","http://purl.obolibrary.org/obo/OBI_0001284")</f>
        <v>http://purl.obolibrary.org/obo/OBI_0001284</v>
      </c>
      <c r="B81" s="97" t="s">
        <v>1565</v>
      </c>
      <c r="C81" s="97" t="s">
        <v>1566</v>
      </c>
      <c r="D81" s="97" t="s">
        <v>1402</v>
      </c>
      <c r="E81" s="97" t="s">
        <v>22</v>
      </c>
      <c r="F81" s="97" t="s">
        <v>1531</v>
      </c>
      <c r="G81" s="97" t="s">
        <v>1567</v>
      </c>
      <c r="H81" s="97"/>
      <c r="I81" s="97"/>
      <c r="J81" s="97"/>
      <c r="K81" s="97"/>
      <c r="L81" s="97" t="s">
        <v>1567</v>
      </c>
      <c r="M81" s="97"/>
      <c r="N81" s="97"/>
    </row>
    <row r="82" ht="60.0" customHeight="1">
      <c r="A82" s="96" t="str">
        <f>HYPERLINK("http://purl.obolibrary.org/obo/OBI_0001288","http://purl.obolibrary.org/obo/OBI_0001288")</f>
        <v>http://purl.obolibrary.org/obo/OBI_0001288</v>
      </c>
      <c r="B82" s="97" t="s">
        <v>1568</v>
      </c>
      <c r="C82" s="97" t="s">
        <v>1569</v>
      </c>
      <c r="D82" s="97" t="s">
        <v>1402</v>
      </c>
      <c r="E82" s="97" t="s">
        <v>22</v>
      </c>
      <c r="F82" s="97" t="s">
        <v>1570</v>
      </c>
      <c r="G82" s="97" t="s">
        <v>1571</v>
      </c>
      <c r="H82" s="97"/>
      <c r="I82" s="97"/>
      <c r="J82" s="97"/>
      <c r="K82" s="97"/>
      <c r="L82" s="97" t="s">
        <v>1571</v>
      </c>
      <c r="M82" s="97"/>
      <c r="N82" s="97"/>
    </row>
    <row r="83" ht="132.0" customHeight="1">
      <c r="A83" s="96" t="str">
        <f>HYPERLINK("http://purl.obolibrary.org/obo/OBI_0001289","http://purl.obolibrary.org/obo/OBI_0001289")</f>
        <v>http://purl.obolibrary.org/obo/OBI_0001289</v>
      </c>
      <c r="B83" s="97" t="s">
        <v>1572</v>
      </c>
      <c r="C83" s="97" t="s">
        <v>1573</v>
      </c>
      <c r="D83" s="97" t="s">
        <v>1402</v>
      </c>
      <c r="E83" s="97" t="s">
        <v>22</v>
      </c>
      <c r="F83" s="97" t="s">
        <v>1462</v>
      </c>
      <c r="G83" s="97" t="s">
        <v>1574</v>
      </c>
      <c r="H83" s="97"/>
      <c r="I83" s="97"/>
      <c r="J83" s="97"/>
      <c r="K83" s="97"/>
      <c r="L83" s="97" t="s">
        <v>1574</v>
      </c>
      <c r="M83" s="97"/>
      <c r="N83" s="97"/>
    </row>
    <row r="84" ht="108.0" customHeight="1">
      <c r="A84" s="96" t="str">
        <f>HYPERLINK("http://purl.obolibrary.org/obo/OBI_0001291","http://purl.obolibrary.org/obo/OBI_0001291")</f>
        <v>http://purl.obolibrary.org/obo/OBI_0001291</v>
      </c>
      <c r="B84" s="97" t="s">
        <v>1575</v>
      </c>
      <c r="C84" s="97" t="s">
        <v>1576</v>
      </c>
      <c r="D84" s="97" t="s">
        <v>1402</v>
      </c>
      <c r="E84" s="97" t="s">
        <v>22</v>
      </c>
      <c r="F84" s="97" t="s">
        <v>1577</v>
      </c>
      <c r="G84" s="97" t="s">
        <v>1578</v>
      </c>
      <c r="H84" s="97"/>
      <c r="I84" s="97"/>
      <c r="J84" s="97"/>
      <c r="K84" s="97"/>
      <c r="L84" s="97" t="s">
        <v>1578</v>
      </c>
      <c r="M84" s="97"/>
      <c r="N84" s="97"/>
    </row>
    <row r="85" ht="60.0" customHeight="1">
      <c r="A85" s="96" t="str">
        <f>HYPERLINK("http://purl.obolibrary.org/obo/OBI_0001292","http://purl.obolibrary.org/obo/OBI_0001292")</f>
        <v>http://purl.obolibrary.org/obo/OBI_0001292</v>
      </c>
      <c r="B85" s="97" t="s">
        <v>1563</v>
      </c>
      <c r="C85" s="97" t="s">
        <v>1579</v>
      </c>
      <c r="D85" s="97" t="s">
        <v>1402</v>
      </c>
      <c r="E85" s="97" t="s">
        <v>22</v>
      </c>
      <c r="F85" s="97" t="s">
        <v>1411</v>
      </c>
      <c r="G85" s="97" t="s">
        <v>1580</v>
      </c>
      <c r="H85" s="97"/>
      <c r="I85" s="97"/>
      <c r="J85" s="97" t="s">
        <v>1580</v>
      </c>
      <c r="K85" s="97"/>
      <c r="L85" s="97"/>
      <c r="M85" s="97"/>
      <c r="N85" s="97"/>
    </row>
    <row r="86" ht="84.0" customHeight="1">
      <c r="A86" s="96" t="str">
        <f>HYPERLINK("http://purl.obolibrary.org/obo/OBI_0001295","http://purl.obolibrary.org/obo/OBI_0001295")</f>
        <v>http://purl.obolibrary.org/obo/OBI_0001295</v>
      </c>
      <c r="B86" s="97" t="s">
        <v>1577</v>
      </c>
      <c r="C86" s="97" t="s">
        <v>1581</v>
      </c>
      <c r="D86" s="97" t="s">
        <v>1402</v>
      </c>
      <c r="E86" s="97" t="s">
        <v>22</v>
      </c>
      <c r="F86" s="97" t="s">
        <v>1411</v>
      </c>
      <c r="G86" s="97" t="s">
        <v>1582</v>
      </c>
      <c r="H86" s="97"/>
      <c r="I86" s="97"/>
      <c r="J86" s="97" t="s">
        <v>1582</v>
      </c>
      <c r="K86" s="97"/>
      <c r="L86" s="97"/>
      <c r="M86" s="97"/>
      <c r="N86" s="97"/>
    </row>
    <row r="87" ht="48.0" customHeight="1">
      <c r="A87" s="96" t="str">
        <f>HYPERLINK("http://purl.obolibrary.org/obo/OBI_0001296","http://purl.obolibrary.org/obo/OBI_0001296")</f>
        <v>http://purl.obolibrary.org/obo/OBI_0001296</v>
      </c>
      <c r="B87" s="97" t="s">
        <v>1583</v>
      </c>
      <c r="C87" s="97" t="s">
        <v>1584</v>
      </c>
      <c r="D87" s="97" t="s">
        <v>1402</v>
      </c>
      <c r="E87" s="97" t="s">
        <v>22</v>
      </c>
      <c r="F87" s="97" t="s">
        <v>1577</v>
      </c>
      <c r="G87" s="97" t="s">
        <v>1585</v>
      </c>
      <c r="H87" s="97"/>
      <c r="I87" s="97"/>
      <c r="J87" s="97"/>
      <c r="K87" s="97"/>
      <c r="L87" s="97" t="s">
        <v>1585</v>
      </c>
      <c r="M87" s="97"/>
      <c r="N87" s="97"/>
    </row>
    <row r="88" ht="36.0" customHeight="1">
      <c r="A88" s="96" t="str">
        <f>HYPERLINK("http://purl.obolibrary.org/obo/OBI_0001297","http://purl.obolibrary.org/obo/OBI_0001297")</f>
        <v>http://purl.obolibrary.org/obo/OBI_0001297</v>
      </c>
      <c r="B88" s="97" t="s">
        <v>1586</v>
      </c>
      <c r="C88" s="97" t="s">
        <v>1587</v>
      </c>
      <c r="D88" s="97" t="s">
        <v>4</v>
      </c>
      <c r="E88" s="97" t="s">
        <v>22</v>
      </c>
      <c r="F88" s="97" t="s">
        <v>1420</v>
      </c>
      <c r="G88" s="97" t="s">
        <v>1588</v>
      </c>
      <c r="H88" s="97"/>
      <c r="I88" s="97"/>
      <c r="J88" s="97"/>
      <c r="K88" s="97"/>
      <c r="L88" s="97" t="s">
        <v>1588</v>
      </c>
      <c r="M88" s="97"/>
      <c r="N88" s="97"/>
    </row>
    <row r="89" ht="96.0" customHeight="1">
      <c r="A89" s="96" t="str">
        <f>HYPERLINK("http://purl.obolibrary.org/obo/OBI_0001298","http://purl.obolibrary.org/obo/OBI_0001298")</f>
        <v>http://purl.obolibrary.org/obo/OBI_0001298</v>
      </c>
      <c r="B89" s="97" t="s">
        <v>1589</v>
      </c>
      <c r="C89" s="97" t="s">
        <v>1590</v>
      </c>
      <c r="D89" s="97" t="s">
        <v>1402</v>
      </c>
      <c r="E89" s="97" t="s">
        <v>22</v>
      </c>
      <c r="F89" s="97" t="s">
        <v>1475</v>
      </c>
      <c r="G89" s="97" t="s">
        <v>1591</v>
      </c>
      <c r="H89" s="97"/>
      <c r="I89" s="97"/>
      <c r="J89" s="97"/>
      <c r="K89" s="97"/>
      <c r="L89" s="97" t="s">
        <v>1591</v>
      </c>
      <c r="M89" s="97"/>
      <c r="N89" s="97"/>
    </row>
    <row r="90" ht="108.0" customHeight="1">
      <c r="A90" s="96" t="str">
        <f>HYPERLINK("http://purl.obolibrary.org/obo/OBI_0001299","http://purl.obolibrary.org/obo/OBI_0001299")</f>
        <v>http://purl.obolibrary.org/obo/OBI_0001299</v>
      </c>
      <c r="B90" s="97" t="s">
        <v>1592</v>
      </c>
      <c r="C90" s="97" t="s">
        <v>1593</v>
      </c>
      <c r="D90" s="97" t="s">
        <v>1402</v>
      </c>
      <c r="E90" s="97" t="s">
        <v>22</v>
      </c>
      <c r="F90" s="97" t="s">
        <v>1462</v>
      </c>
      <c r="G90" s="97" t="s">
        <v>1594</v>
      </c>
      <c r="H90" s="97"/>
      <c r="I90" s="97"/>
      <c r="J90" s="97"/>
      <c r="K90" s="97"/>
      <c r="L90" s="97" t="s">
        <v>1594</v>
      </c>
      <c r="M90" s="97"/>
      <c r="N90" s="97"/>
    </row>
    <row r="91" ht="72.0" customHeight="1">
      <c r="A91" s="96" t="str">
        <f>HYPERLINK("http://purl.obolibrary.org/obo/OBI_0001300","http://purl.obolibrary.org/obo/OBI_0001300")</f>
        <v>http://purl.obolibrary.org/obo/OBI_0001300</v>
      </c>
      <c r="B91" s="97" t="s">
        <v>1595</v>
      </c>
      <c r="C91" s="97" t="s">
        <v>1596</v>
      </c>
      <c r="D91" s="97" t="s">
        <v>1402</v>
      </c>
      <c r="E91" s="97" t="s">
        <v>22</v>
      </c>
      <c r="F91" s="97" t="s">
        <v>1432</v>
      </c>
      <c r="G91" s="97" t="s">
        <v>1597</v>
      </c>
      <c r="H91" s="97"/>
      <c r="I91" s="97"/>
      <c r="J91" s="97"/>
      <c r="K91" s="97"/>
      <c r="L91" s="97" t="s">
        <v>1597</v>
      </c>
      <c r="M91" s="97"/>
      <c r="N91" s="97"/>
    </row>
    <row r="92" ht="108.0" customHeight="1">
      <c r="A92" s="96" t="str">
        <f>HYPERLINK("http://purl.obolibrary.org/obo/OBI_0001301","http://purl.obolibrary.org/obo/OBI_0001301")</f>
        <v>http://purl.obolibrary.org/obo/OBI_0001301</v>
      </c>
      <c r="B92" s="97" t="s">
        <v>1598</v>
      </c>
      <c r="C92" s="97" t="s">
        <v>1599</v>
      </c>
      <c r="D92" s="97" t="s">
        <v>1402</v>
      </c>
      <c r="E92" s="97" t="s">
        <v>22</v>
      </c>
      <c r="F92" s="97" t="s">
        <v>1555</v>
      </c>
      <c r="G92" s="97" t="s">
        <v>1600</v>
      </c>
      <c r="H92" s="97"/>
      <c r="I92" s="97"/>
      <c r="J92" s="97"/>
      <c r="K92" s="97"/>
      <c r="L92" s="97" t="s">
        <v>1600</v>
      </c>
      <c r="M92" s="97"/>
      <c r="N92" s="97"/>
    </row>
    <row r="93" ht="108.0" customHeight="1">
      <c r="A93" s="96" t="str">
        <f>HYPERLINK("http://purl.obolibrary.org/obo/OBI_0001302","http://purl.obolibrary.org/obo/OBI_0001302")</f>
        <v>http://purl.obolibrary.org/obo/OBI_0001302</v>
      </c>
      <c r="B93" s="97" t="s">
        <v>1601</v>
      </c>
      <c r="C93" s="97" t="s">
        <v>1602</v>
      </c>
      <c r="D93" s="97" t="s">
        <v>1402</v>
      </c>
      <c r="E93" s="97" t="s">
        <v>22</v>
      </c>
      <c r="F93" s="97" t="s">
        <v>1603</v>
      </c>
      <c r="G93" s="97" t="s">
        <v>1604</v>
      </c>
      <c r="H93" s="97"/>
      <c r="I93" s="97"/>
      <c r="J93" s="97"/>
      <c r="K93" s="97"/>
      <c r="L93" s="97" t="s">
        <v>1604</v>
      </c>
      <c r="M93" s="97"/>
      <c r="N93" s="97"/>
    </row>
    <row r="94" ht="60.0" customHeight="1">
      <c r="A94" s="96" t="str">
        <f>HYPERLINK("http://purl.obolibrary.org/obo/OBI_0001303","http://purl.obolibrary.org/obo/OBI_0001303")</f>
        <v>http://purl.obolibrary.org/obo/OBI_0001303</v>
      </c>
      <c r="B94" s="97" t="s">
        <v>1605</v>
      </c>
      <c r="C94" s="97" t="s">
        <v>1606</v>
      </c>
      <c r="D94" s="97" t="s">
        <v>1402</v>
      </c>
      <c r="E94" s="97" t="s">
        <v>22</v>
      </c>
      <c r="F94" s="97" t="s">
        <v>1418</v>
      </c>
      <c r="G94" s="97" t="s">
        <v>1607</v>
      </c>
      <c r="H94" s="97"/>
      <c r="I94" s="97"/>
      <c r="J94" s="97"/>
      <c r="K94" s="97"/>
      <c r="L94" s="97" t="s">
        <v>1607</v>
      </c>
      <c r="M94" s="97"/>
      <c r="N94" s="97"/>
    </row>
    <row r="95" ht="48.0" customHeight="1">
      <c r="A95" s="96" t="str">
        <f>HYPERLINK("http://purl.obolibrary.org/obo/OBI_0001308","http://purl.obolibrary.org/obo/OBI_0001308")</f>
        <v>http://purl.obolibrary.org/obo/OBI_0001308</v>
      </c>
      <c r="B95" s="97" t="s">
        <v>1407</v>
      </c>
      <c r="C95" s="97" t="s">
        <v>1608</v>
      </c>
      <c r="D95" s="97" t="s">
        <v>1402</v>
      </c>
      <c r="E95" s="97" t="s">
        <v>22</v>
      </c>
      <c r="F95" s="97" t="s">
        <v>1411</v>
      </c>
      <c r="G95" s="97" t="s">
        <v>1609</v>
      </c>
      <c r="H95" s="97"/>
      <c r="I95" s="97"/>
      <c r="J95" s="97" t="s">
        <v>1609</v>
      </c>
      <c r="K95" s="97"/>
      <c r="L95" s="97"/>
      <c r="M95" s="97"/>
      <c r="N95" s="97"/>
    </row>
    <row r="96" ht="48.0" customHeight="1">
      <c r="A96" s="96" t="str">
        <f>HYPERLINK("http://purl.obolibrary.org/obo/OBI_0001309","http://purl.obolibrary.org/obo/OBI_0001309")</f>
        <v>http://purl.obolibrary.org/obo/OBI_0001309</v>
      </c>
      <c r="B96" s="97" t="s">
        <v>1610</v>
      </c>
      <c r="C96" s="97" t="s">
        <v>1611</v>
      </c>
      <c r="D96" s="97" t="s">
        <v>1402</v>
      </c>
      <c r="E96" s="97" t="s">
        <v>22</v>
      </c>
      <c r="F96" s="97" t="s">
        <v>1508</v>
      </c>
      <c r="G96" s="97" t="s">
        <v>1612</v>
      </c>
      <c r="H96" s="97"/>
      <c r="I96" s="97"/>
      <c r="J96" s="97"/>
      <c r="K96" s="97"/>
      <c r="L96" s="97" t="s">
        <v>1612</v>
      </c>
      <c r="M96" s="97"/>
      <c r="N96" s="97"/>
    </row>
    <row r="97" ht="48.0" customHeight="1">
      <c r="A97" s="96" t="str">
        <f>HYPERLINK("http://purl.obolibrary.org/obo/OBI_0001311","http://purl.obolibrary.org/obo/OBI_0001311")</f>
        <v>http://purl.obolibrary.org/obo/OBI_0001311</v>
      </c>
      <c r="B97" s="97" t="s">
        <v>1613</v>
      </c>
      <c r="C97" s="97" t="s">
        <v>1614</v>
      </c>
      <c r="D97" s="97" t="s">
        <v>1402</v>
      </c>
      <c r="E97" s="97" t="s">
        <v>22</v>
      </c>
      <c r="F97" s="97" t="s">
        <v>1615</v>
      </c>
      <c r="G97" s="97" t="s">
        <v>1616</v>
      </c>
      <c r="H97" s="97"/>
      <c r="I97" s="97"/>
      <c r="J97" s="97" t="s">
        <v>1616</v>
      </c>
      <c r="K97" s="97"/>
      <c r="L97" s="97" t="s">
        <v>1616</v>
      </c>
      <c r="M97" s="97"/>
      <c r="N97" s="97"/>
    </row>
    <row r="98" ht="60.0" customHeight="1">
      <c r="A98" s="96" t="str">
        <f>HYPERLINK("http://purl.obolibrary.org/obo/OBI_0001315","http://purl.obolibrary.org/obo/OBI_0001315")</f>
        <v>http://purl.obolibrary.org/obo/OBI_0001315</v>
      </c>
      <c r="B98" s="97" t="s">
        <v>1617</v>
      </c>
      <c r="C98" s="97" t="s">
        <v>1618</v>
      </c>
      <c r="D98" s="97" t="s">
        <v>1402</v>
      </c>
      <c r="E98" s="97" t="s">
        <v>22</v>
      </c>
      <c r="F98" s="97" t="s">
        <v>1546</v>
      </c>
      <c r="G98" s="97" t="s">
        <v>1619</v>
      </c>
      <c r="H98" s="97"/>
      <c r="I98" s="97"/>
      <c r="J98" s="97"/>
      <c r="K98" s="97"/>
      <c r="L98" s="97" t="s">
        <v>1619</v>
      </c>
      <c r="M98" s="97"/>
      <c r="N98" s="97"/>
    </row>
    <row r="99" ht="72.0" customHeight="1">
      <c r="A99" s="96" t="str">
        <f>HYPERLINK("http://purl.obolibrary.org/obo/OBI_0001317","http://purl.obolibrary.org/obo/OBI_0001317")</f>
        <v>http://purl.obolibrary.org/obo/OBI_0001317</v>
      </c>
      <c r="B99" s="97" t="s">
        <v>1620</v>
      </c>
      <c r="C99" s="97" t="s">
        <v>1621</v>
      </c>
      <c r="D99" s="97" t="s">
        <v>1402</v>
      </c>
      <c r="E99" s="97" t="s">
        <v>22</v>
      </c>
      <c r="F99" s="97" t="s">
        <v>1622</v>
      </c>
      <c r="G99" s="97" t="s">
        <v>1623</v>
      </c>
      <c r="H99" s="97"/>
      <c r="I99" s="97"/>
      <c r="J99" s="97"/>
      <c r="K99" s="97"/>
      <c r="L99" s="97" t="s">
        <v>1623</v>
      </c>
      <c r="M99" s="97"/>
      <c r="N99" s="97"/>
    </row>
    <row r="100" ht="108.0" customHeight="1">
      <c r="A100" s="96" t="str">
        <f>HYPERLINK("http://purl.obolibrary.org/obo/OBI_0001319","http://purl.obolibrary.org/obo/OBI_0001319")</f>
        <v>http://purl.obolibrary.org/obo/OBI_0001319</v>
      </c>
      <c r="B100" s="97" t="s">
        <v>1624</v>
      </c>
      <c r="C100" s="97" t="s">
        <v>1625</v>
      </c>
      <c r="D100" s="97" t="s">
        <v>1402</v>
      </c>
      <c r="E100" s="97" t="s">
        <v>22</v>
      </c>
      <c r="F100" s="97" t="s">
        <v>1626</v>
      </c>
      <c r="G100" s="97" t="s">
        <v>1627</v>
      </c>
      <c r="H100" s="97"/>
      <c r="I100" s="97"/>
      <c r="J100" s="97"/>
      <c r="K100" s="97"/>
      <c r="L100" s="97" t="s">
        <v>1627</v>
      </c>
      <c r="M100" s="97"/>
      <c r="N100" s="97"/>
    </row>
    <row r="101" ht="156.0" customHeight="1">
      <c r="A101" s="96" t="str">
        <f>HYPERLINK("http://purl.obolibrary.org/obo/OBI_0001322","http://purl.obolibrary.org/obo/OBI_0001322")</f>
        <v>http://purl.obolibrary.org/obo/OBI_0001322</v>
      </c>
      <c r="B101" s="97" t="s">
        <v>1628</v>
      </c>
      <c r="C101" s="97" t="s">
        <v>1629</v>
      </c>
      <c r="D101" s="97" t="s">
        <v>1402</v>
      </c>
      <c r="E101" s="97" t="s">
        <v>22</v>
      </c>
      <c r="F101" s="97" t="s">
        <v>1630</v>
      </c>
      <c r="G101" s="97" t="s">
        <v>1631</v>
      </c>
      <c r="H101" s="97"/>
      <c r="I101" s="97"/>
      <c r="J101" s="97"/>
      <c r="K101" s="97"/>
      <c r="L101" s="97" t="s">
        <v>1631</v>
      </c>
      <c r="M101" s="97"/>
      <c r="N101" s="97"/>
    </row>
    <row r="102" ht="60.0" customHeight="1">
      <c r="A102" s="96" t="str">
        <f>HYPERLINK("http://purl.obolibrary.org/obo/OBI_0001324","http://purl.obolibrary.org/obo/OBI_0001324")</f>
        <v>http://purl.obolibrary.org/obo/OBI_0001324</v>
      </c>
      <c r="B102" s="97" t="s">
        <v>1632</v>
      </c>
      <c r="C102" s="97" t="s">
        <v>1633</v>
      </c>
      <c r="D102" s="97" t="s">
        <v>1402</v>
      </c>
      <c r="E102" s="97" t="s">
        <v>22</v>
      </c>
      <c r="F102" s="97" t="s">
        <v>1634</v>
      </c>
      <c r="G102" s="97" t="s">
        <v>1635</v>
      </c>
      <c r="H102" s="97"/>
      <c r="I102" s="97"/>
      <c r="J102" s="97" t="s">
        <v>1635</v>
      </c>
      <c r="K102" s="97"/>
      <c r="L102" s="97" t="s">
        <v>1635</v>
      </c>
      <c r="M102" s="97"/>
      <c r="N102" s="97"/>
    </row>
    <row r="103" ht="60.0" customHeight="1">
      <c r="A103" s="96" t="str">
        <f>HYPERLINK("http://purl.obolibrary.org/obo/OBI_0001325","http://purl.obolibrary.org/obo/OBI_0001325")</f>
        <v>http://purl.obolibrary.org/obo/OBI_0001325</v>
      </c>
      <c r="B103" s="97" t="s">
        <v>1636</v>
      </c>
      <c r="C103" s="97" t="s">
        <v>1637</v>
      </c>
      <c r="D103" s="97" t="s">
        <v>4</v>
      </c>
      <c r="E103" s="97" t="s">
        <v>22</v>
      </c>
      <c r="F103" s="97" t="s">
        <v>1445</v>
      </c>
      <c r="G103" s="97" t="s">
        <v>1638</v>
      </c>
      <c r="H103" s="97"/>
      <c r="I103" s="97"/>
      <c r="J103" s="97"/>
      <c r="K103" s="97"/>
      <c r="L103" s="97" t="s">
        <v>1638</v>
      </c>
      <c r="M103" s="97"/>
      <c r="N103" s="97"/>
    </row>
    <row r="104" ht="48.0" customHeight="1">
      <c r="A104" s="96" t="str">
        <f>HYPERLINK("http://purl.obolibrary.org/obo/OBI_0001326","http://purl.obolibrary.org/obo/OBI_0001326")</f>
        <v>http://purl.obolibrary.org/obo/OBI_0001326</v>
      </c>
      <c r="B104" s="97" t="s">
        <v>1639</v>
      </c>
      <c r="C104" s="97" t="s">
        <v>1640</v>
      </c>
      <c r="D104" s="97" t="s">
        <v>1402</v>
      </c>
      <c r="E104" s="97" t="s">
        <v>22</v>
      </c>
      <c r="F104" s="97" t="s">
        <v>1487</v>
      </c>
      <c r="G104" s="97" t="s">
        <v>1641</v>
      </c>
      <c r="H104" s="97"/>
      <c r="I104" s="97"/>
      <c r="J104" s="97"/>
      <c r="K104" s="97"/>
      <c r="L104" s="97" t="s">
        <v>1641</v>
      </c>
      <c r="M104" s="97"/>
      <c r="N104" s="97"/>
    </row>
    <row r="105" ht="84.0" customHeight="1">
      <c r="A105" s="96" t="str">
        <f>HYPERLINK("http://purl.obolibrary.org/obo/OBI_0001327","http://purl.obolibrary.org/obo/OBI_0001327")</f>
        <v>http://purl.obolibrary.org/obo/OBI_0001327</v>
      </c>
      <c r="B105" s="97" t="s">
        <v>1642</v>
      </c>
      <c r="C105" s="97" t="s">
        <v>1643</v>
      </c>
      <c r="D105" s="97" t="s">
        <v>1402</v>
      </c>
      <c r="E105" s="97" t="s">
        <v>22</v>
      </c>
      <c r="F105" s="97" t="s">
        <v>1506</v>
      </c>
      <c r="G105" s="97" t="s">
        <v>1644</v>
      </c>
      <c r="H105" s="97"/>
      <c r="I105" s="97"/>
      <c r="J105" s="97" t="s">
        <v>1644</v>
      </c>
      <c r="K105" s="97"/>
      <c r="L105" s="97"/>
      <c r="M105" s="97"/>
      <c r="N105" s="97"/>
    </row>
    <row r="106" ht="48.0" customHeight="1">
      <c r="A106" s="96" t="str">
        <f>HYPERLINK("http://purl.obolibrary.org/obo/OBI_0001330","http://purl.obolibrary.org/obo/OBI_0001330")</f>
        <v>http://purl.obolibrary.org/obo/OBI_0001330</v>
      </c>
      <c r="B106" s="97" t="s">
        <v>1645</v>
      </c>
      <c r="C106" s="97" t="s">
        <v>1646</v>
      </c>
      <c r="D106" s="97" t="s">
        <v>4</v>
      </c>
      <c r="E106" s="97" t="s">
        <v>22</v>
      </c>
      <c r="F106" s="97" t="s">
        <v>1647</v>
      </c>
      <c r="G106" s="97" t="s">
        <v>1648</v>
      </c>
      <c r="H106" s="97"/>
      <c r="I106" s="97"/>
      <c r="J106" s="97"/>
      <c r="K106" s="97"/>
      <c r="L106" s="97" t="s">
        <v>1648</v>
      </c>
      <c r="M106" s="97"/>
      <c r="N106" s="97"/>
    </row>
    <row r="107" ht="36.0" customHeight="1">
      <c r="A107" s="96" t="str">
        <f>HYPERLINK("http://purl.obolibrary.org/obo/OBI_0001333","http://purl.obolibrary.org/obo/OBI_0001333")</f>
        <v>http://purl.obolibrary.org/obo/OBI_0001333</v>
      </c>
      <c r="B107" s="97" t="s">
        <v>1603</v>
      </c>
      <c r="C107" s="97" t="s">
        <v>1649</v>
      </c>
      <c r="D107" s="97" t="s">
        <v>1402</v>
      </c>
      <c r="E107" s="97" t="s">
        <v>22</v>
      </c>
      <c r="F107" s="97" t="s">
        <v>1411</v>
      </c>
      <c r="G107" s="97" t="s">
        <v>1650</v>
      </c>
      <c r="H107" s="97"/>
      <c r="I107" s="97"/>
      <c r="J107" s="97" t="s">
        <v>1650</v>
      </c>
      <c r="K107" s="97"/>
      <c r="L107" s="97"/>
      <c r="M107" s="97"/>
      <c r="N107" s="97"/>
    </row>
    <row r="108" ht="48.0" customHeight="1">
      <c r="A108" s="96" t="str">
        <f>HYPERLINK("http://purl.obolibrary.org/obo/OBI_0001339","http://purl.obolibrary.org/obo/OBI_0001339")</f>
        <v>http://purl.obolibrary.org/obo/OBI_0001339</v>
      </c>
      <c r="B108" s="97" t="s">
        <v>1651</v>
      </c>
      <c r="C108" s="97" t="s">
        <v>1652</v>
      </c>
      <c r="D108" s="97" t="s">
        <v>1402</v>
      </c>
      <c r="E108" s="97" t="s">
        <v>22</v>
      </c>
      <c r="F108" s="97" t="s">
        <v>1487</v>
      </c>
      <c r="G108" s="97" t="s">
        <v>1653</v>
      </c>
      <c r="H108" s="97"/>
      <c r="I108" s="97"/>
      <c r="J108" s="97"/>
      <c r="K108" s="97"/>
      <c r="L108" s="97" t="s">
        <v>1653</v>
      </c>
      <c r="M108" s="97"/>
      <c r="N108" s="97"/>
    </row>
    <row r="109" ht="48.0" customHeight="1">
      <c r="A109" s="96" t="str">
        <f>HYPERLINK("http://purl.obolibrary.org/obo/OBI_0001341","http://purl.obolibrary.org/obo/OBI_0001341")</f>
        <v>http://purl.obolibrary.org/obo/OBI_0001341</v>
      </c>
      <c r="B109" s="97" t="s">
        <v>1654</v>
      </c>
      <c r="C109" s="97" t="s">
        <v>1655</v>
      </c>
      <c r="D109" s="97" t="s">
        <v>1402</v>
      </c>
      <c r="E109" s="97" t="s">
        <v>22</v>
      </c>
      <c r="F109" s="97" t="s">
        <v>1418</v>
      </c>
      <c r="G109" s="97" t="s">
        <v>1656</v>
      </c>
      <c r="H109" s="97"/>
      <c r="I109" s="97"/>
      <c r="J109" s="97"/>
      <c r="K109" s="97"/>
      <c r="L109" s="97" t="s">
        <v>1656</v>
      </c>
      <c r="M109" s="97"/>
      <c r="N109" s="97"/>
    </row>
    <row r="110" ht="48.0" customHeight="1">
      <c r="A110" s="96" t="str">
        <f>HYPERLINK("http://purl.obolibrary.org/obo/OBI_0001342","http://purl.obolibrary.org/obo/OBI_0001342")</f>
        <v>http://purl.obolibrary.org/obo/OBI_0001342</v>
      </c>
      <c r="B110" s="97" t="s">
        <v>1657</v>
      </c>
      <c r="C110" s="97" t="s">
        <v>1658</v>
      </c>
      <c r="D110" s="97" t="s">
        <v>1402</v>
      </c>
      <c r="E110" s="97" t="s">
        <v>22</v>
      </c>
      <c r="F110" s="97" t="s">
        <v>1475</v>
      </c>
      <c r="G110" s="97" t="s">
        <v>1659</v>
      </c>
      <c r="H110" s="97"/>
      <c r="I110" s="97"/>
      <c r="J110" s="97"/>
      <c r="K110" s="97"/>
      <c r="L110" s="97" t="s">
        <v>1659</v>
      </c>
      <c r="M110" s="97"/>
      <c r="N110" s="97"/>
    </row>
    <row r="111" ht="48.0" customHeight="1">
      <c r="A111" s="96" t="str">
        <f>HYPERLINK("http://purl.obolibrary.org/obo/OBI_0001343","http://purl.obolibrary.org/obo/OBI_0001343")</f>
        <v>http://purl.obolibrary.org/obo/OBI_0001343</v>
      </c>
      <c r="B111" s="97" t="s">
        <v>1660</v>
      </c>
      <c r="C111" s="97" t="s">
        <v>1661</v>
      </c>
      <c r="D111" s="97" t="s">
        <v>1402</v>
      </c>
      <c r="E111" s="97" t="s">
        <v>22</v>
      </c>
      <c r="F111" s="97" t="s">
        <v>1495</v>
      </c>
      <c r="G111" s="97" t="s">
        <v>1662</v>
      </c>
      <c r="H111" s="97"/>
      <c r="I111" s="97"/>
      <c r="J111" s="97"/>
      <c r="K111" s="97"/>
      <c r="L111" s="97" t="s">
        <v>1662</v>
      </c>
      <c r="M111" s="97"/>
      <c r="N111" s="97"/>
    </row>
    <row r="112" ht="36.0" customHeight="1">
      <c r="A112" s="96" t="str">
        <f>HYPERLINK("http://purl.obolibrary.org/obo/OBI_0001344","http://purl.obolibrary.org/obo/OBI_0001344")</f>
        <v>http://purl.obolibrary.org/obo/OBI_0001344</v>
      </c>
      <c r="B112" s="97" t="s">
        <v>1663</v>
      </c>
      <c r="C112" s="97" t="s">
        <v>1664</v>
      </c>
      <c r="D112" s="97" t="s">
        <v>1402</v>
      </c>
      <c r="E112" s="97" t="s">
        <v>22</v>
      </c>
      <c r="F112" s="97" t="s">
        <v>1495</v>
      </c>
      <c r="G112" s="97" t="s">
        <v>1665</v>
      </c>
      <c r="H112" s="97"/>
      <c r="I112" s="97"/>
      <c r="J112" s="97"/>
      <c r="K112" s="97"/>
      <c r="L112" s="97" t="s">
        <v>1665</v>
      </c>
      <c r="M112" s="97"/>
      <c r="N112" s="97"/>
    </row>
    <row r="113" ht="60.0" customHeight="1">
      <c r="A113" s="96" t="str">
        <f>HYPERLINK("http://purl.obolibrary.org/obo/OBI_0001345","http://purl.obolibrary.org/obo/OBI_0001345")</f>
        <v>http://purl.obolibrary.org/obo/OBI_0001345</v>
      </c>
      <c r="B113" s="97" t="s">
        <v>1666</v>
      </c>
      <c r="C113" s="97" t="s">
        <v>1667</v>
      </c>
      <c r="D113" s="97" t="s">
        <v>1402</v>
      </c>
      <c r="E113" s="97" t="s">
        <v>22</v>
      </c>
      <c r="F113" s="97" t="s">
        <v>1411</v>
      </c>
      <c r="G113" s="97" t="s">
        <v>1668</v>
      </c>
      <c r="H113" s="97"/>
      <c r="I113" s="97"/>
      <c r="J113" s="97" t="s">
        <v>1668</v>
      </c>
      <c r="K113" s="97"/>
      <c r="L113" s="97"/>
      <c r="M113" s="97"/>
      <c r="N113" s="97"/>
    </row>
    <row r="114" ht="60.0" customHeight="1">
      <c r="A114" s="96" t="str">
        <f>HYPERLINK("http://purl.obolibrary.org/obo/OBI_0001346","http://purl.obolibrary.org/obo/OBI_0001346")</f>
        <v>http://purl.obolibrary.org/obo/OBI_0001346</v>
      </c>
      <c r="B114" s="97" t="s">
        <v>1669</v>
      </c>
      <c r="C114" s="97" t="s">
        <v>1670</v>
      </c>
      <c r="D114" s="97" t="s">
        <v>1402</v>
      </c>
      <c r="E114" s="97" t="s">
        <v>22</v>
      </c>
      <c r="F114" s="97" t="s">
        <v>1475</v>
      </c>
      <c r="G114" s="97" t="s">
        <v>1671</v>
      </c>
      <c r="H114" s="97"/>
      <c r="I114" s="97"/>
      <c r="J114" s="97"/>
      <c r="K114" s="97"/>
      <c r="L114" s="97" t="s">
        <v>1671</v>
      </c>
      <c r="M114" s="97"/>
      <c r="N114" s="97"/>
    </row>
    <row r="115" ht="60.0" customHeight="1">
      <c r="A115" s="96" t="str">
        <f>HYPERLINK("http://purl.obolibrary.org/obo/OBI_0001348","http://purl.obolibrary.org/obo/OBI_0001348")</f>
        <v>http://purl.obolibrary.org/obo/OBI_0001348</v>
      </c>
      <c r="B115" s="97" t="s">
        <v>1672</v>
      </c>
      <c r="C115" s="97" t="s">
        <v>1673</v>
      </c>
      <c r="D115" s="97" t="s">
        <v>1402</v>
      </c>
      <c r="E115" s="97" t="s">
        <v>22</v>
      </c>
      <c r="F115" s="97" t="s">
        <v>1634</v>
      </c>
      <c r="G115" s="97" t="s">
        <v>1674</v>
      </c>
      <c r="H115" s="97"/>
      <c r="I115" s="97"/>
      <c r="J115" s="97" t="s">
        <v>1674</v>
      </c>
      <c r="K115" s="97"/>
      <c r="L115" s="97"/>
      <c r="M115" s="97"/>
      <c r="N115" s="97"/>
    </row>
    <row r="116" ht="48.0" customHeight="1">
      <c r="A116" s="96" t="str">
        <f>HYPERLINK("http://purl.obolibrary.org/obo/OBI_0001349","http://purl.obolibrary.org/obo/OBI_0001349")</f>
        <v>http://purl.obolibrary.org/obo/OBI_0001349</v>
      </c>
      <c r="B116" s="97" t="s">
        <v>1675</v>
      </c>
      <c r="C116" s="97" t="s">
        <v>1676</v>
      </c>
      <c r="D116" s="97" t="s">
        <v>1402</v>
      </c>
      <c r="E116" s="97" t="s">
        <v>22</v>
      </c>
      <c r="F116" s="97" t="s">
        <v>1508</v>
      </c>
      <c r="G116" s="97" t="s">
        <v>1677</v>
      </c>
      <c r="H116" s="97"/>
      <c r="I116" s="97"/>
      <c r="J116" s="97"/>
      <c r="K116" s="97"/>
      <c r="L116" s="97" t="s">
        <v>1677</v>
      </c>
      <c r="M116" s="97"/>
      <c r="N116" s="97"/>
    </row>
    <row r="117" ht="48.0" customHeight="1">
      <c r="A117" s="96" t="str">
        <f>HYPERLINK("http://purl.obolibrary.org/obo/OBI_0001350","http://purl.obolibrary.org/obo/OBI_0001350")</f>
        <v>http://purl.obolibrary.org/obo/OBI_0001350</v>
      </c>
      <c r="B117" s="97" t="s">
        <v>1678</v>
      </c>
      <c r="C117" s="97" t="s">
        <v>1679</v>
      </c>
      <c r="D117" s="97" t="s">
        <v>1402</v>
      </c>
      <c r="E117" s="97" t="s">
        <v>22</v>
      </c>
      <c r="F117" s="97" t="s">
        <v>1626</v>
      </c>
      <c r="G117" s="97" t="s">
        <v>1680</v>
      </c>
      <c r="H117" s="97"/>
      <c r="I117" s="97"/>
      <c r="J117" s="97"/>
      <c r="K117" s="97"/>
      <c r="L117" s="97" t="s">
        <v>1680</v>
      </c>
      <c r="M117" s="97"/>
      <c r="N117" s="97"/>
    </row>
    <row r="118" ht="72.0" customHeight="1">
      <c r="A118" s="96" t="str">
        <f>HYPERLINK("http://purl.obolibrary.org/obo/OBI_0001353","http://purl.obolibrary.org/obo/OBI_0001353")</f>
        <v>http://purl.obolibrary.org/obo/OBI_0001353</v>
      </c>
      <c r="B118" s="97" t="s">
        <v>1681</v>
      </c>
      <c r="C118" s="97" t="s">
        <v>1682</v>
      </c>
      <c r="D118" s="97" t="s">
        <v>1402</v>
      </c>
      <c r="E118" s="97" t="s">
        <v>22</v>
      </c>
      <c r="F118" s="97" t="s">
        <v>1683</v>
      </c>
      <c r="G118" s="97" t="s">
        <v>1684</v>
      </c>
      <c r="H118" s="97"/>
      <c r="I118" s="97"/>
      <c r="J118" s="97"/>
      <c r="K118" s="97"/>
      <c r="L118" s="97" t="s">
        <v>1684</v>
      </c>
      <c r="M118" s="97"/>
      <c r="N118" s="97"/>
    </row>
    <row r="119" ht="48.0" customHeight="1">
      <c r="A119" s="96" t="str">
        <f>HYPERLINK("http://purl.obolibrary.org/obo/OBI_0001354","http://purl.obolibrary.org/obo/OBI_0001354")</f>
        <v>http://purl.obolibrary.org/obo/OBI_0001354</v>
      </c>
      <c r="B119" s="97" t="s">
        <v>1685</v>
      </c>
      <c r="C119" s="97" t="s">
        <v>1686</v>
      </c>
      <c r="D119" s="97" t="s">
        <v>1402</v>
      </c>
      <c r="E119" s="97" t="s">
        <v>22</v>
      </c>
      <c r="F119" s="97" t="s">
        <v>1577</v>
      </c>
      <c r="G119" s="97" t="s">
        <v>1687</v>
      </c>
      <c r="H119" s="97"/>
      <c r="I119" s="97"/>
      <c r="J119" s="97"/>
      <c r="K119" s="97"/>
      <c r="L119" s="97" t="s">
        <v>1687</v>
      </c>
      <c r="M119" s="97"/>
      <c r="N119" s="97"/>
    </row>
    <row r="120" ht="60.0" customHeight="1">
      <c r="A120" s="96" t="str">
        <f>HYPERLINK("http://purl.obolibrary.org/obo/OBI_0001356","http://purl.obolibrary.org/obo/OBI_0001356")</f>
        <v>http://purl.obolibrary.org/obo/OBI_0001356</v>
      </c>
      <c r="B120" s="97" t="s">
        <v>1688</v>
      </c>
      <c r="C120" s="97" t="s">
        <v>1689</v>
      </c>
      <c r="D120" s="97" t="s">
        <v>1402</v>
      </c>
      <c r="E120" s="97" t="s">
        <v>22</v>
      </c>
      <c r="F120" s="97" t="s">
        <v>1690</v>
      </c>
      <c r="G120" s="97" t="s">
        <v>1691</v>
      </c>
      <c r="H120" s="97"/>
      <c r="I120" s="97"/>
      <c r="J120" s="97"/>
      <c r="K120" s="97"/>
      <c r="L120" s="97" t="s">
        <v>1691</v>
      </c>
      <c r="M120" s="97"/>
      <c r="N120" s="97"/>
    </row>
    <row r="121" ht="60.0" customHeight="1">
      <c r="A121" s="96" t="str">
        <f>HYPERLINK("http://purl.obolibrary.org/obo/OBI_0001357","http://purl.obolibrary.org/obo/OBI_0001357")</f>
        <v>http://purl.obolibrary.org/obo/OBI_0001357</v>
      </c>
      <c r="B121" s="97" t="s">
        <v>1692</v>
      </c>
      <c r="C121" s="97" t="s">
        <v>1693</v>
      </c>
      <c r="D121" s="97" t="s">
        <v>1402</v>
      </c>
      <c r="E121" s="97" t="s">
        <v>22</v>
      </c>
      <c r="F121" s="97" t="s">
        <v>1418</v>
      </c>
      <c r="G121" s="97" t="s">
        <v>1694</v>
      </c>
      <c r="H121" s="97"/>
      <c r="I121" s="97"/>
      <c r="J121" s="97"/>
      <c r="K121" s="97"/>
      <c r="L121" s="97" t="s">
        <v>1694</v>
      </c>
      <c r="M121" s="97"/>
      <c r="N121" s="97"/>
    </row>
    <row r="122" ht="48.0" customHeight="1">
      <c r="A122" s="96" t="str">
        <f>HYPERLINK("http://purl.obolibrary.org/obo/OBI_0001359","http://purl.obolibrary.org/obo/OBI_0001359")</f>
        <v>http://purl.obolibrary.org/obo/OBI_0001359</v>
      </c>
      <c r="B122" s="97" t="s">
        <v>1695</v>
      </c>
      <c r="C122" s="97" t="s">
        <v>1696</v>
      </c>
      <c r="D122" s="97" t="s">
        <v>1402</v>
      </c>
      <c r="E122" s="97" t="s">
        <v>22</v>
      </c>
      <c r="F122" s="97" t="s">
        <v>1437</v>
      </c>
      <c r="G122" s="97" t="s">
        <v>1697</v>
      </c>
      <c r="H122" s="97"/>
      <c r="I122" s="97"/>
      <c r="J122" s="97"/>
      <c r="K122" s="97"/>
      <c r="L122" s="97" t="s">
        <v>1697</v>
      </c>
      <c r="M122" s="97"/>
      <c r="N122" s="97"/>
    </row>
    <row r="123" ht="48.0" customHeight="1">
      <c r="A123" s="96" t="str">
        <f>HYPERLINK("http://purl.obolibrary.org/obo/OBI_0001360","http://purl.obolibrary.org/obo/OBI_0001360")</f>
        <v>http://purl.obolibrary.org/obo/OBI_0001360</v>
      </c>
      <c r="B123" s="97" t="s">
        <v>1698</v>
      </c>
      <c r="C123" s="97" t="s">
        <v>1699</v>
      </c>
      <c r="D123" s="97" t="s">
        <v>1402</v>
      </c>
      <c r="E123" s="97" t="s">
        <v>22</v>
      </c>
      <c r="F123" s="97" t="s">
        <v>1453</v>
      </c>
      <c r="G123" s="97" t="s">
        <v>1700</v>
      </c>
      <c r="H123" s="97"/>
      <c r="I123" s="97"/>
      <c r="J123" s="97"/>
      <c r="K123" s="97"/>
      <c r="L123" s="97" t="s">
        <v>1700</v>
      </c>
      <c r="M123" s="97"/>
      <c r="N123" s="97"/>
    </row>
    <row r="124" ht="60.0" customHeight="1">
      <c r="A124" s="96" t="str">
        <f>HYPERLINK("http://purl.obolibrary.org/obo/OBI_0001363","http://purl.obolibrary.org/obo/OBI_0001363")</f>
        <v>http://purl.obolibrary.org/obo/OBI_0001363</v>
      </c>
      <c r="B124" s="97" t="s">
        <v>1499</v>
      </c>
      <c r="C124" s="97" t="s">
        <v>1701</v>
      </c>
      <c r="D124" s="97" t="s">
        <v>1402</v>
      </c>
      <c r="E124" s="97" t="s">
        <v>22</v>
      </c>
      <c r="F124" s="97" t="s">
        <v>1411</v>
      </c>
      <c r="G124" s="97" t="s">
        <v>1702</v>
      </c>
      <c r="H124" s="97"/>
      <c r="I124" s="97"/>
      <c r="J124" s="97" t="s">
        <v>1702</v>
      </c>
      <c r="K124" s="97"/>
      <c r="L124" s="97"/>
      <c r="M124" s="97"/>
      <c r="N124" s="97"/>
    </row>
    <row r="125" ht="48.0" customHeight="1">
      <c r="A125" s="96" t="str">
        <f>HYPERLINK("http://purl.obolibrary.org/obo/OBI_0001367","http://purl.obolibrary.org/obo/OBI_0001367")</f>
        <v>http://purl.obolibrary.org/obo/OBI_0001367</v>
      </c>
      <c r="B125" s="97" t="s">
        <v>1703</v>
      </c>
      <c r="C125" s="97" t="s">
        <v>1704</v>
      </c>
      <c r="D125" s="97" t="s">
        <v>1402</v>
      </c>
      <c r="E125" s="97" t="s">
        <v>22</v>
      </c>
      <c r="F125" s="97" t="s">
        <v>1420</v>
      </c>
      <c r="G125" s="97" t="s">
        <v>1705</v>
      </c>
      <c r="H125" s="97"/>
      <c r="I125" s="97"/>
      <c r="J125" s="97"/>
      <c r="K125" s="97"/>
      <c r="L125" s="97" t="s">
        <v>1705</v>
      </c>
      <c r="M125" s="97"/>
      <c r="N125" s="97"/>
    </row>
    <row r="126" ht="60.0" customHeight="1">
      <c r="A126" s="96" t="str">
        <f>HYPERLINK("http://purl.obolibrary.org/obo/OBI_0001368","http://purl.obolibrary.org/obo/OBI_0001368")</f>
        <v>http://purl.obolibrary.org/obo/OBI_0001368</v>
      </c>
      <c r="B126" s="97" t="s">
        <v>1706</v>
      </c>
      <c r="C126" s="97" t="s">
        <v>1707</v>
      </c>
      <c r="D126" s="97" t="s">
        <v>1402</v>
      </c>
      <c r="E126" s="97" t="s">
        <v>22</v>
      </c>
      <c r="F126" s="97" t="s">
        <v>1506</v>
      </c>
      <c r="G126" s="97" t="s">
        <v>1708</v>
      </c>
      <c r="H126" s="97"/>
      <c r="I126" s="97"/>
      <c r="J126" s="97"/>
      <c r="K126" s="97"/>
      <c r="L126" s="97" t="s">
        <v>1708</v>
      </c>
      <c r="M126" s="97"/>
      <c r="N126" s="97"/>
    </row>
    <row r="127" ht="72.0" customHeight="1">
      <c r="A127" s="97" t="s">
        <v>1709</v>
      </c>
      <c r="B127" s="97" t="s">
        <v>1710</v>
      </c>
      <c r="C127" s="97" t="s">
        <v>1711</v>
      </c>
      <c r="D127" s="97" t="s">
        <v>1402</v>
      </c>
      <c r="E127" s="97" t="s">
        <v>22</v>
      </c>
      <c r="F127" s="97" t="s">
        <v>1666</v>
      </c>
      <c r="G127" s="97" t="s">
        <v>1712</v>
      </c>
      <c r="H127" s="97"/>
      <c r="I127" s="97"/>
      <c r="J127" s="97"/>
      <c r="K127" s="97"/>
      <c r="L127" s="97" t="s">
        <v>1712</v>
      </c>
      <c r="M127" s="97"/>
      <c r="N127" s="97"/>
    </row>
    <row r="128" ht="84.0" customHeight="1">
      <c r="A128" s="96" t="str">
        <f>HYPERLINK("http://purl.obolibrary.org/obo/OBI_0001376","http://purl.obolibrary.org/obo/OBI_0001376")</f>
        <v>http://purl.obolibrary.org/obo/OBI_0001376</v>
      </c>
      <c r="B128" s="97" t="s">
        <v>1713</v>
      </c>
      <c r="C128" s="97" t="s">
        <v>1714</v>
      </c>
      <c r="D128" s="97" t="s">
        <v>1402</v>
      </c>
      <c r="E128" s="97" t="s">
        <v>22</v>
      </c>
      <c r="F128" s="97" t="s">
        <v>1518</v>
      </c>
      <c r="G128" s="97" t="s">
        <v>1715</v>
      </c>
      <c r="H128" s="97"/>
      <c r="I128" s="97"/>
      <c r="J128" s="97"/>
      <c r="K128" s="97"/>
      <c r="L128" s="97" t="s">
        <v>1715</v>
      </c>
      <c r="M128" s="97"/>
      <c r="N128" s="97"/>
    </row>
    <row r="129" ht="96.0" customHeight="1">
      <c r="A129" s="96" t="str">
        <f>HYPERLINK("http://purl.obolibrary.org/obo/OBI_0001378","http://purl.obolibrary.org/obo/OBI_0001378")</f>
        <v>http://purl.obolibrary.org/obo/OBI_0001378</v>
      </c>
      <c r="B129" s="97" t="s">
        <v>1716</v>
      </c>
      <c r="C129" s="97" t="s">
        <v>1717</v>
      </c>
      <c r="D129" s="97" t="s">
        <v>1402</v>
      </c>
      <c r="E129" s="97" t="s">
        <v>22</v>
      </c>
      <c r="F129" s="97" t="s">
        <v>1666</v>
      </c>
      <c r="G129" s="97" t="s">
        <v>1718</v>
      </c>
      <c r="H129" s="97"/>
      <c r="I129" s="97"/>
      <c r="J129" s="97"/>
      <c r="K129" s="97"/>
      <c r="L129" s="97" t="s">
        <v>1718</v>
      </c>
      <c r="M129" s="97"/>
      <c r="N129" s="97"/>
    </row>
    <row r="130" ht="48.0" customHeight="1">
      <c r="A130" s="96" t="str">
        <f>HYPERLINK("http://purl.obolibrary.org/obo/OBI_0001379","http://purl.obolibrary.org/obo/OBI_0001379")</f>
        <v>http://purl.obolibrary.org/obo/OBI_0001379</v>
      </c>
      <c r="B130" s="97" t="s">
        <v>1719</v>
      </c>
      <c r="C130" s="97" t="s">
        <v>1720</v>
      </c>
      <c r="D130" s="97" t="s">
        <v>1402</v>
      </c>
      <c r="E130" s="97" t="s">
        <v>22</v>
      </c>
      <c r="F130" s="97" t="s">
        <v>1626</v>
      </c>
      <c r="G130" s="97" t="s">
        <v>1721</v>
      </c>
      <c r="H130" s="97"/>
      <c r="I130" s="97"/>
      <c r="J130" s="97"/>
      <c r="K130" s="97"/>
      <c r="L130" s="97" t="s">
        <v>1721</v>
      </c>
      <c r="M130" s="97"/>
      <c r="N130" s="97"/>
    </row>
    <row r="131" ht="36.0" customHeight="1">
      <c r="A131" s="96" t="str">
        <f>HYPERLINK("http://purl.obolibrary.org/obo/OBI_0001380","http://purl.obolibrary.org/obo/OBI_0001380")</f>
        <v>http://purl.obolibrary.org/obo/OBI_0001380</v>
      </c>
      <c r="B131" s="97" t="s">
        <v>1722</v>
      </c>
      <c r="C131" s="97" t="s">
        <v>1723</v>
      </c>
      <c r="D131" s="97" t="s">
        <v>1402</v>
      </c>
      <c r="E131" s="97" t="s">
        <v>22</v>
      </c>
      <c r="F131" s="97" t="s">
        <v>1411</v>
      </c>
      <c r="G131" s="97" t="s">
        <v>1724</v>
      </c>
      <c r="H131" s="97"/>
      <c r="I131" s="97"/>
      <c r="J131" s="97" t="s">
        <v>1724</v>
      </c>
      <c r="K131" s="97"/>
      <c r="L131" s="97"/>
      <c r="M131" s="97"/>
      <c r="N131" s="97"/>
    </row>
    <row r="132" ht="48.0" customHeight="1">
      <c r="A132" s="96" t="str">
        <f>HYPERLINK("http://purl.obolibrary.org/obo/OBI_0001382","http://purl.obolibrary.org/obo/OBI_0001382")</f>
        <v>http://purl.obolibrary.org/obo/OBI_0001382</v>
      </c>
      <c r="B132" s="97" t="s">
        <v>1725</v>
      </c>
      <c r="C132" s="97" t="s">
        <v>1726</v>
      </c>
      <c r="D132" s="97" t="s">
        <v>1402</v>
      </c>
      <c r="E132" s="97" t="s">
        <v>22</v>
      </c>
      <c r="F132" s="97" t="s">
        <v>1409</v>
      </c>
      <c r="G132" s="97" t="s">
        <v>1727</v>
      </c>
      <c r="H132" s="97"/>
      <c r="I132" s="97"/>
      <c r="J132" s="97"/>
      <c r="K132" s="97"/>
      <c r="L132" s="97" t="s">
        <v>1727</v>
      </c>
      <c r="M132" s="97"/>
      <c r="N132" s="97"/>
    </row>
    <row r="133" ht="48.0" customHeight="1">
      <c r="A133" s="96" t="str">
        <f>HYPERLINK("http://purl.obolibrary.org/obo/OBI_0001383","http://purl.obolibrary.org/obo/OBI_0001383")</f>
        <v>http://purl.obolibrary.org/obo/OBI_0001383</v>
      </c>
      <c r="B133" s="97" t="s">
        <v>1728</v>
      </c>
      <c r="C133" s="97" t="s">
        <v>1729</v>
      </c>
      <c r="D133" s="97" t="s">
        <v>1402</v>
      </c>
      <c r="E133" s="97" t="s">
        <v>22</v>
      </c>
      <c r="F133" s="97" t="s">
        <v>1407</v>
      </c>
      <c r="G133" s="97" t="s">
        <v>1730</v>
      </c>
      <c r="H133" s="97"/>
      <c r="I133" s="97"/>
      <c r="J133" s="97"/>
      <c r="K133" s="97"/>
      <c r="L133" s="97" t="s">
        <v>1730</v>
      </c>
      <c r="M133" s="97"/>
      <c r="N133" s="97"/>
    </row>
    <row r="134" ht="60.0" customHeight="1">
      <c r="A134" s="96" t="str">
        <f>HYPERLINK("http://purl.obolibrary.org/obo/OBI_0001384","http://purl.obolibrary.org/obo/OBI_0001384")</f>
        <v>http://purl.obolibrary.org/obo/OBI_0001384</v>
      </c>
      <c r="B134" s="97" t="s">
        <v>1731</v>
      </c>
      <c r="C134" s="97" t="s">
        <v>1732</v>
      </c>
      <c r="D134" s="97" t="s">
        <v>1402</v>
      </c>
      <c r="E134" s="97" t="s">
        <v>22</v>
      </c>
      <c r="F134" s="97" t="s">
        <v>1518</v>
      </c>
      <c r="G134" s="97" t="s">
        <v>1733</v>
      </c>
      <c r="H134" s="97"/>
      <c r="I134" s="97"/>
      <c r="J134" s="97"/>
      <c r="K134" s="97"/>
      <c r="L134" s="97" t="s">
        <v>1733</v>
      </c>
      <c r="M134" s="97"/>
      <c r="N134" s="97"/>
    </row>
    <row r="135" ht="48.0" customHeight="1">
      <c r="A135" s="96" t="str">
        <f>HYPERLINK("http://purl.obolibrary.org/obo/OBI_0001385","http://purl.obolibrary.org/obo/OBI_0001385")</f>
        <v>http://purl.obolibrary.org/obo/OBI_0001385</v>
      </c>
      <c r="B135" s="97" t="s">
        <v>1734</v>
      </c>
      <c r="C135" s="97" t="s">
        <v>1735</v>
      </c>
      <c r="D135" s="97" t="s">
        <v>1402</v>
      </c>
      <c r="E135" s="97" t="s">
        <v>22</v>
      </c>
      <c r="F135" s="97" t="s">
        <v>1506</v>
      </c>
      <c r="G135" s="97" t="s">
        <v>1736</v>
      </c>
      <c r="H135" s="97"/>
      <c r="I135" s="97"/>
      <c r="J135" s="97"/>
      <c r="K135" s="97"/>
      <c r="L135" s="97" t="s">
        <v>1736</v>
      </c>
      <c r="M135" s="97"/>
      <c r="N135" s="97"/>
    </row>
    <row r="136" ht="36.0" customHeight="1">
      <c r="A136" s="96" t="str">
        <f>HYPERLINK("http://purl.obolibrary.org/obo/OBI_0001388","http://purl.obolibrary.org/obo/OBI_0001388")</f>
        <v>http://purl.obolibrary.org/obo/OBI_0001388</v>
      </c>
      <c r="B136" s="97" t="s">
        <v>1522</v>
      </c>
      <c r="C136" s="97" t="s">
        <v>1737</v>
      </c>
      <c r="D136" s="97" t="s">
        <v>1402</v>
      </c>
      <c r="E136" s="97" t="s">
        <v>22</v>
      </c>
      <c r="F136" s="97" t="s">
        <v>1411</v>
      </c>
      <c r="G136" s="97" t="s">
        <v>1738</v>
      </c>
      <c r="H136" s="97"/>
      <c r="I136" s="97"/>
      <c r="J136" s="97" t="s">
        <v>1738</v>
      </c>
      <c r="K136" s="97"/>
      <c r="L136" s="97"/>
      <c r="M136" s="97"/>
      <c r="N136" s="97"/>
    </row>
    <row r="137" ht="60.0" customHeight="1">
      <c r="A137" s="96" t="str">
        <f>HYPERLINK("http://purl.obolibrary.org/obo/OBI_0001389","http://purl.obolibrary.org/obo/OBI_0001389")</f>
        <v>http://purl.obolibrary.org/obo/OBI_0001389</v>
      </c>
      <c r="B137" s="97" t="s">
        <v>1739</v>
      </c>
      <c r="C137" s="97" t="s">
        <v>1740</v>
      </c>
      <c r="D137" s="97" t="s">
        <v>1402</v>
      </c>
      <c r="E137" s="97" t="s">
        <v>22</v>
      </c>
      <c r="F137" s="97" t="s">
        <v>1453</v>
      </c>
      <c r="G137" s="97" t="s">
        <v>1741</v>
      </c>
      <c r="H137" s="97"/>
      <c r="I137" s="97"/>
      <c r="J137" s="97"/>
      <c r="K137" s="97"/>
      <c r="L137" s="97" t="s">
        <v>1741</v>
      </c>
      <c r="M137" s="97"/>
      <c r="N137" s="97"/>
    </row>
    <row r="138" ht="60.0" customHeight="1">
      <c r="A138" s="96" t="str">
        <f>HYPERLINK("http://purl.obolibrary.org/obo/OBI_0001390","http://purl.obolibrary.org/obo/OBI_0001390")</f>
        <v>http://purl.obolibrary.org/obo/OBI_0001390</v>
      </c>
      <c r="B138" s="97" t="s">
        <v>1690</v>
      </c>
      <c r="C138" s="97" t="s">
        <v>1742</v>
      </c>
      <c r="D138" s="97" t="s">
        <v>1402</v>
      </c>
      <c r="E138" s="97" t="s">
        <v>22</v>
      </c>
      <c r="F138" s="97" t="s">
        <v>1411</v>
      </c>
      <c r="G138" s="97" t="s">
        <v>1743</v>
      </c>
      <c r="H138" s="97"/>
      <c r="I138" s="97"/>
      <c r="J138" s="97" t="s">
        <v>1743</v>
      </c>
      <c r="K138" s="97"/>
      <c r="L138" s="97"/>
      <c r="M138" s="97"/>
      <c r="N138" s="97"/>
    </row>
    <row r="139" ht="48.0" customHeight="1">
      <c r="A139" s="96" t="str">
        <f>HYPERLINK("http://purl.obolibrary.org/obo/OBI_0001391","http://purl.obolibrary.org/obo/OBI_0001391")</f>
        <v>http://purl.obolibrary.org/obo/OBI_0001391</v>
      </c>
      <c r="B139" s="97" t="s">
        <v>1531</v>
      </c>
      <c r="C139" s="97" t="s">
        <v>1744</v>
      </c>
      <c r="D139" s="97" t="s">
        <v>1402</v>
      </c>
      <c r="E139" s="97" t="s">
        <v>22</v>
      </c>
      <c r="F139" s="97" t="s">
        <v>1411</v>
      </c>
      <c r="G139" s="97" t="s">
        <v>1745</v>
      </c>
      <c r="H139" s="97"/>
      <c r="I139" s="97"/>
      <c r="J139" s="97" t="s">
        <v>1745</v>
      </c>
      <c r="K139" s="97"/>
      <c r="L139" s="97"/>
      <c r="M139" s="97"/>
      <c r="N139" s="97"/>
    </row>
    <row r="140" ht="72.0" customHeight="1">
      <c r="A140" s="96" t="str">
        <f>HYPERLINK("http://purl.obolibrary.org/obo/OBI_0001392","http://purl.obolibrary.org/obo/OBI_0001392")</f>
        <v>http://purl.obolibrary.org/obo/OBI_0001392</v>
      </c>
      <c r="B140" s="97" t="s">
        <v>1746</v>
      </c>
      <c r="C140" s="97" t="s">
        <v>1747</v>
      </c>
      <c r="D140" s="97" t="s">
        <v>1402</v>
      </c>
      <c r="E140" s="97" t="s">
        <v>22</v>
      </c>
      <c r="F140" s="97" t="s">
        <v>1748</v>
      </c>
      <c r="G140" s="97" t="s">
        <v>1749</v>
      </c>
      <c r="H140" s="97"/>
      <c r="I140" s="97"/>
      <c r="J140" s="97"/>
      <c r="K140" s="97"/>
      <c r="L140" s="97" t="s">
        <v>1749</v>
      </c>
      <c r="M140" s="97"/>
      <c r="N140" s="97"/>
    </row>
    <row r="141" ht="72.0" customHeight="1">
      <c r="A141" s="96" t="str">
        <f>HYPERLINK("http://purl.obolibrary.org/obo/OBI_0001395","http://purl.obolibrary.org/obo/OBI_0001395")</f>
        <v>http://purl.obolibrary.org/obo/OBI_0001395</v>
      </c>
      <c r="B141" s="97" t="s">
        <v>1750</v>
      </c>
      <c r="C141" s="97" t="s">
        <v>1751</v>
      </c>
      <c r="D141" s="97" t="s">
        <v>1402</v>
      </c>
      <c r="E141" s="97" t="s">
        <v>22</v>
      </c>
      <c r="F141" s="97" t="s">
        <v>1499</v>
      </c>
      <c r="G141" s="97" t="s">
        <v>1752</v>
      </c>
      <c r="H141" s="97"/>
      <c r="I141" s="97"/>
      <c r="J141" s="97"/>
      <c r="K141" s="97"/>
      <c r="L141" s="97" t="s">
        <v>1752</v>
      </c>
      <c r="M141" s="97"/>
      <c r="N141" s="97"/>
    </row>
    <row r="142" ht="144.0" customHeight="1">
      <c r="A142" s="96" t="str">
        <f>HYPERLINK("http://purl.obolibrary.org/obo/OBI_0001397","http://purl.obolibrary.org/obo/OBI_0001397")</f>
        <v>http://purl.obolibrary.org/obo/OBI_0001397</v>
      </c>
      <c r="B142" s="97" t="s">
        <v>1753</v>
      </c>
      <c r="C142" s="97" t="s">
        <v>1754</v>
      </c>
      <c r="D142" s="97" t="s">
        <v>1402</v>
      </c>
      <c r="E142" s="97" t="s">
        <v>22</v>
      </c>
      <c r="F142" s="97" t="s">
        <v>1755</v>
      </c>
      <c r="G142" s="97" t="s">
        <v>1756</v>
      </c>
      <c r="H142" s="97"/>
      <c r="I142" s="97"/>
      <c r="J142" s="97"/>
      <c r="K142" s="97"/>
      <c r="L142" s="97" t="s">
        <v>1756</v>
      </c>
      <c r="M142" s="97"/>
      <c r="N142" s="97"/>
    </row>
    <row r="143" ht="48.0" customHeight="1">
      <c r="A143" s="96" t="str">
        <f>HYPERLINK("http://purl.obolibrary.org/obo/OBI_0001400","http://purl.obolibrary.org/obo/OBI_0001400")</f>
        <v>http://purl.obolibrary.org/obo/OBI_0001400</v>
      </c>
      <c r="B143" s="97" t="s">
        <v>1506</v>
      </c>
      <c r="C143" s="97" t="s">
        <v>1757</v>
      </c>
      <c r="D143" s="97" t="s">
        <v>1402</v>
      </c>
      <c r="E143" s="97" t="s">
        <v>22</v>
      </c>
      <c r="F143" s="97" t="s">
        <v>1411</v>
      </c>
      <c r="G143" s="97" t="s">
        <v>1758</v>
      </c>
      <c r="H143" s="97"/>
      <c r="I143" s="97"/>
      <c r="J143" s="97" t="s">
        <v>1758</v>
      </c>
      <c r="K143" s="97"/>
      <c r="L143" s="97"/>
      <c r="M143" s="97"/>
      <c r="N143" s="97"/>
    </row>
    <row r="144" ht="72.0" customHeight="1">
      <c r="A144" s="96" t="str">
        <f>HYPERLINK("http://purl.obolibrary.org/obo/OBI_0001402","http://purl.obolibrary.org/obo/OBI_0001402")</f>
        <v>http://purl.obolibrary.org/obo/OBI_0001402</v>
      </c>
      <c r="B144" s="97" t="s">
        <v>1759</v>
      </c>
      <c r="C144" s="97" t="s">
        <v>1760</v>
      </c>
      <c r="D144" s="97" t="s">
        <v>4</v>
      </c>
      <c r="E144" s="97" t="s">
        <v>22</v>
      </c>
      <c r="F144" s="97" t="s">
        <v>1432</v>
      </c>
      <c r="G144" s="97" t="s">
        <v>1761</v>
      </c>
      <c r="H144" s="97"/>
      <c r="I144" s="97"/>
      <c r="J144" s="97"/>
      <c r="K144" s="97"/>
      <c r="L144" s="97" t="s">
        <v>1761</v>
      </c>
      <c r="M144" s="97"/>
      <c r="N144" s="97"/>
    </row>
    <row r="145" ht="48.0" customHeight="1">
      <c r="A145" s="96" t="str">
        <f>HYPERLINK("http://purl.obolibrary.org/obo/OBI_0001405","http://purl.obolibrary.org/obo/OBI_0001405")</f>
        <v>http://purl.obolibrary.org/obo/OBI_0001405</v>
      </c>
      <c r="B145" s="97" t="s">
        <v>1762</v>
      </c>
      <c r="C145" s="97" t="s">
        <v>1763</v>
      </c>
      <c r="D145" s="97" t="s">
        <v>1402</v>
      </c>
      <c r="E145" s="97" t="s">
        <v>22</v>
      </c>
      <c r="F145" s="97" t="s">
        <v>1603</v>
      </c>
      <c r="G145" s="97" t="s">
        <v>1764</v>
      </c>
      <c r="H145" s="97"/>
      <c r="I145" s="97"/>
      <c r="J145" s="97"/>
      <c r="K145" s="97"/>
      <c r="L145" s="97" t="s">
        <v>1764</v>
      </c>
      <c r="M145" s="97"/>
      <c r="N145" s="97"/>
    </row>
    <row r="146" ht="72.0" customHeight="1">
      <c r="A146" s="96" t="str">
        <f>HYPERLINK("http://purl.obolibrary.org/obo/OBI_0001406","http://purl.obolibrary.org/obo/OBI_0001406")</f>
        <v>http://purl.obolibrary.org/obo/OBI_0001406</v>
      </c>
      <c r="B146" s="97" t="s">
        <v>1518</v>
      </c>
      <c r="C146" s="97" t="s">
        <v>1765</v>
      </c>
      <c r="D146" s="97" t="s">
        <v>1402</v>
      </c>
      <c r="E146" s="97" t="s">
        <v>22</v>
      </c>
      <c r="F146" s="97" t="s">
        <v>1411</v>
      </c>
      <c r="G146" s="97" t="s">
        <v>1766</v>
      </c>
      <c r="H146" s="97"/>
      <c r="I146" s="97"/>
      <c r="J146" s="97" t="s">
        <v>1766</v>
      </c>
      <c r="K146" s="97"/>
      <c r="L146" s="97"/>
      <c r="M146" s="97"/>
      <c r="N146" s="97"/>
    </row>
    <row r="147" ht="48.0" customHeight="1">
      <c r="A147" s="96" t="str">
        <f>HYPERLINK("http://purl.obolibrary.org/obo/OBI_0001407","http://purl.obolibrary.org/obo/OBI_0001407")</f>
        <v>http://purl.obolibrary.org/obo/OBI_0001407</v>
      </c>
      <c r="B147" s="97" t="s">
        <v>1767</v>
      </c>
      <c r="C147" s="97" t="s">
        <v>1768</v>
      </c>
      <c r="D147" s="97" t="s">
        <v>4</v>
      </c>
      <c r="E147" s="97" t="s">
        <v>22</v>
      </c>
      <c r="F147" s="97" t="s">
        <v>1535</v>
      </c>
      <c r="G147" s="97"/>
      <c r="H147" s="97"/>
      <c r="I147" s="97"/>
      <c r="J147" s="97"/>
      <c r="K147" s="97"/>
      <c r="L147" s="97"/>
      <c r="M147" s="97"/>
      <c r="N147" s="97"/>
    </row>
    <row r="148" ht="48.0" customHeight="1">
      <c r="A148" s="96" t="str">
        <f>HYPERLINK("http://purl.obolibrary.org/obo/OBI_0001412","http://purl.obolibrary.org/obo/OBI_0001412")</f>
        <v>http://purl.obolibrary.org/obo/OBI_0001412</v>
      </c>
      <c r="B148" s="97" t="s">
        <v>1769</v>
      </c>
      <c r="C148" s="97" t="s">
        <v>1770</v>
      </c>
      <c r="D148" s="97" t="s">
        <v>1402</v>
      </c>
      <c r="E148" s="97" t="s">
        <v>22</v>
      </c>
      <c r="F148" s="97" t="s">
        <v>1445</v>
      </c>
      <c r="G148" s="97" t="s">
        <v>1771</v>
      </c>
      <c r="H148" s="97"/>
      <c r="I148" s="97"/>
      <c r="J148" s="97"/>
      <c r="K148" s="97"/>
      <c r="L148" s="97" t="s">
        <v>1771</v>
      </c>
      <c r="M148" s="97"/>
      <c r="N148" s="97"/>
    </row>
    <row r="149" ht="36.0" customHeight="1">
      <c r="A149" s="96" t="str">
        <f>HYPERLINK("http://purl.obolibrary.org/obo/OBI_0001413","http://purl.obolibrary.org/obo/OBI_0001413")</f>
        <v>http://purl.obolibrary.org/obo/OBI_0001413</v>
      </c>
      <c r="B149" s="97" t="s">
        <v>1772</v>
      </c>
      <c r="C149" s="97" t="s">
        <v>1773</v>
      </c>
      <c r="D149" s="97" t="s">
        <v>1402</v>
      </c>
      <c r="E149" s="97" t="s">
        <v>22</v>
      </c>
      <c r="F149" s="97" t="s">
        <v>1453</v>
      </c>
      <c r="G149" s="97" t="s">
        <v>1774</v>
      </c>
      <c r="H149" s="97"/>
      <c r="I149" s="97"/>
      <c r="J149" s="97"/>
      <c r="K149" s="97"/>
      <c r="L149" s="97" t="s">
        <v>1774</v>
      </c>
      <c r="M149" s="97"/>
      <c r="N149" s="97"/>
    </row>
    <row r="150" ht="60.0" customHeight="1">
      <c r="A150" s="96" t="str">
        <f>HYPERLINK("http://purl.obolibrary.org/obo/OBI_0001414","http://purl.obolibrary.org/obo/OBI_0001414")</f>
        <v>http://purl.obolibrary.org/obo/OBI_0001414</v>
      </c>
      <c r="B150" s="97" t="s">
        <v>1626</v>
      </c>
      <c r="C150" s="97" t="s">
        <v>1775</v>
      </c>
      <c r="D150" s="97" t="s">
        <v>1402</v>
      </c>
      <c r="E150" s="97" t="s">
        <v>22</v>
      </c>
      <c r="F150" s="97" t="s">
        <v>1411</v>
      </c>
      <c r="G150" s="97" t="s">
        <v>1776</v>
      </c>
      <c r="H150" s="97"/>
      <c r="I150" s="97"/>
      <c r="J150" s="97" t="s">
        <v>1776</v>
      </c>
      <c r="K150" s="97"/>
      <c r="L150" s="97"/>
      <c r="M150" s="97"/>
      <c r="N150" s="97"/>
    </row>
    <row r="151" ht="60.0" customHeight="1">
      <c r="A151" s="96" t="str">
        <f>HYPERLINK("http://purl.obolibrary.org/obo/OBI_0001416","http://purl.obolibrary.org/obo/OBI_0001416")</f>
        <v>http://purl.obolibrary.org/obo/OBI_0001416</v>
      </c>
      <c r="B151" s="97" t="s">
        <v>1777</v>
      </c>
      <c r="C151" s="97" t="s">
        <v>1778</v>
      </c>
      <c r="D151" s="97" t="s">
        <v>1402</v>
      </c>
      <c r="E151" s="97" t="s">
        <v>22</v>
      </c>
      <c r="F151" s="97" t="s">
        <v>1506</v>
      </c>
      <c r="G151" s="97" t="s">
        <v>1779</v>
      </c>
      <c r="H151" s="97"/>
      <c r="I151" s="97"/>
      <c r="J151" s="97" t="s">
        <v>1779</v>
      </c>
      <c r="K151" s="97"/>
      <c r="L151" s="97"/>
      <c r="M151" s="97"/>
      <c r="N151" s="97"/>
    </row>
    <row r="152" ht="48.0" customHeight="1">
      <c r="A152" s="96" t="str">
        <f>HYPERLINK("http://purl.obolibrary.org/obo/OBI_0001423","http://purl.obolibrary.org/obo/OBI_0001423")</f>
        <v>http://purl.obolibrary.org/obo/OBI_0001423</v>
      </c>
      <c r="B152" s="97" t="s">
        <v>1780</v>
      </c>
      <c r="C152" s="97" t="s">
        <v>1781</v>
      </c>
      <c r="D152" s="97" t="s">
        <v>1402</v>
      </c>
      <c r="E152" s="97" t="s">
        <v>22</v>
      </c>
      <c r="F152" s="97" t="s">
        <v>1630</v>
      </c>
      <c r="G152" s="97" t="s">
        <v>1782</v>
      </c>
      <c r="H152" s="97"/>
      <c r="I152" s="97"/>
      <c r="J152" s="97"/>
      <c r="K152" s="97"/>
      <c r="L152" s="97" t="s">
        <v>1782</v>
      </c>
      <c r="M152" s="97"/>
      <c r="N152" s="97"/>
    </row>
    <row r="153" ht="48.0" customHeight="1">
      <c r="A153" s="96" t="str">
        <f>HYPERLINK("http://purl.obolibrary.org/obo/OBI_0001433","http://purl.obolibrary.org/obo/OBI_0001433")</f>
        <v>http://purl.obolibrary.org/obo/OBI_0001433</v>
      </c>
      <c r="B153" s="97" t="s">
        <v>1783</v>
      </c>
      <c r="C153" s="97" t="s">
        <v>1784</v>
      </c>
      <c r="D153" s="97" t="s">
        <v>1402</v>
      </c>
      <c r="E153" s="97" t="s">
        <v>22</v>
      </c>
      <c r="F153" s="97" t="s">
        <v>1626</v>
      </c>
      <c r="G153" s="97" t="s">
        <v>1785</v>
      </c>
      <c r="H153" s="97"/>
      <c r="I153" s="97"/>
      <c r="J153" s="97"/>
      <c r="K153" s="97"/>
      <c r="L153" s="97" t="s">
        <v>1785</v>
      </c>
      <c r="M153" s="97"/>
      <c r="N153" s="97"/>
    </row>
    <row r="154" ht="36.0" customHeight="1">
      <c r="A154" s="96" t="str">
        <f>HYPERLINK("http://purl.obolibrary.org/obo/OBI_0001436","http://purl.obolibrary.org/obo/OBI_0001436")</f>
        <v>http://purl.obolibrary.org/obo/OBI_0001436</v>
      </c>
      <c r="B154" s="97" t="s">
        <v>1630</v>
      </c>
      <c r="C154" s="97" t="s">
        <v>1786</v>
      </c>
      <c r="D154" s="97" t="s">
        <v>1402</v>
      </c>
      <c r="E154" s="97" t="s">
        <v>22</v>
      </c>
      <c r="F154" s="97" t="s">
        <v>1533</v>
      </c>
      <c r="G154" s="97" t="s">
        <v>1787</v>
      </c>
      <c r="H154" s="97"/>
      <c r="I154" s="97"/>
      <c r="J154" s="97" t="s">
        <v>1787</v>
      </c>
      <c r="K154" s="97"/>
      <c r="L154" s="97"/>
      <c r="M154" s="97"/>
      <c r="N154" s="97"/>
    </row>
    <row r="155" ht="84.0" customHeight="1">
      <c r="A155" s="96" t="str">
        <f>HYPERLINK("http://purl.obolibrary.org/obo/OBI_0001437","http://purl.obolibrary.org/obo/OBI_0001437")</f>
        <v>http://purl.obolibrary.org/obo/OBI_0001437</v>
      </c>
      <c r="B155" s="97" t="s">
        <v>1788</v>
      </c>
      <c r="C155" s="97" t="s">
        <v>1789</v>
      </c>
      <c r="D155" s="97" t="s">
        <v>1402</v>
      </c>
      <c r="E155" s="97" t="s">
        <v>22</v>
      </c>
      <c r="F155" s="97" t="s">
        <v>1647</v>
      </c>
      <c r="G155" s="97" t="s">
        <v>1790</v>
      </c>
      <c r="H155" s="97"/>
      <c r="I155" s="97"/>
      <c r="J155" s="97"/>
      <c r="K155" s="97"/>
      <c r="L155" s="97" t="s">
        <v>1790</v>
      </c>
      <c r="M155" s="97"/>
      <c r="N155" s="97"/>
    </row>
    <row r="156" ht="72.0" customHeight="1">
      <c r="A156" s="96" t="str">
        <f>HYPERLINK("http://purl.obolibrary.org/obo/OBI_0001438","http://purl.obolibrary.org/obo/OBI_0001438")</f>
        <v>http://purl.obolibrary.org/obo/OBI_0001438</v>
      </c>
      <c r="B156" s="97" t="s">
        <v>1791</v>
      </c>
      <c r="C156" s="97" t="s">
        <v>1792</v>
      </c>
      <c r="D156" s="97" t="s">
        <v>1402</v>
      </c>
      <c r="E156" s="97" t="s">
        <v>22</v>
      </c>
      <c r="F156" s="97" t="s">
        <v>1793</v>
      </c>
      <c r="G156" s="97" t="s">
        <v>1794</v>
      </c>
      <c r="H156" s="97"/>
      <c r="I156" s="97"/>
      <c r="J156" s="97"/>
      <c r="K156" s="97"/>
      <c r="L156" s="97" t="s">
        <v>1794</v>
      </c>
      <c r="M156" s="97"/>
      <c r="N156" s="97"/>
    </row>
    <row r="157" ht="60.0" customHeight="1">
      <c r="A157" s="96" t="str">
        <f>HYPERLINK("http://purl.obolibrary.org/obo/OBI_0001445","http://purl.obolibrary.org/obo/OBI_0001445")</f>
        <v>http://purl.obolibrary.org/obo/OBI_0001445</v>
      </c>
      <c r="B157" s="97" t="s">
        <v>1432</v>
      </c>
      <c r="C157" s="97" t="s">
        <v>1795</v>
      </c>
      <c r="D157" s="97" t="s">
        <v>1402</v>
      </c>
      <c r="E157" s="97" t="s">
        <v>22</v>
      </c>
      <c r="F157" s="97" t="s">
        <v>1411</v>
      </c>
      <c r="G157" s="97"/>
      <c r="H157" s="97"/>
      <c r="I157" s="97"/>
      <c r="J157" s="97" t="s">
        <v>1796</v>
      </c>
      <c r="K157" s="97"/>
      <c r="L157" s="97"/>
      <c r="M157" s="97"/>
      <c r="N157" s="97"/>
    </row>
    <row r="158" ht="72.0" customHeight="1">
      <c r="A158" s="96" t="str">
        <f>HYPERLINK("http://purl.obolibrary.org/obo/OBI_0001449","http://purl.obolibrary.org/obo/OBI_0001449")</f>
        <v>http://purl.obolibrary.org/obo/OBI_0001449</v>
      </c>
      <c r="B158" s="97" t="s">
        <v>1449</v>
      </c>
      <c r="C158" s="97" t="s">
        <v>1797</v>
      </c>
      <c r="D158" s="97" t="s">
        <v>1402</v>
      </c>
      <c r="E158" s="97" t="s">
        <v>22</v>
      </c>
      <c r="F158" s="97" t="s">
        <v>1411</v>
      </c>
      <c r="G158" s="97" t="s">
        <v>1798</v>
      </c>
      <c r="H158" s="97"/>
      <c r="I158" s="97"/>
      <c r="J158" s="97" t="s">
        <v>1798</v>
      </c>
      <c r="K158" s="97"/>
      <c r="L158" s="97"/>
      <c r="M158" s="97"/>
      <c r="N158" s="97"/>
    </row>
    <row r="159" ht="60.0" customHeight="1">
      <c r="A159" s="96" t="str">
        <f>HYPERLINK("http://purl.obolibrary.org/obo/OBI_0001450","http://purl.obolibrary.org/obo/OBI_0001450")</f>
        <v>http://purl.obolibrary.org/obo/OBI_0001450</v>
      </c>
      <c r="B159" s="97" t="s">
        <v>1487</v>
      </c>
      <c r="C159" s="97" t="s">
        <v>1799</v>
      </c>
      <c r="D159" s="97" t="s">
        <v>1402</v>
      </c>
      <c r="E159" s="97" t="s">
        <v>22</v>
      </c>
      <c r="F159" s="97" t="s">
        <v>1411</v>
      </c>
      <c r="G159" s="97" t="s">
        <v>1800</v>
      </c>
      <c r="H159" s="97"/>
      <c r="I159" s="97"/>
      <c r="J159" s="97" t="s">
        <v>1800</v>
      </c>
      <c r="K159" s="97"/>
      <c r="L159" s="97"/>
      <c r="M159" s="97"/>
      <c r="N159" s="97"/>
    </row>
    <row r="160" ht="48.0" customHeight="1">
      <c r="A160" s="96" t="str">
        <f>HYPERLINK("http://purl.obolibrary.org/obo/OBI_0001451","http://purl.obolibrary.org/obo/OBI_0001451")</f>
        <v>http://purl.obolibrary.org/obo/OBI_0001451</v>
      </c>
      <c r="B160" s="97" t="s">
        <v>1453</v>
      </c>
      <c r="C160" s="97" t="s">
        <v>1801</v>
      </c>
      <c r="D160" s="97" t="s">
        <v>1402</v>
      </c>
      <c r="E160" s="97" t="s">
        <v>22</v>
      </c>
      <c r="F160" s="97" t="s">
        <v>1411</v>
      </c>
      <c r="G160" s="97" t="s">
        <v>1802</v>
      </c>
      <c r="H160" s="97"/>
      <c r="I160" s="97"/>
      <c r="J160" s="97" t="s">
        <v>1802</v>
      </c>
      <c r="K160" s="97"/>
      <c r="L160" s="97"/>
      <c r="M160" s="97"/>
      <c r="N160" s="97"/>
    </row>
    <row r="161" ht="60.0" customHeight="1">
      <c r="A161" s="96" t="str">
        <f>HYPERLINK("http://purl.obolibrary.org/obo/OBI_0001452","http://purl.obolibrary.org/obo/OBI_0001452")</f>
        <v>http://purl.obolibrary.org/obo/OBI_0001452</v>
      </c>
      <c r="B161" s="97" t="s">
        <v>1803</v>
      </c>
      <c r="C161" s="97" t="s">
        <v>1804</v>
      </c>
      <c r="D161" s="97" t="s">
        <v>1402</v>
      </c>
      <c r="E161" s="97" t="s">
        <v>22</v>
      </c>
      <c r="F161" s="97" t="s">
        <v>1777</v>
      </c>
      <c r="G161" s="97" t="s">
        <v>1805</v>
      </c>
      <c r="H161" s="97"/>
      <c r="I161" s="97"/>
      <c r="J161" s="97"/>
      <c r="K161" s="97"/>
      <c r="L161" s="97" t="s">
        <v>1805</v>
      </c>
      <c r="M161" s="97"/>
      <c r="N161" s="97"/>
    </row>
    <row r="162" ht="48.0" customHeight="1">
      <c r="A162" s="96" t="str">
        <f>HYPERLINK("http://purl.obolibrary.org/obo/OBI_0001453","http://purl.obolibrary.org/obo/OBI_0001453")</f>
        <v>http://purl.obolibrary.org/obo/OBI_0001453</v>
      </c>
      <c r="B162" s="97" t="s">
        <v>1806</v>
      </c>
      <c r="C162" s="97" t="s">
        <v>1807</v>
      </c>
      <c r="D162" s="97" t="s">
        <v>1402</v>
      </c>
      <c r="E162" s="97" t="s">
        <v>22</v>
      </c>
      <c r="F162" s="97" t="s">
        <v>1808</v>
      </c>
      <c r="G162" s="97" t="s">
        <v>1809</v>
      </c>
      <c r="H162" s="97"/>
      <c r="I162" s="97"/>
      <c r="J162" s="97"/>
      <c r="K162" s="97"/>
      <c r="L162" s="97" t="s">
        <v>1809</v>
      </c>
      <c r="M162" s="97"/>
      <c r="N162" s="97"/>
    </row>
    <row r="163" ht="36.0" customHeight="1">
      <c r="A163" s="96" t="str">
        <f>HYPERLINK("http://purl.obolibrary.org/obo/OBI_0001455","http://purl.obolibrary.org/obo/OBI_0001455")</f>
        <v>http://purl.obolibrary.org/obo/OBI_0001455</v>
      </c>
      <c r="B163" s="97" t="s">
        <v>1810</v>
      </c>
      <c r="C163" s="97" t="s">
        <v>1811</v>
      </c>
      <c r="D163" s="97" t="s">
        <v>1402</v>
      </c>
      <c r="E163" s="97" t="s">
        <v>22</v>
      </c>
      <c r="F163" s="97" t="s">
        <v>1462</v>
      </c>
      <c r="G163" s="97" t="s">
        <v>1812</v>
      </c>
      <c r="H163" s="97"/>
      <c r="I163" s="97"/>
      <c r="J163" s="97"/>
      <c r="K163" s="97"/>
      <c r="L163" s="97" t="s">
        <v>1812</v>
      </c>
      <c r="M163" s="97"/>
      <c r="N163" s="97"/>
    </row>
    <row r="164" ht="48.0" customHeight="1">
      <c r="A164" s="96" t="str">
        <f>HYPERLINK("http://purl.obolibrary.org/obo/OBI_0001456","http://purl.obolibrary.org/obo/OBI_0001456")</f>
        <v>http://purl.obolibrary.org/obo/OBI_0001456</v>
      </c>
      <c r="B164" s="97" t="s">
        <v>1793</v>
      </c>
      <c r="C164" s="97" t="s">
        <v>1813</v>
      </c>
      <c r="D164" s="97" t="s">
        <v>1402</v>
      </c>
      <c r="E164" s="97" t="s">
        <v>22</v>
      </c>
      <c r="F164" s="97" t="s">
        <v>1411</v>
      </c>
      <c r="G164" s="97" t="s">
        <v>1814</v>
      </c>
      <c r="H164" s="97"/>
      <c r="I164" s="97"/>
      <c r="J164" s="97" t="s">
        <v>1814</v>
      </c>
      <c r="K164" s="97"/>
      <c r="L164" s="97"/>
      <c r="M164" s="97"/>
      <c r="N164" s="97"/>
    </row>
    <row r="165" ht="48.0" customHeight="1">
      <c r="A165" s="96" t="str">
        <f>HYPERLINK("http://purl.obolibrary.org/obo/OBI_0001457","http://purl.obolibrary.org/obo/OBI_0001457")</f>
        <v>http://purl.obolibrary.org/obo/OBI_0001457</v>
      </c>
      <c r="B165" s="97" t="s">
        <v>1815</v>
      </c>
      <c r="C165" s="97" t="s">
        <v>1816</v>
      </c>
      <c r="D165" s="97" t="s">
        <v>1402</v>
      </c>
      <c r="E165" s="97" t="s">
        <v>22</v>
      </c>
      <c r="F165" s="97" t="s">
        <v>1437</v>
      </c>
      <c r="G165" s="97" t="s">
        <v>1817</v>
      </c>
      <c r="H165" s="97"/>
      <c r="I165" s="97"/>
      <c r="J165" s="97"/>
      <c r="K165" s="97"/>
      <c r="L165" s="97" t="s">
        <v>1817</v>
      </c>
      <c r="M165" s="97"/>
      <c r="N165" s="97"/>
    </row>
    <row r="166" ht="48.0" customHeight="1">
      <c r="A166" s="96" t="str">
        <f>HYPERLINK("http://purl.obolibrary.org/obo/OBI_0001459","http://purl.obolibrary.org/obo/OBI_0001459")</f>
        <v>http://purl.obolibrary.org/obo/OBI_0001459</v>
      </c>
      <c r="B166" s="97" t="s">
        <v>1647</v>
      </c>
      <c r="C166" s="97" t="s">
        <v>1818</v>
      </c>
      <c r="D166" s="97" t="s">
        <v>1402</v>
      </c>
      <c r="E166" s="97" t="s">
        <v>22</v>
      </c>
      <c r="F166" s="97" t="s">
        <v>1411</v>
      </c>
      <c r="G166" s="97" t="s">
        <v>1819</v>
      </c>
      <c r="H166" s="97"/>
      <c r="I166" s="97"/>
      <c r="J166" s="97" t="s">
        <v>1819</v>
      </c>
      <c r="K166" s="97"/>
      <c r="L166" s="97"/>
      <c r="M166" s="97"/>
      <c r="N166" s="97"/>
    </row>
    <row r="167" ht="48.0" customHeight="1">
      <c r="A167" s="96" t="str">
        <f>HYPERLINK("http://purl.obolibrary.org/obo/OBI_0001461","http://purl.obolibrary.org/obo/OBI_0001461")</f>
        <v>http://purl.obolibrary.org/obo/OBI_0001461</v>
      </c>
      <c r="B167" s="97" t="s">
        <v>1820</v>
      </c>
      <c r="C167" s="97" t="s">
        <v>1821</v>
      </c>
      <c r="D167" s="97" t="s">
        <v>1402</v>
      </c>
      <c r="E167" s="97" t="s">
        <v>22</v>
      </c>
      <c r="F167" s="97" t="s">
        <v>1630</v>
      </c>
      <c r="G167" s="97" t="s">
        <v>1822</v>
      </c>
      <c r="H167" s="97"/>
      <c r="I167" s="97"/>
      <c r="J167" s="97"/>
      <c r="K167" s="97"/>
      <c r="L167" s="97" t="s">
        <v>1822</v>
      </c>
      <c r="M167" s="97"/>
      <c r="N167" s="97"/>
    </row>
    <row r="168" ht="48.0" customHeight="1">
      <c r="A168" s="96" t="str">
        <f>HYPERLINK("http://purl.obolibrary.org/obo/OBI_0001465","http://purl.obolibrary.org/obo/OBI_0001465")</f>
        <v>http://purl.obolibrary.org/obo/OBI_0001465</v>
      </c>
      <c r="B168" s="97" t="s">
        <v>1495</v>
      </c>
      <c r="C168" s="97" t="s">
        <v>1823</v>
      </c>
      <c r="D168" s="97" t="s">
        <v>1402</v>
      </c>
      <c r="E168" s="97" t="s">
        <v>22</v>
      </c>
      <c r="F168" s="97" t="s">
        <v>1411</v>
      </c>
      <c r="G168" s="97" t="s">
        <v>1824</v>
      </c>
      <c r="H168" s="97"/>
      <c r="I168" s="97"/>
      <c r="J168" s="97" t="s">
        <v>1824</v>
      </c>
      <c r="K168" s="97"/>
      <c r="L168" s="97"/>
      <c r="M168" s="97"/>
      <c r="N168" s="97"/>
    </row>
    <row r="169" ht="48.0" customHeight="1">
      <c r="A169" s="96" t="str">
        <f>HYPERLINK("http://purl.obolibrary.org/obo/OBI_0001466","http://purl.obolibrary.org/obo/OBI_0001466")</f>
        <v>http://purl.obolibrary.org/obo/OBI_0001466</v>
      </c>
      <c r="B169" s="97" t="s">
        <v>1825</v>
      </c>
      <c r="C169" s="97" t="s">
        <v>1826</v>
      </c>
      <c r="D169" s="97" t="s">
        <v>1402</v>
      </c>
      <c r="E169" s="97" t="s">
        <v>22</v>
      </c>
      <c r="F169" s="97" t="s">
        <v>1531</v>
      </c>
      <c r="G169" s="97" t="s">
        <v>1827</v>
      </c>
      <c r="H169" s="97"/>
      <c r="I169" s="97"/>
      <c r="J169" s="97"/>
      <c r="K169" s="97"/>
      <c r="L169" s="97" t="s">
        <v>1827</v>
      </c>
      <c r="M169" s="97"/>
      <c r="N169" s="97"/>
    </row>
    <row r="170" ht="48.0" customHeight="1">
      <c r="A170" s="96" t="str">
        <f>HYPERLINK("http://purl.obolibrary.org/obo/OBI_0001467","http://purl.obolibrary.org/obo/OBI_0001467")</f>
        <v>http://purl.obolibrary.org/obo/OBI_0001467</v>
      </c>
      <c r="B170" s="97" t="s">
        <v>1828</v>
      </c>
      <c r="C170" s="97" t="s">
        <v>1829</v>
      </c>
      <c r="D170" s="97" t="s">
        <v>4</v>
      </c>
      <c r="E170" s="97" t="s">
        <v>22</v>
      </c>
      <c r="F170" s="97" t="s">
        <v>1634</v>
      </c>
      <c r="G170" s="97" t="s">
        <v>1830</v>
      </c>
      <c r="H170" s="97"/>
      <c r="I170" s="97"/>
      <c r="J170" s="97"/>
      <c r="K170" s="97"/>
      <c r="L170" s="97" t="s">
        <v>1830</v>
      </c>
      <c r="M170" s="97"/>
      <c r="N170" s="97"/>
    </row>
    <row r="171" ht="36.0" customHeight="1">
      <c r="A171" s="96" t="str">
        <f>HYPERLINK("http://purl.obolibrary.org/obo/OBI_0001469","http://purl.obolibrary.org/obo/OBI_0001469")</f>
        <v>http://purl.obolibrary.org/obo/OBI_0001469</v>
      </c>
      <c r="B171" s="97" t="s">
        <v>1831</v>
      </c>
      <c r="C171" s="97" t="s">
        <v>1832</v>
      </c>
      <c r="D171" s="97" t="s">
        <v>1402</v>
      </c>
      <c r="E171" s="97" t="s">
        <v>22</v>
      </c>
      <c r="F171" s="97" t="s">
        <v>1833</v>
      </c>
      <c r="G171" s="97"/>
      <c r="H171" s="97"/>
      <c r="I171" s="97"/>
      <c r="J171" s="97"/>
      <c r="K171" s="97"/>
      <c r="L171" s="97" t="s">
        <v>1834</v>
      </c>
      <c r="M171" s="97"/>
      <c r="N171" s="97"/>
    </row>
    <row r="172" ht="36.0" customHeight="1">
      <c r="A172" s="96" t="str">
        <f>HYPERLINK("http://purl.obolibrary.org/obo/OBI_0001473","http://purl.obolibrary.org/obo/OBI_0001473")</f>
        <v>http://purl.obolibrary.org/obo/OBI_0001473</v>
      </c>
      <c r="B172" s="97" t="s">
        <v>1835</v>
      </c>
      <c r="C172" s="97" t="s">
        <v>1836</v>
      </c>
      <c r="D172" s="97" t="s">
        <v>4</v>
      </c>
      <c r="E172" s="97" t="s">
        <v>22</v>
      </c>
      <c r="F172" s="97" t="s">
        <v>1837</v>
      </c>
      <c r="G172" s="97" t="s">
        <v>1838</v>
      </c>
      <c r="H172" s="97"/>
      <c r="I172" s="97" t="s">
        <v>1838</v>
      </c>
      <c r="J172" s="97"/>
      <c r="K172" s="97"/>
      <c r="L172" s="97" t="s">
        <v>1838</v>
      </c>
      <c r="M172" s="97"/>
      <c r="N172" s="97"/>
    </row>
    <row r="173" ht="24.0" customHeight="1">
      <c r="A173" s="96" t="str">
        <f>HYPERLINK("http://purl.obolibrary.org/obo/OBI_0001475","http://purl.obolibrary.org/obo/OBI_0001475")</f>
        <v>http://purl.obolibrary.org/obo/OBI_0001475</v>
      </c>
      <c r="B173" s="97" t="s">
        <v>1839</v>
      </c>
      <c r="C173" s="97" t="s">
        <v>1840</v>
      </c>
      <c r="D173" s="97" t="s">
        <v>4</v>
      </c>
      <c r="E173" s="97" t="s">
        <v>22</v>
      </c>
      <c r="F173" s="97" t="s">
        <v>1837</v>
      </c>
      <c r="G173" s="97" t="s">
        <v>1841</v>
      </c>
      <c r="H173" s="97"/>
      <c r="I173" s="97" t="s">
        <v>1841</v>
      </c>
      <c r="J173" s="97"/>
      <c r="K173" s="97"/>
      <c r="L173" s="97" t="s">
        <v>1841</v>
      </c>
      <c r="M173" s="97"/>
      <c r="N173" s="97"/>
    </row>
    <row r="174" ht="48.0" customHeight="1">
      <c r="A174" s="96" t="str">
        <f>HYPERLINK("http://purl.obolibrary.org/obo/OBI_0001476","http://purl.obolibrary.org/obo/OBI_0001476")</f>
        <v>http://purl.obolibrary.org/obo/OBI_0001476</v>
      </c>
      <c r="B174" s="97" t="s">
        <v>1842</v>
      </c>
      <c r="C174" s="97" t="s">
        <v>1843</v>
      </c>
      <c r="D174" s="97" t="s">
        <v>4</v>
      </c>
      <c r="E174" s="97" t="s">
        <v>1309</v>
      </c>
      <c r="F174" s="97" t="s">
        <v>46</v>
      </c>
      <c r="G174" s="97" t="s">
        <v>1844</v>
      </c>
      <c r="H174" s="97"/>
      <c r="I174" s="97" t="s">
        <v>1844</v>
      </c>
      <c r="J174" s="97"/>
      <c r="K174" s="97"/>
      <c r="L174" s="97" t="s">
        <v>1844</v>
      </c>
      <c r="M174" s="97"/>
      <c r="N174" s="97"/>
    </row>
    <row r="175" ht="60.0" customHeight="1">
      <c r="A175" s="96" t="str">
        <f>HYPERLINK("http://purl.obolibrary.org/obo/OBI_0001478","http://purl.obolibrary.org/obo/OBI_0001478")</f>
        <v>http://purl.obolibrary.org/obo/OBI_0001478</v>
      </c>
      <c r="B175" s="97" t="s">
        <v>1845</v>
      </c>
      <c r="C175" s="97" t="s">
        <v>1846</v>
      </c>
      <c r="D175" s="97" t="s">
        <v>4</v>
      </c>
      <c r="E175" s="97" t="s">
        <v>22</v>
      </c>
      <c r="F175" s="97" t="s">
        <v>1833</v>
      </c>
      <c r="G175" s="97" t="s">
        <v>1847</v>
      </c>
      <c r="H175" s="97"/>
      <c r="I175" s="97"/>
      <c r="J175" s="97"/>
      <c r="K175" s="97"/>
      <c r="L175" s="97" t="s">
        <v>1847</v>
      </c>
      <c r="M175" s="97"/>
      <c r="N175" s="97"/>
    </row>
    <row r="176" ht="72.0" customHeight="1">
      <c r="A176" s="96" t="str">
        <f>HYPERLINK("http://purl.obolibrary.org/obo/OBI_0001482","http://purl.obolibrary.org/obo/OBI_0001482")</f>
        <v>http://purl.obolibrary.org/obo/OBI_0001482</v>
      </c>
      <c r="B176" s="97" t="s">
        <v>1848</v>
      </c>
      <c r="C176" s="97" t="s">
        <v>1849</v>
      </c>
      <c r="D176" s="97" t="s">
        <v>4</v>
      </c>
      <c r="E176" s="97" t="s">
        <v>22</v>
      </c>
      <c r="F176" s="97" t="s">
        <v>1403</v>
      </c>
      <c r="G176" s="97" t="s">
        <v>1850</v>
      </c>
      <c r="H176" s="97"/>
      <c r="I176" s="97"/>
      <c r="J176" s="97"/>
      <c r="K176" s="97"/>
      <c r="L176" s="97" t="s">
        <v>1850</v>
      </c>
      <c r="M176" s="97"/>
      <c r="N176" s="97"/>
    </row>
    <row r="177" ht="96.0" customHeight="1">
      <c r="A177" s="96" t="str">
        <f>HYPERLINK("http://purl.obolibrary.org/obo/OBI_0001484","http://purl.obolibrary.org/obo/OBI_0001484")</f>
        <v>http://purl.obolibrary.org/obo/OBI_0001484</v>
      </c>
      <c r="B177" s="97" t="s">
        <v>1634</v>
      </c>
      <c r="C177" s="97" t="s">
        <v>1851</v>
      </c>
      <c r="D177" s="97" t="s">
        <v>4</v>
      </c>
      <c r="E177" s="97" t="s">
        <v>22</v>
      </c>
      <c r="F177" s="97" t="s">
        <v>1535</v>
      </c>
      <c r="G177" s="97" t="s">
        <v>1852</v>
      </c>
      <c r="H177" s="97"/>
      <c r="I177" s="97" t="s">
        <v>1852</v>
      </c>
      <c r="J177" s="97"/>
      <c r="K177" s="97"/>
      <c r="L177" s="97" t="s">
        <v>1852</v>
      </c>
      <c r="M177" s="97"/>
      <c r="N177" s="97"/>
    </row>
    <row r="178" ht="60.0" customHeight="1">
      <c r="A178" s="96" t="str">
        <f>HYPERLINK("http://purl.obolibrary.org/obo/OBI_0001488","http://purl.obolibrary.org/obo/OBI_0001488")</f>
        <v>http://purl.obolibrary.org/obo/OBI_0001488</v>
      </c>
      <c r="B178" s="97" t="s">
        <v>1853</v>
      </c>
      <c r="C178" s="97" t="s">
        <v>1854</v>
      </c>
      <c r="D178" s="97" t="s">
        <v>4</v>
      </c>
      <c r="E178" s="97" t="s">
        <v>22</v>
      </c>
      <c r="F178" s="97" t="s">
        <v>1379</v>
      </c>
      <c r="G178" s="97"/>
      <c r="H178" s="97"/>
      <c r="I178" s="97"/>
      <c r="J178" s="97"/>
      <c r="K178" s="97"/>
      <c r="L178" s="97"/>
      <c r="M178" s="97"/>
      <c r="N178" s="97"/>
    </row>
    <row r="179" ht="72.0" customHeight="1">
      <c r="A179" s="96" t="str">
        <f>HYPERLINK("http://purl.obolibrary.org/obo/OBI_0001489","http://purl.obolibrary.org/obo/OBI_0001489")</f>
        <v>http://purl.obolibrary.org/obo/OBI_0001489</v>
      </c>
      <c r="B179" s="97" t="s">
        <v>1855</v>
      </c>
      <c r="C179" s="97" t="s">
        <v>1856</v>
      </c>
      <c r="D179" s="97" t="s">
        <v>4</v>
      </c>
      <c r="E179" s="97" t="s">
        <v>22</v>
      </c>
      <c r="F179" s="97" t="s">
        <v>1845</v>
      </c>
      <c r="G179" s="97"/>
      <c r="H179" s="97"/>
      <c r="I179" s="97"/>
      <c r="J179" s="97"/>
      <c r="K179" s="97"/>
      <c r="L179" s="97" t="s">
        <v>1857</v>
      </c>
      <c r="M179" s="97"/>
      <c r="N179" s="97"/>
    </row>
    <row r="180" ht="48.0" customHeight="1">
      <c r="A180" s="96" t="str">
        <f>HYPERLINK("http://purl.obolibrary.org/obo/OBI_0001490","http://purl.obolibrary.org/obo/OBI_0001490")</f>
        <v>http://purl.obolibrary.org/obo/OBI_0001490</v>
      </c>
      <c r="B180" s="97" t="s">
        <v>1858</v>
      </c>
      <c r="C180" s="97" t="s">
        <v>1859</v>
      </c>
      <c r="D180" s="97" t="s">
        <v>1402</v>
      </c>
      <c r="E180" s="97" t="s">
        <v>22</v>
      </c>
      <c r="F180" s="97" t="s">
        <v>1418</v>
      </c>
      <c r="G180" s="97" t="s">
        <v>1860</v>
      </c>
      <c r="H180" s="97"/>
      <c r="I180" s="97"/>
      <c r="J180" s="97"/>
      <c r="K180" s="97"/>
      <c r="L180" s="97" t="s">
        <v>1860</v>
      </c>
      <c r="M180" s="97"/>
      <c r="N180" s="97"/>
    </row>
    <row r="181" ht="36.0" customHeight="1">
      <c r="A181" s="96" t="str">
        <f>HYPERLINK("http://purl.obolibrary.org/obo/OBI_0001492","http://purl.obolibrary.org/obo/OBI_0001492")</f>
        <v>http://purl.obolibrary.org/obo/OBI_0001492</v>
      </c>
      <c r="B181" s="97" t="s">
        <v>1861</v>
      </c>
      <c r="C181" s="97" t="s">
        <v>1862</v>
      </c>
      <c r="D181" s="97" t="s">
        <v>4</v>
      </c>
      <c r="E181" s="97" t="s">
        <v>22</v>
      </c>
      <c r="F181" s="97" t="s">
        <v>1837</v>
      </c>
      <c r="G181" s="97" t="s">
        <v>1863</v>
      </c>
      <c r="H181" s="97"/>
      <c r="I181" s="97"/>
      <c r="J181" s="97"/>
      <c r="K181" s="97"/>
      <c r="L181" s="97" t="s">
        <v>1863</v>
      </c>
      <c r="M181" s="97"/>
      <c r="N181" s="97"/>
    </row>
    <row r="182" ht="60.0" customHeight="1">
      <c r="A182" s="96" t="str">
        <f>HYPERLINK("http://purl.obolibrary.org/obo/OBI_0001493","http://purl.obolibrary.org/obo/OBI_0001493")</f>
        <v>http://purl.obolibrary.org/obo/OBI_0001493</v>
      </c>
      <c r="B182" s="97" t="s">
        <v>1864</v>
      </c>
      <c r="C182" s="97" t="s">
        <v>1865</v>
      </c>
      <c r="D182" s="97" t="s">
        <v>4</v>
      </c>
      <c r="E182" s="97" t="s">
        <v>22</v>
      </c>
      <c r="F182" s="97" t="s">
        <v>1866</v>
      </c>
      <c r="G182" s="97"/>
      <c r="H182" s="97"/>
      <c r="I182" s="97" t="s">
        <v>1867</v>
      </c>
      <c r="J182" s="97"/>
      <c r="K182" s="97"/>
      <c r="L182" s="97" t="s">
        <v>1868</v>
      </c>
      <c r="M182" s="97"/>
      <c r="N182" s="97"/>
    </row>
    <row r="183" ht="36.0" customHeight="1">
      <c r="A183" s="96" t="str">
        <f>HYPERLINK("http://purl.obolibrary.org/obo/OBI_0001495","http://purl.obolibrary.org/obo/OBI_0001495")</f>
        <v>http://purl.obolibrary.org/obo/OBI_0001495</v>
      </c>
      <c r="B183" s="97" t="s">
        <v>1457</v>
      </c>
      <c r="C183" s="97" t="s">
        <v>1869</v>
      </c>
      <c r="D183" s="97" t="s">
        <v>4</v>
      </c>
      <c r="E183" s="97" t="s">
        <v>22</v>
      </c>
      <c r="F183" s="97" t="s">
        <v>1535</v>
      </c>
      <c r="G183" s="97" t="s">
        <v>1870</v>
      </c>
      <c r="H183" s="97"/>
      <c r="I183" s="97"/>
      <c r="J183" s="97" t="s">
        <v>1870</v>
      </c>
      <c r="K183" s="97"/>
      <c r="L183" s="97"/>
      <c r="M183" s="97"/>
      <c r="N183" s="97"/>
    </row>
    <row r="184" ht="72.0" customHeight="1">
      <c r="A184" s="96" t="str">
        <f>HYPERLINK("http://purl.obolibrary.org/obo/OBI_0001496","http://purl.obolibrary.org/obo/OBI_0001496")</f>
        <v>http://purl.obolibrary.org/obo/OBI_0001496</v>
      </c>
      <c r="B184" s="97" t="s">
        <v>1871</v>
      </c>
      <c r="C184" s="97" t="s">
        <v>1872</v>
      </c>
      <c r="D184" s="97" t="s">
        <v>4</v>
      </c>
      <c r="E184" s="97" t="s">
        <v>22</v>
      </c>
      <c r="F184" s="97" t="s">
        <v>1434</v>
      </c>
      <c r="G184" s="97" t="s">
        <v>1873</v>
      </c>
      <c r="H184" s="97"/>
      <c r="I184" s="97"/>
      <c r="J184" s="97"/>
      <c r="K184" s="97"/>
      <c r="L184" s="97" t="s">
        <v>1873</v>
      </c>
      <c r="M184" s="97"/>
      <c r="N184" s="97"/>
    </row>
    <row r="185" ht="36.0" customHeight="1">
      <c r="A185" s="96" t="str">
        <f>HYPERLINK("http://purl.obolibrary.org/obo/OBI_0001497","http://purl.obolibrary.org/obo/OBI_0001497")</f>
        <v>http://purl.obolibrary.org/obo/OBI_0001497</v>
      </c>
      <c r="B185" s="97" t="s">
        <v>1428</v>
      </c>
      <c r="C185" s="97" t="s">
        <v>1874</v>
      </c>
      <c r="D185" s="97" t="s">
        <v>4</v>
      </c>
      <c r="E185" s="97" t="s">
        <v>22</v>
      </c>
      <c r="F185" s="97" t="s">
        <v>1533</v>
      </c>
      <c r="G185" s="97" t="s">
        <v>1875</v>
      </c>
      <c r="H185" s="97"/>
      <c r="I185" s="97"/>
      <c r="J185" s="97" t="s">
        <v>1875</v>
      </c>
      <c r="K185" s="97"/>
      <c r="L185" s="97"/>
      <c r="M185" s="97"/>
      <c r="N185" s="97"/>
    </row>
    <row r="186" ht="36.0" customHeight="1">
      <c r="A186" s="97" t="s">
        <v>1876</v>
      </c>
      <c r="B186" s="97" t="s">
        <v>1877</v>
      </c>
      <c r="C186" s="97" t="s">
        <v>1878</v>
      </c>
      <c r="D186" s="97" t="s">
        <v>1402</v>
      </c>
      <c r="E186" s="97" t="s">
        <v>22</v>
      </c>
      <c r="F186" s="97" t="s">
        <v>1833</v>
      </c>
      <c r="G186" s="97"/>
      <c r="H186" s="97"/>
      <c r="I186" s="97" t="s">
        <v>1879</v>
      </c>
      <c r="J186" s="97"/>
      <c r="K186" s="97"/>
      <c r="L186" s="97" t="s">
        <v>1834</v>
      </c>
      <c r="M186" s="97"/>
      <c r="N186" s="97"/>
    </row>
    <row r="187" ht="36.0" customHeight="1">
      <c r="A187" s="96" t="str">
        <f>HYPERLINK("http://purl.obolibrary.org/obo/OBI_0001501","http://purl.obolibrary.org/obo/OBI_0001501")</f>
        <v>http://purl.obolibrary.org/obo/OBI_0001501</v>
      </c>
      <c r="B187" s="97" t="s">
        <v>1880</v>
      </c>
      <c r="C187" s="97" t="s">
        <v>1881</v>
      </c>
      <c r="D187" s="97" t="s">
        <v>4</v>
      </c>
      <c r="E187" s="97" t="s">
        <v>1309</v>
      </c>
      <c r="F187" s="97" t="s">
        <v>19</v>
      </c>
      <c r="G187" s="97" t="s">
        <v>1882</v>
      </c>
      <c r="H187" s="97"/>
      <c r="I187" s="97" t="s">
        <v>1882</v>
      </c>
      <c r="J187" s="97" t="s">
        <v>1882</v>
      </c>
      <c r="K187" s="97"/>
      <c r="L187" s="97"/>
      <c r="M187" s="97"/>
      <c r="N187" s="97"/>
    </row>
    <row r="188" ht="48.0" customHeight="1">
      <c r="A188" s="96" t="str">
        <f>HYPERLINK("http://purl.obolibrary.org/obo/OBI_0001507","http://purl.obolibrary.org/obo/OBI_0001507")</f>
        <v>http://purl.obolibrary.org/obo/OBI_0001507</v>
      </c>
      <c r="B188" s="97" t="s">
        <v>1883</v>
      </c>
      <c r="C188" s="97" t="s">
        <v>1884</v>
      </c>
      <c r="D188" s="97" t="s">
        <v>4</v>
      </c>
      <c r="E188" s="97" t="s">
        <v>22</v>
      </c>
      <c r="F188" s="97" t="s">
        <v>1634</v>
      </c>
      <c r="G188" s="97" t="s">
        <v>1885</v>
      </c>
      <c r="H188" s="97"/>
      <c r="I188" s="97"/>
      <c r="J188" s="97"/>
      <c r="K188" s="97"/>
      <c r="L188" s="97" t="s">
        <v>1885</v>
      </c>
      <c r="M188" s="97"/>
      <c r="N188" s="97"/>
    </row>
    <row r="189" ht="36.0" customHeight="1">
      <c r="A189" s="96" t="str">
        <f>HYPERLINK("http://purl.obolibrary.org/obo/OBI_0001509","http://purl.obolibrary.org/obo/OBI_0001509")</f>
        <v>http://purl.obolibrary.org/obo/OBI_0001509</v>
      </c>
      <c r="B189" s="97" t="s">
        <v>1886</v>
      </c>
      <c r="C189" s="97" t="s">
        <v>1887</v>
      </c>
      <c r="D189" s="97" t="s">
        <v>1402</v>
      </c>
      <c r="E189" s="97" t="s">
        <v>22</v>
      </c>
      <c r="F189" s="97" t="s">
        <v>1833</v>
      </c>
      <c r="G189" s="97" t="s">
        <v>1888</v>
      </c>
      <c r="H189" s="97"/>
      <c r="I189" s="97"/>
      <c r="J189" s="97"/>
      <c r="K189" s="97"/>
      <c r="L189" s="97" t="s">
        <v>1888</v>
      </c>
      <c r="M189" s="97"/>
      <c r="N189" s="97"/>
    </row>
    <row r="190" ht="48.0" customHeight="1">
      <c r="A190" s="96" t="str">
        <f>HYPERLINK("http://purl.obolibrary.org/obo/OBI_0001510","http://purl.obolibrary.org/obo/OBI_0001510")</f>
        <v>http://purl.obolibrary.org/obo/OBI_0001510</v>
      </c>
      <c r="B190" s="97" t="s">
        <v>1889</v>
      </c>
      <c r="C190" s="97" t="s">
        <v>1890</v>
      </c>
      <c r="D190" s="97" t="s">
        <v>4</v>
      </c>
      <c r="E190" s="97" t="s">
        <v>22</v>
      </c>
      <c r="F190" s="97" t="s">
        <v>1845</v>
      </c>
      <c r="G190" s="97"/>
      <c r="H190" s="97"/>
      <c r="I190" s="97"/>
      <c r="J190" s="97"/>
      <c r="K190" s="97"/>
      <c r="L190" s="97" t="s">
        <v>1857</v>
      </c>
      <c r="M190" s="97"/>
      <c r="N190" s="97"/>
    </row>
    <row r="191" ht="48.0" customHeight="1">
      <c r="A191" s="96" t="str">
        <f>HYPERLINK("http://purl.obolibrary.org/obo/OBI_0001512","http://purl.obolibrary.org/obo/OBI_0001512")</f>
        <v>http://purl.obolibrary.org/obo/OBI_0001512</v>
      </c>
      <c r="B191" s="97" t="s">
        <v>1891</v>
      </c>
      <c r="C191" s="97" t="s">
        <v>1892</v>
      </c>
      <c r="D191" s="97" t="s">
        <v>4</v>
      </c>
      <c r="E191" s="97" t="s">
        <v>22</v>
      </c>
      <c r="F191" s="97" t="s">
        <v>1893</v>
      </c>
      <c r="G191" s="97" t="s">
        <v>1894</v>
      </c>
      <c r="H191" s="97"/>
      <c r="I191" s="97"/>
      <c r="J191" s="97"/>
      <c r="K191" s="97"/>
      <c r="L191" s="97" t="s">
        <v>1894</v>
      </c>
      <c r="M191" s="97"/>
      <c r="N191" s="97"/>
    </row>
    <row r="192" ht="60.0" customHeight="1">
      <c r="A192" s="96" t="str">
        <f>HYPERLINK("http://purl.obolibrary.org/obo/OBI_0001513","http://purl.obolibrary.org/obo/OBI_0001513")</f>
        <v>http://purl.obolibrary.org/obo/OBI_0001513</v>
      </c>
      <c r="B192" s="97" t="s">
        <v>1895</v>
      </c>
      <c r="C192" s="97" t="s">
        <v>1896</v>
      </c>
      <c r="D192" s="97" t="s">
        <v>1402</v>
      </c>
      <c r="E192" s="97" t="s">
        <v>22</v>
      </c>
      <c r="F192" s="97" t="s">
        <v>1897</v>
      </c>
      <c r="G192" s="97"/>
      <c r="H192" s="97"/>
      <c r="I192" s="97" t="s">
        <v>1898</v>
      </c>
      <c r="J192" s="97"/>
      <c r="K192" s="97"/>
      <c r="L192" s="97" t="s">
        <v>1899</v>
      </c>
      <c r="M192" s="97"/>
      <c r="N192" s="97"/>
    </row>
    <row r="193" ht="60.0" customHeight="1">
      <c r="A193" s="96" t="str">
        <f>HYPERLINK("http://purl.obolibrary.org/obo/OBI_0001516","http://purl.obolibrary.org/obo/OBI_0001516")</f>
        <v>http://purl.obolibrary.org/obo/OBI_0001516</v>
      </c>
      <c r="B193" s="97" t="s">
        <v>1900</v>
      </c>
      <c r="C193" s="97" t="s">
        <v>1901</v>
      </c>
      <c r="D193" s="97" t="s">
        <v>1402</v>
      </c>
      <c r="E193" s="97" t="s">
        <v>22</v>
      </c>
      <c r="F193" s="97" t="s">
        <v>1902</v>
      </c>
      <c r="G193" s="97" t="s">
        <v>1903</v>
      </c>
      <c r="H193" s="97"/>
      <c r="I193" s="97" t="s">
        <v>1903</v>
      </c>
      <c r="J193" s="97" t="s">
        <v>1903</v>
      </c>
      <c r="K193" s="97"/>
      <c r="L193" s="97" t="s">
        <v>1903</v>
      </c>
      <c r="M193" s="97"/>
      <c r="N193" s="97"/>
    </row>
    <row r="194" ht="60.0" customHeight="1">
      <c r="A194" s="96" t="str">
        <f>HYPERLINK("http://purl.obolibrary.org/obo/OBI_0001517","http://purl.obolibrary.org/obo/OBI_0001517")</f>
        <v>http://purl.obolibrary.org/obo/OBI_0001517</v>
      </c>
      <c r="B194" s="97" t="s">
        <v>1904</v>
      </c>
      <c r="C194" s="97" t="s">
        <v>1905</v>
      </c>
      <c r="D194" s="97" t="s">
        <v>1402</v>
      </c>
      <c r="E194" s="97" t="s">
        <v>22</v>
      </c>
      <c r="F194" s="97" t="s">
        <v>1906</v>
      </c>
      <c r="G194" s="97" t="s">
        <v>1907</v>
      </c>
      <c r="H194" s="97"/>
      <c r="I194" s="97" t="s">
        <v>1907</v>
      </c>
      <c r="J194" s="97" t="s">
        <v>1907</v>
      </c>
      <c r="K194" s="97"/>
      <c r="L194" s="97" t="s">
        <v>1907</v>
      </c>
      <c r="M194" s="97"/>
      <c r="N194" s="97"/>
    </row>
    <row r="195" ht="60.0" customHeight="1">
      <c r="A195" s="96" t="str">
        <f>HYPERLINK("http://purl.obolibrary.org/obo/OBI_0001519","http://purl.obolibrary.org/obo/OBI_0001519")</f>
        <v>http://purl.obolibrary.org/obo/OBI_0001519</v>
      </c>
      <c r="B195" s="97" t="s">
        <v>1908</v>
      </c>
      <c r="C195" s="97" t="s">
        <v>1909</v>
      </c>
      <c r="D195" s="97" t="s">
        <v>1402</v>
      </c>
      <c r="E195" s="97" t="s">
        <v>22</v>
      </c>
      <c r="F195" s="97" t="s">
        <v>1910</v>
      </c>
      <c r="G195" s="97"/>
      <c r="H195" s="97"/>
      <c r="I195" s="97" t="s">
        <v>1911</v>
      </c>
      <c r="J195" s="97"/>
      <c r="K195" s="97"/>
      <c r="L195" s="97" t="s">
        <v>1912</v>
      </c>
      <c r="M195" s="97"/>
      <c r="N195" s="97"/>
    </row>
    <row r="196" ht="48.0" customHeight="1">
      <c r="A196" s="96" t="str">
        <f>HYPERLINK("http://purl.obolibrary.org/obo/OBI_0001520","http://purl.obolibrary.org/obo/OBI_0001520")</f>
        <v>http://purl.obolibrary.org/obo/OBI_0001520</v>
      </c>
      <c r="B196" s="97" t="s">
        <v>1913</v>
      </c>
      <c r="C196" s="97" t="s">
        <v>1914</v>
      </c>
      <c r="D196" s="97" t="s">
        <v>1402</v>
      </c>
      <c r="E196" s="97" t="s">
        <v>22</v>
      </c>
      <c r="F196" s="97" t="s">
        <v>1915</v>
      </c>
      <c r="G196" s="97" t="s">
        <v>1916</v>
      </c>
      <c r="H196" s="97"/>
      <c r="I196" s="97" t="s">
        <v>1916</v>
      </c>
      <c r="J196" s="97" t="s">
        <v>1916</v>
      </c>
      <c r="K196" s="97"/>
      <c r="L196" s="97" t="s">
        <v>1916</v>
      </c>
      <c r="M196" s="97"/>
      <c r="N196" s="97"/>
    </row>
    <row r="197" ht="36.0" customHeight="1">
      <c r="A197" s="96" t="str">
        <f>HYPERLINK("http://purl.obolibrary.org/obo/OBI_0001521","http://purl.obolibrary.org/obo/OBI_0001521")</f>
        <v>http://purl.obolibrary.org/obo/OBI_0001521</v>
      </c>
      <c r="B197" s="97" t="s">
        <v>1917</v>
      </c>
      <c r="C197" s="97" t="s">
        <v>1918</v>
      </c>
      <c r="D197" s="97" t="s">
        <v>4</v>
      </c>
      <c r="E197" s="97" t="s">
        <v>22</v>
      </c>
      <c r="F197" s="97" t="s">
        <v>1755</v>
      </c>
      <c r="G197" s="97" t="s">
        <v>1919</v>
      </c>
      <c r="H197" s="97"/>
      <c r="I197" s="97"/>
      <c r="J197" s="97"/>
      <c r="K197" s="97"/>
      <c r="L197" s="97" t="s">
        <v>1919</v>
      </c>
      <c r="M197" s="97"/>
      <c r="N197" s="97"/>
    </row>
    <row r="198" ht="48.0" customHeight="1">
      <c r="A198" s="96" t="str">
        <f>HYPERLINK("http://purl.obolibrary.org/obo/OBI_0001523","http://purl.obolibrary.org/obo/OBI_0001523")</f>
        <v>http://purl.obolibrary.org/obo/OBI_0001523</v>
      </c>
      <c r="B198" s="97" t="s">
        <v>1920</v>
      </c>
      <c r="C198" s="97" t="s">
        <v>1921</v>
      </c>
      <c r="D198" s="97" t="s">
        <v>4</v>
      </c>
      <c r="E198" s="97" t="s">
        <v>22</v>
      </c>
      <c r="F198" s="97" t="s">
        <v>1922</v>
      </c>
      <c r="G198" s="97" t="s">
        <v>1923</v>
      </c>
      <c r="H198" s="97"/>
      <c r="I198" s="97"/>
      <c r="J198" s="97"/>
      <c r="K198" s="97"/>
      <c r="L198" s="97" t="s">
        <v>1923</v>
      </c>
      <c r="M198" s="97"/>
      <c r="N198" s="97"/>
    </row>
    <row r="199" ht="60.0" customHeight="1">
      <c r="A199" s="96" t="str">
        <f>HYPERLINK("http://purl.obolibrary.org/obo/OBI_0001524","http://purl.obolibrary.org/obo/OBI_0001524")</f>
        <v>http://purl.obolibrary.org/obo/OBI_0001524</v>
      </c>
      <c r="B199" s="97" t="s">
        <v>1924</v>
      </c>
      <c r="C199" s="97" t="s">
        <v>1925</v>
      </c>
      <c r="D199" s="97" t="s">
        <v>4</v>
      </c>
      <c r="E199" s="97" t="s">
        <v>22</v>
      </c>
      <c r="F199" s="97" t="s">
        <v>1926</v>
      </c>
      <c r="G199" s="97" t="s">
        <v>1927</v>
      </c>
      <c r="H199" s="97"/>
      <c r="I199" s="97" t="s">
        <v>1927</v>
      </c>
      <c r="J199" s="97" t="s">
        <v>1927</v>
      </c>
      <c r="K199" s="97"/>
      <c r="L199" s="97" t="s">
        <v>1927</v>
      </c>
      <c r="M199" s="97"/>
      <c r="N199" s="97"/>
    </row>
    <row r="200" ht="60.0" customHeight="1">
      <c r="A200" s="96" t="str">
        <f>HYPERLINK("http://purl.obolibrary.org/obo/OBI_0001531","http://purl.obolibrary.org/obo/OBI_0001531")</f>
        <v>http://purl.obolibrary.org/obo/OBI_0001531</v>
      </c>
      <c r="B200" s="97" t="s">
        <v>1928</v>
      </c>
      <c r="C200" s="97" t="s">
        <v>1929</v>
      </c>
      <c r="D200" s="97" t="s">
        <v>4</v>
      </c>
      <c r="E200" s="97" t="s">
        <v>22</v>
      </c>
      <c r="F200" s="97" t="s">
        <v>1930</v>
      </c>
      <c r="G200" s="97" t="s">
        <v>1931</v>
      </c>
      <c r="H200" s="97"/>
      <c r="I200" s="97" t="s">
        <v>1931</v>
      </c>
      <c r="J200" s="97" t="s">
        <v>1931</v>
      </c>
      <c r="K200" s="97"/>
      <c r="L200" s="97" t="s">
        <v>1931</v>
      </c>
      <c r="M200" s="97"/>
      <c r="N200" s="97"/>
    </row>
    <row r="201" ht="48.0" customHeight="1">
      <c r="A201" s="96" t="str">
        <f>HYPERLINK("http://purl.obolibrary.org/obo/OBI_0001532","http://purl.obolibrary.org/obo/OBI_0001532")</f>
        <v>http://purl.obolibrary.org/obo/OBI_0001532</v>
      </c>
      <c r="B201" s="97" t="s">
        <v>1932</v>
      </c>
      <c r="C201" s="97" t="s">
        <v>1933</v>
      </c>
      <c r="D201" s="97" t="s">
        <v>4</v>
      </c>
      <c r="E201" s="97" t="s">
        <v>22</v>
      </c>
      <c r="F201" s="97" t="s">
        <v>1480</v>
      </c>
      <c r="G201" s="97" t="s">
        <v>1934</v>
      </c>
      <c r="H201" s="97"/>
      <c r="I201" s="97"/>
      <c r="J201" s="97"/>
      <c r="K201" s="97"/>
      <c r="L201" s="97" t="s">
        <v>1934</v>
      </c>
      <c r="M201" s="97"/>
      <c r="N201" s="97"/>
    </row>
    <row r="202" ht="48.0" customHeight="1">
      <c r="A202" s="96" t="str">
        <f>HYPERLINK("http://purl.obolibrary.org/obo/OBI_0001534","http://purl.obolibrary.org/obo/OBI_0001534")</f>
        <v>http://purl.obolibrary.org/obo/OBI_0001534</v>
      </c>
      <c r="B202" s="97" t="s">
        <v>1935</v>
      </c>
      <c r="C202" s="97" t="s">
        <v>1936</v>
      </c>
      <c r="D202" s="97" t="s">
        <v>4</v>
      </c>
      <c r="E202" s="97" t="s">
        <v>22</v>
      </c>
      <c r="F202" s="97" t="s">
        <v>1937</v>
      </c>
      <c r="G202" s="97"/>
      <c r="H202" s="97"/>
      <c r="I202" s="97" t="s">
        <v>1898</v>
      </c>
      <c r="J202" s="97"/>
      <c r="K202" s="97"/>
      <c r="L202" s="97" t="s">
        <v>1938</v>
      </c>
      <c r="M202" s="97"/>
      <c r="N202" s="97"/>
    </row>
    <row r="203" ht="48.0" customHeight="1">
      <c r="A203" s="96" t="str">
        <f>HYPERLINK("http://purl.obolibrary.org/obo/OBI_0001537","http://purl.obolibrary.org/obo/OBI_0001537")</f>
        <v>http://purl.obolibrary.org/obo/OBI_0001537</v>
      </c>
      <c r="B203" s="97" t="s">
        <v>1939</v>
      </c>
      <c r="C203" s="97" t="s">
        <v>1940</v>
      </c>
      <c r="D203" s="97" t="s">
        <v>1402</v>
      </c>
      <c r="E203" s="97" t="s">
        <v>22</v>
      </c>
      <c r="F203" s="97" t="s">
        <v>1941</v>
      </c>
      <c r="G203" s="97" t="s">
        <v>1942</v>
      </c>
      <c r="H203" s="97"/>
      <c r="I203" s="97" t="s">
        <v>1942</v>
      </c>
      <c r="J203" s="97" t="s">
        <v>1942</v>
      </c>
      <c r="K203" s="97"/>
      <c r="L203" s="97" t="s">
        <v>1942</v>
      </c>
      <c r="M203" s="97"/>
      <c r="N203" s="97"/>
    </row>
    <row r="204" ht="48.0" customHeight="1">
      <c r="A204" s="96" t="str">
        <f>HYPERLINK("http://purl.obolibrary.org/obo/OBI_0001539","http://purl.obolibrary.org/obo/OBI_0001539")</f>
        <v>http://purl.obolibrary.org/obo/OBI_0001539</v>
      </c>
      <c r="B204" s="97" t="s">
        <v>1943</v>
      </c>
      <c r="C204" s="97" t="s">
        <v>1944</v>
      </c>
      <c r="D204" s="97" t="s">
        <v>4</v>
      </c>
      <c r="E204" s="97" t="s">
        <v>22</v>
      </c>
      <c r="F204" s="97" t="s">
        <v>1941</v>
      </c>
      <c r="G204" s="97" t="s">
        <v>1945</v>
      </c>
      <c r="H204" s="97"/>
      <c r="I204" s="97" t="s">
        <v>1945</v>
      </c>
      <c r="J204" s="97" t="s">
        <v>1945</v>
      </c>
      <c r="K204" s="97"/>
      <c r="L204" s="97" t="s">
        <v>1945</v>
      </c>
      <c r="M204" s="97"/>
      <c r="N204" s="97"/>
    </row>
    <row r="205" ht="72.0" customHeight="1">
      <c r="A205" s="96" t="str">
        <f>HYPERLINK("http://purl.obolibrary.org/obo/OBI_0001541","http://purl.obolibrary.org/obo/OBI_0001541")</f>
        <v>http://purl.obolibrary.org/obo/OBI_0001541</v>
      </c>
      <c r="B205" s="97" t="s">
        <v>1946</v>
      </c>
      <c r="C205" s="97" t="s">
        <v>1947</v>
      </c>
      <c r="D205" s="97" t="s">
        <v>4</v>
      </c>
      <c r="E205" s="97" t="s">
        <v>22</v>
      </c>
      <c r="F205" s="97" t="s">
        <v>1948</v>
      </c>
      <c r="G205" s="97" t="s">
        <v>1949</v>
      </c>
      <c r="H205" s="97"/>
      <c r="I205" s="97" t="s">
        <v>1949</v>
      </c>
      <c r="J205" s="97" t="s">
        <v>1949</v>
      </c>
      <c r="K205" s="97"/>
      <c r="L205" s="97" t="s">
        <v>1949</v>
      </c>
      <c r="M205" s="97"/>
      <c r="N205" s="97"/>
    </row>
    <row r="206" ht="60.0" customHeight="1">
      <c r="A206" s="96" t="str">
        <f>HYPERLINK("http://purl.obolibrary.org/obo/OBI_0001542","http://purl.obolibrary.org/obo/OBI_0001542")</f>
        <v>http://purl.obolibrary.org/obo/OBI_0001542</v>
      </c>
      <c r="B206" s="97" t="s">
        <v>1950</v>
      </c>
      <c r="C206" s="97" t="s">
        <v>1951</v>
      </c>
      <c r="D206" s="97" t="s">
        <v>4</v>
      </c>
      <c r="E206" s="97" t="s">
        <v>22</v>
      </c>
      <c r="F206" s="97" t="s">
        <v>1508</v>
      </c>
      <c r="G206" s="97" t="s">
        <v>1952</v>
      </c>
      <c r="H206" s="97"/>
      <c r="I206" s="97"/>
      <c r="J206" s="97"/>
      <c r="K206" s="97"/>
      <c r="L206" s="97" t="s">
        <v>1952</v>
      </c>
      <c r="M206" s="97"/>
      <c r="N206" s="97"/>
    </row>
    <row r="207" ht="48.0" customHeight="1">
      <c r="A207" s="96" t="str">
        <f>HYPERLINK("http://purl.obolibrary.org/obo/OBI_0001543","http://purl.obolibrary.org/obo/OBI_0001543")</f>
        <v>http://purl.obolibrary.org/obo/OBI_0001543</v>
      </c>
      <c r="B207" s="97" t="s">
        <v>1953</v>
      </c>
      <c r="C207" s="97" t="s">
        <v>1954</v>
      </c>
      <c r="D207" s="97" t="s">
        <v>4</v>
      </c>
      <c r="E207" s="97" t="s">
        <v>22</v>
      </c>
      <c r="F207" s="97" t="s">
        <v>1941</v>
      </c>
      <c r="G207" s="97"/>
      <c r="H207" s="97"/>
      <c r="I207" s="97" t="s">
        <v>1955</v>
      </c>
      <c r="J207" s="97" t="s">
        <v>1956</v>
      </c>
      <c r="K207" s="97"/>
      <c r="L207" s="97" t="s">
        <v>1938</v>
      </c>
      <c r="M207" s="97"/>
      <c r="N207" s="97"/>
    </row>
    <row r="208" ht="60.0" customHeight="1">
      <c r="A208" s="96" t="str">
        <f>HYPERLINK("http://purl.obolibrary.org/obo/OBI_0001544","http://purl.obolibrary.org/obo/OBI_0001544")</f>
        <v>http://purl.obolibrary.org/obo/OBI_0001544</v>
      </c>
      <c r="B208" s="97" t="s">
        <v>1957</v>
      </c>
      <c r="C208" s="97" t="s">
        <v>1958</v>
      </c>
      <c r="D208" s="97" t="s">
        <v>1402</v>
      </c>
      <c r="E208" s="97" t="s">
        <v>22</v>
      </c>
      <c r="F208" s="97" t="s">
        <v>1959</v>
      </c>
      <c r="G208" s="97" t="s">
        <v>1960</v>
      </c>
      <c r="H208" s="97"/>
      <c r="I208" s="97" t="s">
        <v>1960</v>
      </c>
      <c r="J208" s="97" t="s">
        <v>1960</v>
      </c>
      <c r="K208" s="97"/>
      <c r="L208" s="97" t="s">
        <v>1960</v>
      </c>
      <c r="M208" s="97"/>
      <c r="N208" s="97"/>
    </row>
    <row r="209" ht="72.0" customHeight="1">
      <c r="A209" s="96" t="str">
        <f>HYPERLINK("http://purl.obolibrary.org/obo/OBI_0001545","http://purl.obolibrary.org/obo/OBI_0001545")</f>
        <v>http://purl.obolibrary.org/obo/OBI_0001545</v>
      </c>
      <c r="B209" s="97" t="s">
        <v>1961</v>
      </c>
      <c r="C209" s="97" t="s">
        <v>1962</v>
      </c>
      <c r="D209" s="97" t="s">
        <v>4</v>
      </c>
      <c r="E209" s="97" t="s">
        <v>22</v>
      </c>
      <c r="F209" s="97" t="s">
        <v>1603</v>
      </c>
      <c r="G209" s="97" t="s">
        <v>1963</v>
      </c>
      <c r="H209" s="97"/>
      <c r="I209" s="97"/>
      <c r="J209" s="97"/>
      <c r="K209" s="97"/>
      <c r="L209" s="97" t="s">
        <v>1963</v>
      </c>
      <c r="M209" s="97"/>
      <c r="N209" s="97"/>
    </row>
    <row r="210" ht="48.0" customHeight="1">
      <c r="A210" s="96" t="str">
        <f>HYPERLINK("http://purl.obolibrary.org/obo/OBI_0001549","http://purl.obolibrary.org/obo/OBI_0001549")</f>
        <v>http://purl.obolibrary.org/obo/OBI_0001549</v>
      </c>
      <c r="B210" s="97" t="s">
        <v>1964</v>
      </c>
      <c r="C210" s="97" t="s">
        <v>1965</v>
      </c>
      <c r="D210" s="97" t="s">
        <v>1402</v>
      </c>
      <c r="E210" s="97" t="s">
        <v>22</v>
      </c>
      <c r="F210" s="97" t="s">
        <v>1959</v>
      </c>
      <c r="G210" s="97" t="s">
        <v>1966</v>
      </c>
      <c r="H210" s="97"/>
      <c r="I210" s="97" t="s">
        <v>1966</v>
      </c>
      <c r="J210" s="97" t="s">
        <v>1966</v>
      </c>
      <c r="K210" s="97"/>
      <c r="L210" s="97" t="s">
        <v>1966</v>
      </c>
      <c r="M210" s="97"/>
      <c r="N210" s="97"/>
    </row>
    <row r="211" ht="60.0" customHeight="1">
      <c r="A211" s="96" t="str">
        <f>HYPERLINK("http://purl.obolibrary.org/obo/OBI_0001550","http://purl.obolibrary.org/obo/OBI_0001550")</f>
        <v>http://purl.obolibrary.org/obo/OBI_0001550</v>
      </c>
      <c r="B211" s="97" t="s">
        <v>1866</v>
      </c>
      <c r="C211" s="97" t="s">
        <v>1967</v>
      </c>
      <c r="D211" s="97" t="s">
        <v>1402</v>
      </c>
      <c r="E211" s="97" t="s">
        <v>22</v>
      </c>
      <c r="F211" s="97" t="s">
        <v>1968</v>
      </c>
      <c r="G211" s="97" t="s">
        <v>1969</v>
      </c>
      <c r="H211" s="97"/>
      <c r="I211" s="97" t="s">
        <v>1969</v>
      </c>
      <c r="J211" s="97"/>
      <c r="K211" s="97"/>
      <c r="L211" s="97" t="s">
        <v>1969</v>
      </c>
      <c r="M211" s="97"/>
      <c r="N211" s="97"/>
    </row>
    <row r="212" ht="48.0" customHeight="1">
      <c r="A212" s="96" t="str">
        <f>HYPERLINK("http://purl.obolibrary.org/obo/OBI_0001552","http://purl.obolibrary.org/obo/OBI_0001552")</f>
        <v>http://purl.obolibrary.org/obo/OBI_0001552</v>
      </c>
      <c r="B212" s="97" t="s">
        <v>1970</v>
      </c>
      <c r="C212" s="97" t="s">
        <v>1971</v>
      </c>
      <c r="D212" s="97" t="s">
        <v>1402</v>
      </c>
      <c r="E212" s="97" t="s">
        <v>22</v>
      </c>
      <c r="F212" s="97" t="s">
        <v>1972</v>
      </c>
      <c r="G212" s="97" t="s">
        <v>1973</v>
      </c>
      <c r="H212" s="97"/>
      <c r="I212" s="97"/>
      <c r="J212" s="97"/>
      <c r="K212" s="97"/>
      <c r="L212" s="97" t="s">
        <v>1973</v>
      </c>
      <c r="M212" s="97"/>
      <c r="N212" s="97"/>
    </row>
    <row r="213" ht="36.0" customHeight="1">
      <c r="A213" s="96" t="str">
        <f>HYPERLINK("http://purl.obolibrary.org/obo/OBI_0001553","http://purl.obolibrary.org/obo/OBI_0001553")</f>
        <v>http://purl.obolibrary.org/obo/OBI_0001553</v>
      </c>
      <c r="B213" s="97" t="s">
        <v>1974</v>
      </c>
      <c r="C213" s="97" t="s">
        <v>1975</v>
      </c>
      <c r="D213" s="97" t="s">
        <v>4</v>
      </c>
      <c r="E213" s="97" t="s">
        <v>22</v>
      </c>
      <c r="F213" s="97" t="s">
        <v>1976</v>
      </c>
      <c r="G213" s="97" t="s">
        <v>1977</v>
      </c>
      <c r="H213" s="97"/>
      <c r="I213" s="97"/>
      <c r="J213" s="97" t="s">
        <v>1977</v>
      </c>
      <c r="K213" s="97"/>
      <c r="L213" s="97"/>
      <c r="M213" s="97"/>
      <c r="N213" s="97"/>
    </row>
    <row r="214" ht="48.0" customHeight="1">
      <c r="A214" s="96" t="str">
        <f>HYPERLINK("http://purl.obolibrary.org/obo/OBI_0001555","http://purl.obolibrary.org/obo/OBI_0001555")</f>
        <v>http://purl.obolibrary.org/obo/OBI_0001555</v>
      </c>
      <c r="B214" s="97" t="s">
        <v>1978</v>
      </c>
      <c r="C214" s="97" t="s">
        <v>1979</v>
      </c>
      <c r="D214" s="97" t="s">
        <v>1402</v>
      </c>
      <c r="E214" s="97" t="s">
        <v>22</v>
      </c>
      <c r="F214" s="97" t="s">
        <v>1968</v>
      </c>
      <c r="G214" s="97" t="s">
        <v>1980</v>
      </c>
      <c r="H214" s="97"/>
      <c r="I214" s="97" t="s">
        <v>1980</v>
      </c>
      <c r="J214" s="97"/>
      <c r="K214" s="97"/>
      <c r="L214" s="97" t="s">
        <v>1980</v>
      </c>
      <c r="M214" s="97"/>
      <c r="N214" s="97"/>
    </row>
    <row r="215" ht="96.0" customHeight="1">
      <c r="A215" s="96" t="str">
        <f>HYPERLINK("http://purl.obolibrary.org/obo/OBI_0001556","http://purl.obolibrary.org/obo/OBI_0001556")</f>
        <v>http://purl.obolibrary.org/obo/OBI_0001556</v>
      </c>
      <c r="B215" s="97" t="s">
        <v>1981</v>
      </c>
      <c r="C215" s="97" t="s">
        <v>1982</v>
      </c>
      <c r="D215" s="97" t="s">
        <v>1402</v>
      </c>
      <c r="E215" s="97" t="s">
        <v>22</v>
      </c>
      <c r="F215" s="97" t="s">
        <v>1983</v>
      </c>
      <c r="G215" s="97"/>
      <c r="H215" s="97"/>
      <c r="I215" s="97" t="s">
        <v>1911</v>
      </c>
      <c r="J215" s="97"/>
      <c r="K215" s="97"/>
      <c r="L215" s="97" t="s">
        <v>1984</v>
      </c>
      <c r="M215" s="97"/>
      <c r="N215" s="97"/>
    </row>
    <row r="216" ht="48.0" customHeight="1">
      <c r="A216" s="96" t="str">
        <f>HYPERLINK("http://purl.obolibrary.org/obo/OBI_0001558","http://purl.obolibrary.org/obo/OBI_0001558")</f>
        <v>http://purl.obolibrary.org/obo/OBI_0001558</v>
      </c>
      <c r="B216" s="97" t="s">
        <v>1985</v>
      </c>
      <c r="C216" s="97" t="s">
        <v>1986</v>
      </c>
      <c r="D216" s="97" t="s">
        <v>4</v>
      </c>
      <c r="E216" s="97" t="s">
        <v>22</v>
      </c>
      <c r="F216" s="97" t="s">
        <v>1987</v>
      </c>
      <c r="G216" s="97" t="s">
        <v>1988</v>
      </c>
      <c r="H216" s="97"/>
      <c r="I216" s="97" t="s">
        <v>1988</v>
      </c>
      <c r="J216" s="97" t="s">
        <v>1988</v>
      </c>
      <c r="K216" s="97"/>
      <c r="L216" s="97" t="s">
        <v>1988</v>
      </c>
      <c r="M216" s="97"/>
      <c r="N216" s="97"/>
    </row>
    <row r="217" ht="48.0" customHeight="1">
      <c r="A217" s="96" t="str">
        <f>HYPERLINK("http://purl.obolibrary.org/obo/OBI_0001559","http://purl.obolibrary.org/obo/OBI_0001559")</f>
        <v>http://purl.obolibrary.org/obo/OBI_0001559</v>
      </c>
      <c r="B217" s="97" t="s">
        <v>1989</v>
      </c>
      <c r="C217" s="97" t="s">
        <v>1990</v>
      </c>
      <c r="D217" s="97" t="s">
        <v>1402</v>
      </c>
      <c r="E217" s="97" t="s">
        <v>22</v>
      </c>
      <c r="F217" s="97" t="s">
        <v>1930</v>
      </c>
      <c r="G217" s="97" t="s">
        <v>1991</v>
      </c>
      <c r="H217" s="97"/>
      <c r="I217" s="97" t="s">
        <v>1991</v>
      </c>
      <c r="J217" s="97" t="s">
        <v>1991</v>
      </c>
      <c r="K217" s="97"/>
      <c r="L217" s="97" t="s">
        <v>1991</v>
      </c>
      <c r="M217" s="97"/>
      <c r="N217" s="97"/>
    </row>
    <row r="218" ht="48.0" customHeight="1">
      <c r="A218" s="96" t="str">
        <f>HYPERLINK("http://purl.obolibrary.org/obo/OBI_0001561","http://purl.obolibrary.org/obo/OBI_0001561")</f>
        <v>http://purl.obolibrary.org/obo/OBI_0001561</v>
      </c>
      <c r="B218" s="97" t="s">
        <v>1992</v>
      </c>
      <c r="C218" s="97" t="s">
        <v>1993</v>
      </c>
      <c r="D218" s="97" t="s">
        <v>4</v>
      </c>
      <c r="E218" s="97" t="s">
        <v>22</v>
      </c>
      <c r="F218" s="97" t="s">
        <v>1994</v>
      </c>
      <c r="G218" s="97" t="s">
        <v>1995</v>
      </c>
      <c r="H218" s="97"/>
      <c r="I218" s="97" t="s">
        <v>1995</v>
      </c>
      <c r="J218" s="97" t="s">
        <v>1995</v>
      </c>
      <c r="K218" s="97"/>
      <c r="L218" s="97" t="s">
        <v>1995</v>
      </c>
      <c r="M218" s="97"/>
      <c r="N218" s="97"/>
    </row>
    <row r="219" ht="60.0" customHeight="1">
      <c r="A219" s="96" t="str">
        <f>HYPERLINK("http://purl.obolibrary.org/obo/OBI_0001562","http://purl.obolibrary.org/obo/OBI_0001562")</f>
        <v>http://purl.obolibrary.org/obo/OBI_0001562</v>
      </c>
      <c r="B219" s="97" t="s">
        <v>1996</v>
      </c>
      <c r="C219" s="97" t="s">
        <v>1997</v>
      </c>
      <c r="D219" s="97" t="s">
        <v>4</v>
      </c>
      <c r="E219" s="97" t="s">
        <v>22</v>
      </c>
      <c r="F219" s="97" t="s">
        <v>1998</v>
      </c>
      <c r="G219" s="97" t="s">
        <v>1999</v>
      </c>
      <c r="H219" s="97"/>
      <c r="I219" s="97"/>
      <c r="J219" s="97"/>
      <c r="K219" s="97"/>
      <c r="L219" s="97" t="s">
        <v>1999</v>
      </c>
      <c r="M219" s="97"/>
      <c r="N219" s="97"/>
    </row>
    <row r="220" ht="60.0" customHeight="1">
      <c r="A220" s="96" t="str">
        <f>HYPERLINK("http://purl.obolibrary.org/obo/OBI_0001564","http://purl.obolibrary.org/obo/OBI_0001564")</f>
        <v>http://purl.obolibrary.org/obo/OBI_0001564</v>
      </c>
      <c r="B220" s="97" t="s">
        <v>2000</v>
      </c>
      <c r="C220" s="97" t="s">
        <v>2001</v>
      </c>
      <c r="D220" s="97" t="s">
        <v>4</v>
      </c>
      <c r="E220" s="97" t="s">
        <v>22</v>
      </c>
      <c r="F220" s="97" t="s">
        <v>2002</v>
      </c>
      <c r="G220" s="97"/>
      <c r="H220" s="97"/>
      <c r="I220" s="97" t="s">
        <v>1898</v>
      </c>
      <c r="J220" s="97" t="s">
        <v>1956</v>
      </c>
      <c r="K220" s="97"/>
      <c r="L220" s="97" t="s">
        <v>1899</v>
      </c>
      <c r="M220" s="97"/>
      <c r="N220" s="97"/>
    </row>
    <row r="221" ht="60.0" customHeight="1">
      <c r="A221" s="96" t="str">
        <f>HYPERLINK("http://purl.obolibrary.org/obo/OBI_0001565","http://purl.obolibrary.org/obo/OBI_0001565")</f>
        <v>http://purl.obolibrary.org/obo/OBI_0001565</v>
      </c>
      <c r="B221" s="97" t="s">
        <v>2003</v>
      </c>
      <c r="C221" s="97" t="s">
        <v>2004</v>
      </c>
      <c r="D221" s="97" t="s">
        <v>1402</v>
      </c>
      <c r="E221" s="97" t="s">
        <v>22</v>
      </c>
      <c r="F221" s="97" t="s">
        <v>1987</v>
      </c>
      <c r="G221" s="97" t="s">
        <v>2005</v>
      </c>
      <c r="H221" s="97"/>
      <c r="I221" s="97" t="s">
        <v>2005</v>
      </c>
      <c r="J221" s="97" t="s">
        <v>2005</v>
      </c>
      <c r="K221" s="97"/>
      <c r="L221" s="97" t="s">
        <v>2005</v>
      </c>
      <c r="M221" s="97"/>
      <c r="N221" s="97"/>
    </row>
    <row r="222" ht="60.0" customHeight="1">
      <c r="A222" s="96" t="str">
        <f>HYPERLINK("http://purl.obolibrary.org/obo/OBI_0001567","http://purl.obolibrary.org/obo/OBI_0001567")</f>
        <v>http://purl.obolibrary.org/obo/OBI_0001567</v>
      </c>
      <c r="B222" s="97" t="s">
        <v>2006</v>
      </c>
      <c r="C222" s="97" t="s">
        <v>2007</v>
      </c>
      <c r="D222" s="97" t="s">
        <v>1402</v>
      </c>
      <c r="E222" s="97" t="s">
        <v>22</v>
      </c>
      <c r="F222" s="97" t="s">
        <v>2008</v>
      </c>
      <c r="G222" s="97" t="s">
        <v>2009</v>
      </c>
      <c r="H222" s="97"/>
      <c r="I222" s="97" t="s">
        <v>2009</v>
      </c>
      <c r="J222" s="97" t="s">
        <v>2009</v>
      </c>
      <c r="K222" s="97"/>
      <c r="L222" s="97" t="s">
        <v>2009</v>
      </c>
      <c r="M222" s="97"/>
      <c r="N222" s="97"/>
    </row>
    <row r="223" ht="48.0" customHeight="1">
      <c r="A223" s="96" t="str">
        <f>HYPERLINK("http://purl.obolibrary.org/obo/OBI_0001568","http://purl.obolibrary.org/obo/OBI_0001568")</f>
        <v>http://purl.obolibrary.org/obo/OBI_0001568</v>
      </c>
      <c r="B223" s="97" t="s">
        <v>2010</v>
      </c>
      <c r="C223" s="97" t="s">
        <v>2011</v>
      </c>
      <c r="D223" s="97" t="s">
        <v>1402</v>
      </c>
      <c r="E223" s="97" t="s">
        <v>22</v>
      </c>
      <c r="F223" s="97" t="s">
        <v>1906</v>
      </c>
      <c r="G223" s="97" t="s">
        <v>2012</v>
      </c>
      <c r="H223" s="97"/>
      <c r="I223" s="97" t="s">
        <v>2012</v>
      </c>
      <c r="J223" s="97" t="s">
        <v>2012</v>
      </c>
      <c r="K223" s="97"/>
      <c r="L223" s="97" t="s">
        <v>2012</v>
      </c>
      <c r="M223" s="97"/>
      <c r="N223" s="97"/>
    </row>
    <row r="224" ht="48.0" customHeight="1">
      <c r="A224" s="96" t="str">
        <f>HYPERLINK("http://purl.obolibrary.org/obo/OBI_0001569","http://purl.obolibrary.org/obo/OBI_0001569")</f>
        <v>http://purl.obolibrary.org/obo/OBI_0001569</v>
      </c>
      <c r="B224" s="97" t="s">
        <v>2013</v>
      </c>
      <c r="C224" s="97" t="s">
        <v>2014</v>
      </c>
      <c r="D224" s="97" t="s">
        <v>4</v>
      </c>
      <c r="E224" s="97" t="s">
        <v>22</v>
      </c>
      <c r="F224" s="97" t="s">
        <v>2015</v>
      </c>
      <c r="G224" s="97" t="s">
        <v>2016</v>
      </c>
      <c r="H224" s="97"/>
      <c r="I224" s="97" t="s">
        <v>2016</v>
      </c>
      <c r="J224" s="97" t="s">
        <v>2016</v>
      </c>
      <c r="K224" s="97"/>
      <c r="L224" s="97" t="s">
        <v>2016</v>
      </c>
      <c r="M224" s="97"/>
      <c r="N224" s="97"/>
    </row>
    <row r="225" ht="132.0" customHeight="1">
      <c r="A225" s="96" t="str">
        <f>HYPERLINK("http://purl.obolibrary.org/obo/OBI_0001570","http://purl.obolibrary.org/obo/OBI_0001570")</f>
        <v>http://purl.obolibrary.org/obo/OBI_0001570</v>
      </c>
      <c r="B225" s="97" t="s">
        <v>2017</v>
      </c>
      <c r="C225" s="97" t="s">
        <v>2018</v>
      </c>
      <c r="D225" s="97" t="s">
        <v>4</v>
      </c>
      <c r="E225" s="97" t="s">
        <v>22</v>
      </c>
      <c r="F225" s="97" t="s">
        <v>1411</v>
      </c>
      <c r="G225" s="97" t="s">
        <v>2019</v>
      </c>
      <c r="H225" s="97"/>
      <c r="I225" s="97"/>
      <c r="J225" s="97" t="s">
        <v>2019</v>
      </c>
      <c r="K225" s="97"/>
      <c r="L225" s="97"/>
      <c r="M225" s="97"/>
      <c r="N225" s="97"/>
    </row>
    <row r="226" ht="60.0" customHeight="1">
      <c r="A226" s="96" t="str">
        <f>HYPERLINK("http://purl.obolibrary.org/obo/OBI_0001577","http://purl.obolibrary.org/obo/OBI_0001577")</f>
        <v>http://purl.obolibrary.org/obo/OBI_0001577</v>
      </c>
      <c r="B226" s="97" t="s">
        <v>2020</v>
      </c>
      <c r="C226" s="97" t="s">
        <v>2021</v>
      </c>
      <c r="D226" s="97" t="s">
        <v>4</v>
      </c>
      <c r="E226" s="97" t="s">
        <v>22</v>
      </c>
      <c r="F226" s="97" t="s">
        <v>1434</v>
      </c>
      <c r="G226" s="97" t="s">
        <v>2022</v>
      </c>
      <c r="H226" s="97"/>
      <c r="I226" s="97"/>
      <c r="J226" s="97"/>
      <c r="K226" s="97"/>
      <c r="L226" s="97" t="s">
        <v>2022</v>
      </c>
      <c r="M226" s="97"/>
      <c r="N226" s="97"/>
    </row>
    <row r="227" ht="60.0" customHeight="1">
      <c r="A227" s="96" t="str">
        <f>HYPERLINK("http://purl.obolibrary.org/obo/OBI_0001578","http://purl.obolibrary.org/obo/OBI_0001578")</f>
        <v>http://purl.obolibrary.org/obo/OBI_0001578</v>
      </c>
      <c r="B227" s="97" t="s">
        <v>2023</v>
      </c>
      <c r="C227" s="97" t="s">
        <v>2024</v>
      </c>
      <c r="D227" s="97" t="s">
        <v>4</v>
      </c>
      <c r="E227" s="97" t="s">
        <v>22</v>
      </c>
      <c r="F227" s="97" t="s">
        <v>2017</v>
      </c>
      <c r="G227" s="97" t="s">
        <v>2025</v>
      </c>
      <c r="H227" s="97"/>
      <c r="I227" s="97"/>
      <c r="J227" s="97"/>
      <c r="K227" s="97"/>
      <c r="L227" s="97" t="s">
        <v>2025</v>
      </c>
      <c r="M227" s="97"/>
      <c r="N227" s="97"/>
    </row>
    <row r="228" ht="48.0" customHeight="1">
      <c r="A228" s="96" t="str">
        <f>HYPERLINK("http://purl.obolibrary.org/obo/OBI_0001579","http://purl.obolibrary.org/obo/OBI_0001579")</f>
        <v>http://purl.obolibrary.org/obo/OBI_0001579</v>
      </c>
      <c r="B228" s="97" t="s">
        <v>2026</v>
      </c>
      <c r="C228" s="97" t="s">
        <v>2027</v>
      </c>
      <c r="D228" s="97" t="s">
        <v>1402</v>
      </c>
      <c r="E228" s="97" t="s">
        <v>22</v>
      </c>
      <c r="F228" s="97" t="s">
        <v>1968</v>
      </c>
      <c r="G228" s="97" t="s">
        <v>2028</v>
      </c>
      <c r="H228" s="97"/>
      <c r="I228" s="97" t="s">
        <v>2028</v>
      </c>
      <c r="J228" s="97"/>
      <c r="K228" s="97"/>
      <c r="L228" s="97" t="s">
        <v>2028</v>
      </c>
      <c r="M228" s="97"/>
      <c r="N228" s="97"/>
    </row>
    <row r="229" ht="60.0" customHeight="1">
      <c r="A229" s="96" t="str">
        <f>HYPERLINK("http://purl.obolibrary.org/obo/OBI_0001584","http://purl.obolibrary.org/obo/OBI_0001584")</f>
        <v>http://purl.obolibrary.org/obo/OBI_0001584</v>
      </c>
      <c r="B229" s="97" t="s">
        <v>2029</v>
      </c>
      <c r="C229" s="97" t="s">
        <v>2030</v>
      </c>
      <c r="D229" s="97" t="s">
        <v>1402</v>
      </c>
      <c r="E229" s="97" t="s">
        <v>22</v>
      </c>
      <c r="F229" s="97" t="s">
        <v>1978</v>
      </c>
      <c r="G229" s="97"/>
      <c r="H229" s="97"/>
      <c r="I229" s="97" t="s">
        <v>1955</v>
      </c>
      <c r="J229" s="97"/>
      <c r="K229" s="97"/>
      <c r="L229" s="97" t="s">
        <v>2031</v>
      </c>
      <c r="M229" s="97"/>
      <c r="N229" s="97"/>
    </row>
    <row r="230" ht="48.0" customHeight="1">
      <c r="A230" s="96" t="str">
        <f>HYPERLINK("http://purl.obolibrary.org/obo/OBI_0001585","http://purl.obolibrary.org/obo/OBI_0001585")</f>
        <v>http://purl.obolibrary.org/obo/OBI_0001585</v>
      </c>
      <c r="B230" s="97" t="s">
        <v>2032</v>
      </c>
      <c r="C230" s="97" t="s">
        <v>2033</v>
      </c>
      <c r="D230" s="97" t="s">
        <v>4</v>
      </c>
      <c r="E230" s="97" t="s">
        <v>22</v>
      </c>
      <c r="F230" s="97" t="s">
        <v>2034</v>
      </c>
      <c r="G230" s="97" t="s">
        <v>2035</v>
      </c>
      <c r="H230" s="97"/>
      <c r="I230" s="97"/>
      <c r="J230" s="97"/>
      <c r="K230" s="97"/>
      <c r="L230" s="97" t="s">
        <v>2035</v>
      </c>
      <c r="M230" s="97"/>
      <c r="N230" s="97"/>
    </row>
    <row r="231" ht="48.0" customHeight="1">
      <c r="A231" s="96" t="str">
        <f>HYPERLINK("http://purl.obolibrary.org/obo/OBI_0001586","http://purl.obolibrary.org/obo/OBI_0001586")</f>
        <v>http://purl.obolibrary.org/obo/OBI_0001586</v>
      </c>
      <c r="B231" s="97" t="s">
        <v>2036</v>
      </c>
      <c r="C231" s="97" t="s">
        <v>2037</v>
      </c>
      <c r="D231" s="97" t="s">
        <v>1402</v>
      </c>
      <c r="E231" s="97" t="s">
        <v>22</v>
      </c>
      <c r="F231" s="97" t="s">
        <v>1987</v>
      </c>
      <c r="G231" s="97" t="s">
        <v>2038</v>
      </c>
      <c r="H231" s="97"/>
      <c r="I231" s="97" t="s">
        <v>2038</v>
      </c>
      <c r="J231" s="97" t="s">
        <v>2038</v>
      </c>
      <c r="K231" s="97"/>
      <c r="L231" s="97" t="s">
        <v>2038</v>
      </c>
      <c r="M231" s="97"/>
      <c r="N231" s="97"/>
    </row>
    <row r="232" ht="60.0" customHeight="1">
      <c r="A232" s="96" t="str">
        <f>HYPERLINK("http://purl.obolibrary.org/obo/OBI_0001587","http://purl.obolibrary.org/obo/OBI_0001587")</f>
        <v>http://purl.obolibrary.org/obo/OBI_0001587</v>
      </c>
      <c r="B232" s="97" t="s">
        <v>2034</v>
      </c>
      <c r="C232" s="97" t="s">
        <v>2039</v>
      </c>
      <c r="D232" s="97" t="s">
        <v>4</v>
      </c>
      <c r="E232" s="97" t="s">
        <v>22</v>
      </c>
      <c r="F232" s="97" t="s">
        <v>1411</v>
      </c>
      <c r="G232" s="97" t="s">
        <v>2040</v>
      </c>
      <c r="H232" s="97"/>
      <c r="I232" s="97"/>
      <c r="J232" s="97" t="s">
        <v>2040</v>
      </c>
      <c r="K232" s="97"/>
      <c r="L232" s="97"/>
      <c r="M232" s="97"/>
      <c r="N232" s="97"/>
    </row>
    <row r="233" ht="60.0" customHeight="1">
      <c r="A233" s="96" t="str">
        <f>HYPERLINK("http://purl.obolibrary.org/obo/OBI_0001589","http://purl.obolibrary.org/obo/OBI_0001589")</f>
        <v>http://purl.obolibrary.org/obo/OBI_0001589</v>
      </c>
      <c r="B233" s="97" t="s">
        <v>2041</v>
      </c>
      <c r="C233" s="97" t="s">
        <v>2042</v>
      </c>
      <c r="D233" s="97" t="s">
        <v>4</v>
      </c>
      <c r="E233" s="97" t="s">
        <v>22</v>
      </c>
      <c r="F233" s="97" t="s">
        <v>2043</v>
      </c>
      <c r="G233" s="97" t="s">
        <v>2044</v>
      </c>
      <c r="H233" s="97"/>
      <c r="I233" s="97"/>
      <c r="J233" s="97"/>
      <c r="K233" s="97"/>
      <c r="L233" s="97" t="s">
        <v>2044</v>
      </c>
      <c r="M233" s="97"/>
      <c r="N233" s="97"/>
    </row>
    <row r="234" ht="60.0" customHeight="1">
      <c r="A234" s="96" t="str">
        <f>HYPERLINK("http://purl.obolibrary.org/obo/OBI_0001590","http://purl.obolibrary.org/obo/OBI_0001590")</f>
        <v>http://purl.obolibrary.org/obo/OBI_0001590</v>
      </c>
      <c r="B234" s="97" t="s">
        <v>2045</v>
      </c>
      <c r="C234" s="97" t="s">
        <v>2046</v>
      </c>
      <c r="D234" s="97" t="s">
        <v>1402</v>
      </c>
      <c r="E234" s="97" t="s">
        <v>22</v>
      </c>
      <c r="F234" s="97" t="s">
        <v>1937</v>
      </c>
      <c r="G234" s="97"/>
      <c r="H234" s="97"/>
      <c r="I234" s="97" t="s">
        <v>1955</v>
      </c>
      <c r="J234" s="97"/>
      <c r="K234" s="97"/>
      <c r="L234" s="97" t="s">
        <v>1938</v>
      </c>
      <c r="M234" s="97"/>
      <c r="N234" s="97"/>
    </row>
    <row r="235" ht="60.0" customHeight="1">
      <c r="A235" s="96" t="str">
        <f>HYPERLINK("http://purl.obolibrary.org/obo/OBI_0001592","http://purl.obolibrary.org/obo/OBI_0001592")</f>
        <v>http://purl.obolibrary.org/obo/OBI_0001592</v>
      </c>
      <c r="B235" s="97" t="s">
        <v>2047</v>
      </c>
      <c r="C235" s="97" t="s">
        <v>2048</v>
      </c>
      <c r="D235" s="97" t="s">
        <v>4</v>
      </c>
      <c r="E235" s="97" t="s">
        <v>22</v>
      </c>
      <c r="F235" s="97" t="s">
        <v>1994</v>
      </c>
      <c r="G235" s="97" t="s">
        <v>2049</v>
      </c>
      <c r="H235" s="97"/>
      <c r="I235" s="97" t="s">
        <v>2049</v>
      </c>
      <c r="J235" s="97" t="s">
        <v>2049</v>
      </c>
      <c r="K235" s="97"/>
      <c r="L235" s="97" t="s">
        <v>2049</v>
      </c>
      <c r="M235" s="97"/>
      <c r="N235" s="97"/>
    </row>
    <row r="236" ht="48.0" customHeight="1">
      <c r="A236" s="96" t="str">
        <f>HYPERLINK("http://purl.obolibrary.org/obo/OBI_0001593","http://purl.obolibrary.org/obo/OBI_0001593")</f>
        <v>http://purl.obolibrary.org/obo/OBI_0001593</v>
      </c>
      <c r="B236" s="97" t="s">
        <v>2050</v>
      </c>
      <c r="C236" s="97" t="s">
        <v>2051</v>
      </c>
      <c r="D236" s="97" t="s">
        <v>4</v>
      </c>
      <c r="E236" s="97" t="s">
        <v>1309</v>
      </c>
      <c r="F236" s="97" t="s">
        <v>46</v>
      </c>
      <c r="G236" s="97"/>
      <c r="H236" s="97"/>
      <c r="I236" s="97" t="s">
        <v>2052</v>
      </c>
      <c r="J236" s="97"/>
      <c r="K236" s="97"/>
      <c r="L236" s="97"/>
      <c r="M236" s="97"/>
      <c r="N236" s="97"/>
    </row>
    <row r="237" ht="48.0" customHeight="1">
      <c r="A237" s="96" t="str">
        <f>HYPERLINK("http://purl.obolibrary.org/obo/OBI_0001594","http://purl.obolibrary.org/obo/OBI_0001594")</f>
        <v>http://purl.obolibrary.org/obo/OBI_0001594</v>
      </c>
      <c r="B237" s="97" t="s">
        <v>2053</v>
      </c>
      <c r="C237" s="97" t="s">
        <v>2054</v>
      </c>
      <c r="D237" s="97" t="s">
        <v>1402</v>
      </c>
      <c r="E237" s="97" t="s">
        <v>22</v>
      </c>
      <c r="F237" s="97" t="s">
        <v>2055</v>
      </c>
      <c r="G237" s="97"/>
      <c r="H237" s="97"/>
      <c r="I237" s="97" t="s">
        <v>1867</v>
      </c>
      <c r="J237" s="97"/>
      <c r="K237" s="97"/>
      <c r="L237" s="97" t="s">
        <v>2056</v>
      </c>
      <c r="M237" s="97"/>
      <c r="N237" s="97"/>
    </row>
    <row r="238" ht="48.0" customHeight="1">
      <c r="A238" s="96" t="str">
        <f>HYPERLINK("http://purl.obolibrary.org/obo/OBI_0001595","http://purl.obolibrary.org/obo/OBI_0001595")</f>
        <v>http://purl.obolibrary.org/obo/OBI_0001595</v>
      </c>
      <c r="B238" s="97" t="s">
        <v>2057</v>
      </c>
      <c r="C238" s="97" t="s">
        <v>2058</v>
      </c>
      <c r="D238" s="97" t="s">
        <v>1402</v>
      </c>
      <c r="E238" s="97" t="s">
        <v>22</v>
      </c>
      <c r="F238" s="97" t="s">
        <v>2059</v>
      </c>
      <c r="G238" s="97" t="s">
        <v>2060</v>
      </c>
      <c r="H238" s="97"/>
      <c r="I238" s="97" t="s">
        <v>2060</v>
      </c>
      <c r="J238" s="97" t="s">
        <v>2060</v>
      </c>
      <c r="K238" s="97"/>
      <c r="L238" s="97" t="s">
        <v>2060</v>
      </c>
      <c r="M238" s="97"/>
      <c r="N238" s="97"/>
    </row>
    <row r="239" ht="72.0" customHeight="1">
      <c r="A239" s="96" t="str">
        <f>HYPERLINK("http://purl.obolibrary.org/obo/OBI_0001597","http://purl.obolibrary.org/obo/OBI_0001597")</f>
        <v>http://purl.obolibrary.org/obo/OBI_0001597</v>
      </c>
      <c r="B239" s="97" t="s">
        <v>2061</v>
      </c>
      <c r="C239" s="97" t="s">
        <v>2062</v>
      </c>
      <c r="D239" s="97" t="s">
        <v>4</v>
      </c>
      <c r="E239" s="97" t="s">
        <v>22</v>
      </c>
      <c r="F239" s="97" t="s">
        <v>2063</v>
      </c>
      <c r="G239" s="97" t="s">
        <v>2064</v>
      </c>
      <c r="H239" s="97"/>
      <c r="I239" s="97" t="s">
        <v>2064</v>
      </c>
      <c r="J239" s="97" t="s">
        <v>2064</v>
      </c>
      <c r="K239" s="97"/>
      <c r="L239" s="97" t="s">
        <v>2064</v>
      </c>
      <c r="M239" s="97"/>
      <c r="N239" s="97"/>
    </row>
    <row r="240" ht="48.0" customHeight="1">
      <c r="A240" s="96" t="str">
        <f>HYPERLINK("http://purl.obolibrary.org/obo/OBI_0001599","http://purl.obolibrary.org/obo/OBI_0001599")</f>
        <v>http://purl.obolibrary.org/obo/OBI_0001599</v>
      </c>
      <c r="B240" s="97" t="s">
        <v>2065</v>
      </c>
      <c r="C240" s="97" t="s">
        <v>2066</v>
      </c>
      <c r="D240" s="97" t="s">
        <v>4</v>
      </c>
      <c r="E240" s="97" t="s">
        <v>22</v>
      </c>
      <c r="F240" s="97" t="s">
        <v>2067</v>
      </c>
      <c r="G240" s="97"/>
      <c r="H240" s="97"/>
      <c r="I240" s="97" t="s">
        <v>1867</v>
      </c>
      <c r="J240" s="97"/>
      <c r="K240" s="97"/>
      <c r="L240" s="97" t="s">
        <v>2068</v>
      </c>
      <c r="M240" s="97"/>
      <c r="N240" s="97"/>
    </row>
    <row r="241" ht="60.0" customHeight="1">
      <c r="A241" s="96" t="str">
        <f>HYPERLINK("http://purl.obolibrary.org/obo/OBI_0001600","http://purl.obolibrary.org/obo/OBI_0001600")</f>
        <v>http://purl.obolibrary.org/obo/OBI_0001600</v>
      </c>
      <c r="B241" s="97" t="s">
        <v>1755</v>
      </c>
      <c r="C241" s="97" t="s">
        <v>2069</v>
      </c>
      <c r="D241" s="97" t="s">
        <v>4</v>
      </c>
      <c r="E241" s="97" t="s">
        <v>22</v>
      </c>
      <c r="F241" s="97" t="s">
        <v>1411</v>
      </c>
      <c r="G241" s="97" t="s">
        <v>2070</v>
      </c>
      <c r="H241" s="97"/>
      <c r="I241" s="97"/>
      <c r="J241" s="97" t="s">
        <v>2070</v>
      </c>
      <c r="K241" s="97"/>
      <c r="L241" s="97"/>
      <c r="M241" s="97"/>
      <c r="N241" s="97"/>
    </row>
    <row r="242" ht="60.0" customHeight="1">
      <c r="A242" s="96" t="str">
        <f>HYPERLINK("http://purl.obolibrary.org/obo/OBI_0001601","http://purl.obolibrary.org/obo/OBI_0001601")</f>
        <v>http://purl.obolibrary.org/obo/OBI_0001601</v>
      </c>
      <c r="B242" s="97" t="s">
        <v>2071</v>
      </c>
      <c r="C242" s="97" t="s">
        <v>2072</v>
      </c>
      <c r="D242" s="97" t="s">
        <v>4</v>
      </c>
      <c r="E242" s="97" t="s">
        <v>22</v>
      </c>
      <c r="F242" s="97" t="s">
        <v>1475</v>
      </c>
      <c r="G242" s="97" t="s">
        <v>2073</v>
      </c>
      <c r="H242" s="97"/>
      <c r="I242" s="97"/>
      <c r="J242" s="97"/>
      <c r="K242" s="97"/>
      <c r="L242" s="97" t="s">
        <v>2073</v>
      </c>
      <c r="M242" s="97"/>
      <c r="N242" s="97"/>
    </row>
    <row r="243" ht="60.0" customHeight="1">
      <c r="A243" s="96" t="str">
        <f>HYPERLINK("http://purl.obolibrary.org/obo/OBI_0001602","http://purl.obolibrary.org/obo/OBI_0001602")</f>
        <v>http://purl.obolibrary.org/obo/OBI_0001602</v>
      </c>
      <c r="B243" s="97" t="s">
        <v>2074</v>
      </c>
      <c r="C243" s="97" t="s">
        <v>2075</v>
      </c>
      <c r="D243" s="97" t="s">
        <v>1402</v>
      </c>
      <c r="E243" s="97" t="s">
        <v>22</v>
      </c>
      <c r="F243" s="97" t="s">
        <v>2067</v>
      </c>
      <c r="G243" s="97"/>
      <c r="H243" s="97"/>
      <c r="I243" s="97" t="s">
        <v>2076</v>
      </c>
      <c r="J243" s="97"/>
      <c r="K243" s="97"/>
      <c r="L243" s="97" t="s">
        <v>2068</v>
      </c>
      <c r="M243" s="97"/>
      <c r="N243" s="97"/>
    </row>
    <row r="244" ht="48.0" customHeight="1">
      <c r="A244" s="96" t="str">
        <f>HYPERLINK("http://purl.obolibrary.org/obo/OBI_0001604","http://purl.obolibrary.org/obo/OBI_0001604")</f>
        <v>http://purl.obolibrary.org/obo/OBI_0001604</v>
      </c>
      <c r="B244" s="97" t="s">
        <v>2077</v>
      </c>
      <c r="C244" s="97" t="s">
        <v>2078</v>
      </c>
      <c r="D244" s="97" t="s">
        <v>1402</v>
      </c>
      <c r="E244" s="97" t="s">
        <v>22</v>
      </c>
      <c r="F244" s="97" t="s">
        <v>1937</v>
      </c>
      <c r="G244" s="97"/>
      <c r="H244" s="97"/>
      <c r="I244" s="97" t="s">
        <v>1955</v>
      </c>
      <c r="J244" s="97" t="s">
        <v>2079</v>
      </c>
      <c r="K244" s="97"/>
      <c r="L244" s="97" t="s">
        <v>1938</v>
      </c>
      <c r="M244" s="97"/>
      <c r="N244" s="97"/>
    </row>
    <row r="245" ht="60.0" customHeight="1">
      <c r="A245" s="96" t="str">
        <f>HYPERLINK("http://purl.obolibrary.org/obo/OBI_0001606","http://purl.obolibrary.org/obo/OBI_0001606")</f>
        <v>http://purl.obolibrary.org/obo/OBI_0001606</v>
      </c>
      <c r="B245" s="97" t="s">
        <v>2080</v>
      </c>
      <c r="C245" s="97" t="s">
        <v>2081</v>
      </c>
      <c r="D245" s="97" t="s">
        <v>1402</v>
      </c>
      <c r="E245" s="97" t="s">
        <v>22</v>
      </c>
      <c r="F245" s="97" t="s">
        <v>2055</v>
      </c>
      <c r="G245" s="97"/>
      <c r="H245" s="97"/>
      <c r="I245" s="97" t="s">
        <v>2076</v>
      </c>
      <c r="J245" s="97"/>
      <c r="K245" s="97"/>
      <c r="L245" s="97" t="s">
        <v>2056</v>
      </c>
      <c r="M245" s="97"/>
      <c r="N245" s="97"/>
    </row>
    <row r="246" ht="36.0" customHeight="1">
      <c r="A246" s="96" t="str">
        <f>HYPERLINK("http://purl.obolibrary.org/obo/OBI_0001607","http://purl.obolibrary.org/obo/OBI_0001607")</f>
        <v>http://purl.obolibrary.org/obo/OBI_0001607</v>
      </c>
      <c r="B246" s="97" t="s">
        <v>2082</v>
      </c>
      <c r="C246" s="97" t="s">
        <v>2083</v>
      </c>
      <c r="D246" s="97" t="s">
        <v>4</v>
      </c>
      <c r="E246" s="97" t="s">
        <v>22</v>
      </c>
      <c r="F246" s="97" t="s">
        <v>1506</v>
      </c>
      <c r="G246" s="97" t="s">
        <v>2084</v>
      </c>
      <c r="H246" s="97"/>
      <c r="I246" s="97"/>
      <c r="J246" s="97" t="s">
        <v>2084</v>
      </c>
      <c r="K246" s="97"/>
      <c r="L246" s="97"/>
      <c r="M246" s="97"/>
      <c r="N246" s="97"/>
    </row>
    <row r="247" ht="48.0" customHeight="1">
      <c r="A247" s="96" t="str">
        <f>HYPERLINK("http://purl.obolibrary.org/obo/OBI_0001608","http://purl.obolibrary.org/obo/OBI_0001608")</f>
        <v>http://purl.obolibrary.org/obo/OBI_0001608</v>
      </c>
      <c r="B247" s="97" t="s">
        <v>2085</v>
      </c>
      <c r="C247" s="97" t="s">
        <v>2086</v>
      </c>
      <c r="D247" s="97" t="s">
        <v>4</v>
      </c>
      <c r="E247" s="97" t="s">
        <v>22</v>
      </c>
      <c r="F247" s="97" t="s">
        <v>1897</v>
      </c>
      <c r="G247" s="97"/>
      <c r="H247" s="97"/>
      <c r="I247" s="97" t="s">
        <v>1955</v>
      </c>
      <c r="J247" s="97"/>
      <c r="K247" s="97"/>
      <c r="L247" s="97" t="s">
        <v>1899</v>
      </c>
      <c r="M247" s="97"/>
      <c r="N247" s="97"/>
    </row>
    <row r="248" ht="48.0" customHeight="1">
      <c r="A248" s="96" t="str">
        <f>HYPERLINK("http://purl.obolibrary.org/obo/OBI_0001609","http://purl.obolibrary.org/obo/OBI_0001609")</f>
        <v>http://purl.obolibrary.org/obo/OBI_0001609</v>
      </c>
      <c r="B248" s="97" t="s">
        <v>2087</v>
      </c>
      <c r="C248" s="97" t="s">
        <v>2088</v>
      </c>
      <c r="D248" s="97" t="s">
        <v>4</v>
      </c>
      <c r="E248" s="97" t="s">
        <v>22</v>
      </c>
      <c r="F248" s="97" t="s">
        <v>1437</v>
      </c>
      <c r="G248" s="97" t="s">
        <v>2089</v>
      </c>
      <c r="H248" s="97"/>
      <c r="I248" s="97"/>
      <c r="J248" s="97"/>
      <c r="K248" s="97"/>
      <c r="L248" s="97" t="s">
        <v>2089</v>
      </c>
      <c r="M248" s="97"/>
      <c r="N248" s="97"/>
    </row>
    <row r="249" ht="60.0" customHeight="1">
      <c r="A249" s="96" t="str">
        <f>HYPERLINK("http://purl.obolibrary.org/obo/OBI_0001610","http://purl.obolibrary.org/obo/OBI_0001610")</f>
        <v>http://purl.obolibrary.org/obo/OBI_0001610</v>
      </c>
      <c r="B249" s="97" t="s">
        <v>2090</v>
      </c>
      <c r="C249" s="97" t="s">
        <v>2091</v>
      </c>
      <c r="D249" s="97" t="s">
        <v>4</v>
      </c>
      <c r="E249" s="97" t="s">
        <v>22</v>
      </c>
      <c r="F249" s="97" t="s">
        <v>1499</v>
      </c>
      <c r="G249" s="97" t="s">
        <v>2092</v>
      </c>
      <c r="H249" s="97"/>
      <c r="I249" s="97"/>
      <c r="J249" s="97"/>
      <c r="K249" s="97"/>
      <c r="L249" s="97" t="s">
        <v>2092</v>
      </c>
      <c r="M249" s="97"/>
      <c r="N249" s="97"/>
    </row>
    <row r="250" ht="48.0" customHeight="1">
      <c r="A250" s="96" t="str">
        <f>HYPERLINK("http://purl.obolibrary.org/obo/OBI_0001613","http://purl.obolibrary.org/obo/OBI_0001613")</f>
        <v>http://purl.obolibrary.org/obo/OBI_0001613</v>
      </c>
      <c r="B250" s="97" t="s">
        <v>2093</v>
      </c>
      <c r="C250" s="97" t="s">
        <v>2094</v>
      </c>
      <c r="D250" s="97" t="s">
        <v>1402</v>
      </c>
      <c r="E250" s="97" t="s">
        <v>22</v>
      </c>
      <c r="F250" s="97" t="s">
        <v>1915</v>
      </c>
      <c r="G250" s="97" t="s">
        <v>2095</v>
      </c>
      <c r="H250" s="97"/>
      <c r="I250" s="97" t="s">
        <v>2095</v>
      </c>
      <c r="J250" s="97" t="s">
        <v>2095</v>
      </c>
      <c r="K250" s="97"/>
      <c r="L250" s="97" t="s">
        <v>2095</v>
      </c>
      <c r="M250" s="97"/>
      <c r="N250" s="97"/>
    </row>
    <row r="251" ht="60.0" customHeight="1">
      <c r="A251" s="96" t="str">
        <f>HYPERLINK("http://purl.obolibrary.org/obo/OBI_0001630","http://purl.obolibrary.org/obo/OBI_0001630")</f>
        <v>http://purl.obolibrary.org/obo/OBI_0001630</v>
      </c>
      <c r="B251" s="97" t="s">
        <v>2096</v>
      </c>
      <c r="C251" s="97" t="s">
        <v>2097</v>
      </c>
      <c r="D251" s="97" t="s">
        <v>4</v>
      </c>
      <c r="E251" s="97" t="s">
        <v>1309</v>
      </c>
      <c r="F251" s="97" t="s">
        <v>67</v>
      </c>
      <c r="G251" s="97" t="s">
        <v>2098</v>
      </c>
      <c r="H251" s="97"/>
      <c r="I251" s="97" t="s">
        <v>2098</v>
      </c>
      <c r="J251" s="97"/>
      <c r="K251" s="97"/>
      <c r="L251" s="97"/>
      <c r="M251" s="97"/>
      <c r="N251" s="97"/>
    </row>
    <row r="252" ht="36.0" customHeight="1">
      <c r="A252" s="96" t="str">
        <f>HYPERLINK("http://purl.obolibrary.org/obo/OBI_0001631","http://purl.obolibrary.org/obo/OBI_0001631")</f>
        <v>http://purl.obolibrary.org/obo/OBI_0001631</v>
      </c>
      <c r="B252" s="97" t="s">
        <v>2099</v>
      </c>
      <c r="C252" s="97" t="s">
        <v>2100</v>
      </c>
      <c r="D252" s="97" t="s">
        <v>4</v>
      </c>
      <c r="E252" s="97" t="s">
        <v>1309</v>
      </c>
      <c r="F252" s="97" t="s">
        <v>34</v>
      </c>
      <c r="G252" s="97" t="s">
        <v>2101</v>
      </c>
      <c r="H252" s="97"/>
      <c r="I252" s="97" t="s">
        <v>2101</v>
      </c>
      <c r="J252" s="97"/>
      <c r="K252" s="97"/>
      <c r="L252" s="97"/>
      <c r="M252" s="97"/>
      <c r="N252" s="97"/>
    </row>
    <row r="253" ht="72.0" customHeight="1">
      <c r="A253" s="96" t="str">
        <f>HYPERLINK("http://purl.obolibrary.org/obo/OBI_0001632","http://purl.obolibrary.org/obo/OBI_0001632")</f>
        <v>http://purl.obolibrary.org/obo/OBI_0001632</v>
      </c>
      <c r="B253" s="97" t="s">
        <v>2102</v>
      </c>
      <c r="C253" s="97" t="s">
        <v>2103</v>
      </c>
      <c r="D253" s="97" t="s">
        <v>4</v>
      </c>
      <c r="E253" s="97" t="s">
        <v>1309</v>
      </c>
      <c r="F253" s="97" t="s">
        <v>1257</v>
      </c>
      <c r="G253" s="97"/>
      <c r="H253" s="97"/>
      <c r="I253" s="97" t="s">
        <v>2104</v>
      </c>
      <c r="J253" s="97"/>
      <c r="K253" s="97"/>
      <c r="L253" s="97"/>
      <c r="M253" s="97"/>
      <c r="N253" s="97"/>
    </row>
    <row r="254" ht="48.0" customHeight="1">
      <c r="A254" s="96" t="str">
        <f>HYPERLINK("http://purl.obolibrary.org/obo/OBI_0001634","http://purl.obolibrary.org/obo/OBI_0001634")</f>
        <v>http://purl.obolibrary.org/obo/OBI_0001634</v>
      </c>
      <c r="B254" s="97" t="s">
        <v>2105</v>
      </c>
      <c r="C254" s="97" t="s">
        <v>2106</v>
      </c>
      <c r="D254" s="97" t="s">
        <v>4</v>
      </c>
      <c r="E254" s="97" t="s">
        <v>1309</v>
      </c>
      <c r="F254" s="97" t="s">
        <v>46</v>
      </c>
      <c r="G254" s="97" t="s">
        <v>2107</v>
      </c>
      <c r="H254" s="97"/>
      <c r="I254" s="97" t="s">
        <v>2107</v>
      </c>
      <c r="J254" s="97"/>
      <c r="K254" s="97"/>
      <c r="L254" s="97"/>
      <c r="M254" s="97"/>
      <c r="N254" s="97"/>
    </row>
    <row r="255" ht="48.0" customHeight="1">
      <c r="A255" s="96" t="str">
        <f>HYPERLINK("http://purl.obolibrary.org/obo/OBI_0001635","http://purl.obolibrary.org/obo/OBI_0001635")</f>
        <v>http://purl.obolibrary.org/obo/OBI_0001635</v>
      </c>
      <c r="B255" s="97" t="s">
        <v>2108</v>
      </c>
      <c r="C255" s="97" t="s">
        <v>2109</v>
      </c>
      <c r="D255" s="97" t="s">
        <v>4</v>
      </c>
      <c r="E255" s="97" t="s">
        <v>1309</v>
      </c>
      <c r="F255" s="97" t="s">
        <v>2110</v>
      </c>
      <c r="G255" s="97"/>
      <c r="H255" s="97"/>
      <c r="I255" s="97" t="s">
        <v>2111</v>
      </c>
      <c r="J255" s="97" t="s">
        <v>2112</v>
      </c>
      <c r="K255" s="97"/>
      <c r="L255" s="97" t="s">
        <v>2113</v>
      </c>
      <c r="M255" s="97" t="s">
        <v>2111</v>
      </c>
      <c r="N255" s="97"/>
    </row>
    <row r="256" ht="48.0" customHeight="1">
      <c r="A256" s="96" t="str">
        <f>HYPERLINK("http://purl.obolibrary.org/obo/OBI_0001638","http://purl.obolibrary.org/obo/OBI_0001638")</f>
        <v>http://purl.obolibrary.org/obo/OBI_0001638</v>
      </c>
      <c r="B256" s="97" t="s">
        <v>2114</v>
      </c>
      <c r="C256" s="97" t="s">
        <v>2115</v>
      </c>
      <c r="D256" s="97" t="s">
        <v>1402</v>
      </c>
      <c r="E256" s="97" t="s">
        <v>22</v>
      </c>
      <c r="F256" s="97" t="s">
        <v>2116</v>
      </c>
      <c r="G256" s="97"/>
      <c r="H256" s="97"/>
      <c r="I256" s="97" t="s">
        <v>1879</v>
      </c>
      <c r="J256" s="97" t="s">
        <v>2117</v>
      </c>
      <c r="K256" s="97"/>
      <c r="L256" s="97"/>
      <c r="M256" s="97"/>
      <c r="N256" s="97"/>
    </row>
    <row r="257" ht="48.0" customHeight="1">
      <c r="A257" s="96" t="str">
        <f>HYPERLINK("http://purl.obolibrary.org/obo/OBI_0001639","http://purl.obolibrary.org/obo/OBI_0001639")</f>
        <v>http://purl.obolibrary.org/obo/OBI_0001639</v>
      </c>
      <c r="B257" s="97" t="s">
        <v>2118</v>
      </c>
      <c r="C257" s="97" t="s">
        <v>2119</v>
      </c>
      <c r="D257" s="97" t="s">
        <v>1402</v>
      </c>
      <c r="E257" s="97" t="s">
        <v>22</v>
      </c>
      <c r="F257" s="97" t="s">
        <v>2120</v>
      </c>
      <c r="G257" s="97" t="s">
        <v>2121</v>
      </c>
      <c r="H257" s="97"/>
      <c r="I257" s="97"/>
      <c r="J257" s="97" t="s">
        <v>2121</v>
      </c>
      <c r="K257" s="97"/>
      <c r="L257" s="97"/>
      <c r="M257" s="97"/>
      <c r="N257" s="97"/>
    </row>
    <row r="258" ht="96.0" customHeight="1">
      <c r="A258" s="96" t="str">
        <f>HYPERLINK("http://purl.obolibrary.org/obo/OBI_0001640","http://purl.obolibrary.org/obo/OBI_0001640")</f>
        <v>http://purl.obolibrary.org/obo/OBI_0001640</v>
      </c>
      <c r="B258" s="97" t="s">
        <v>2122</v>
      </c>
      <c r="C258" s="97" t="s">
        <v>2123</v>
      </c>
      <c r="D258" s="97" t="s">
        <v>1402</v>
      </c>
      <c r="E258" s="97" t="s">
        <v>22</v>
      </c>
      <c r="F258" s="97" t="s">
        <v>2124</v>
      </c>
      <c r="G258" s="97"/>
      <c r="H258" s="97"/>
      <c r="I258" s="97"/>
      <c r="J258" s="97" t="s">
        <v>2125</v>
      </c>
      <c r="K258" s="97"/>
      <c r="L258" s="97"/>
      <c r="M258" s="97"/>
      <c r="N258" s="97"/>
    </row>
    <row r="259" ht="48.0" customHeight="1">
      <c r="A259" s="96" t="str">
        <f>HYPERLINK("http://purl.obolibrary.org/obo/OBI_0001641","http://purl.obolibrary.org/obo/OBI_0001641")</f>
        <v>http://purl.obolibrary.org/obo/OBI_0001641</v>
      </c>
      <c r="B259" s="97" t="s">
        <v>2126</v>
      </c>
      <c r="C259" s="97" t="s">
        <v>2127</v>
      </c>
      <c r="D259" s="97" t="s">
        <v>1402</v>
      </c>
      <c r="E259" s="97" t="s">
        <v>22</v>
      </c>
      <c r="F259" s="97" t="s">
        <v>2120</v>
      </c>
      <c r="G259" s="97" t="s">
        <v>2128</v>
      </c>
      <c r="H259" s="97"/>
      <c r="I259" s="97"/>
      <c r="J259" s="97" t="s">
        <v>2128</v>
      </c>
      <c r="K259" s="97"/>
      <c r="L259" s="97"/>
      <c r="M259" s="97"/>
      <c r="N259" s="97"/>
    </row>
    <row r="260" ht="72.0" customHeight="1">
      <c r="A260" s="96" t="str">
        <f>HYPERLINK("http://purl.obolibrary.org/obo/OBI_0001642","http://purl.obolibrary.org/obo/OBI_0001642")</f>
        <v>http://purl.obolibrary.org/obo/OBI_0001642</v>
      </c>
      <c r="B260" s="97" t="s">
        <v>2129</v>
      </c>
      <c r="C260" s="97" t="s">
        <v>2130</v>
      </c>
      <c r="D260" s="97" t="s">
        <v>1402</v>
      </c>
      <c r="E260" s="97" t="s">
        <v>22</v>
      </c>
      <c r="F260" s="97" t="s">
        <v>2120</v>
      </c>
      <c r="G260" s="97" t="s">
        <v>2131</v>
      </c>
      <c r="H260" s="97"/>
      <c r="I260" s="97"/>
      <c r="J260" s="97" t="s">
        <v>2131</v>
      </c>
      <c r="K260" s="97"/>
      <c r="L260" s="97"/>
      <c r="M260" s="97"/>
      <c r="N260" s="97"/>
    </row>
    <row r="261" ht="72.0" customHeight="1">
      <c r="A261" s="96" t="str">
        <f>HYPERLINK("http://purl.obolibrary.org/obo/OBI_0001643","http://purl.obolibrary.org/obo/OBI_0001643")</f>
        <v>http://purl.obolibrary.org/obo/OBI_0001643</v>
      </c>
      <c r="B261" s="97" t="s">
        <v>2132</v>
      </c>
      <c r="C261" s="97" t="s">
        <v>2133</v>
      </c>
      <c r="D261" s="97" t="s">
        <v>1402</v>
      </c>
      <c r="E261" s="97" t="s">
        <v>22</v>
      </c>
      <c r="F261" s="97" t="s">
        <v>2124</v>
      </c>
      <c r="G261" s="97" t="s">
        <v>2134</v>
      </c>
      <c r="H261" s="97"/>
      <c r="I261" s="97"/>
      <c r="J261" s="97" t="s">
        <v>2134</v>
      </c>
      <c r="K261" s="97"/>
      <c r="L261" s="97"/>
      <c r="M261" s="97"/>
      <c r="N261" s="97"/>
    </row>
    <row r="262" ht="60.0" customHeight="1">
      <c r="A262" s="96" t="str">
        <f>HYPERLINK("http://purl.obolibrary.org/obo/OBI_0001644","http://purl.obolibrary.org/obo/OBI_0001644")</f>
        <v>http://purl.obolibrary.org/obo/OBI_0001644</v>
      </c>
      <c r="B262" s="97" t="s">
        <v>2135</v>
      </c>
      <c r="C262" s="97" t="s">
        <v>2136</v>
      </c>
      <c r="D262" s="97" t="s">
        <v>1402</v>
      </c>
      <c r="E262" s="97" t="s">
        <v>22</v>
      </c>
      <c r="F262" s="97" t="s">
        <v>2120</v>
      </c>
      <c r="G262" s="97" t="s">
        <v>2137</v>
      </c>
      <c r="H262" s="97"/>
      <c r="I262" s="97"/>
      <c r="J262" s="97" t="s">
        <v>2137</v>
      </c>
      <c r="K262" s="97"/>
      <c r="L262" s="97"/>
      <c r="M262" s="97"/>
      <c r="N262" s="97"/>
    </row>
    <row r="263" ht="60.0" customHeight="1">
      <c r="A263" s="96" t="str">
        <f>HYPERLINK("http://purl.obolibrary.org/obo/OBI_0001645","http://purl.obolibrary.org/obo/OBI_0001645")</f>
        <v>http://purl.obolibrary.org/obo/OBI_0001645</v>
      </c>
      <c r="B263" s="97" t="s">
        <v>2138</v>
      </c>
      <c r="C263" s="97" t="s">
        <v>2139</v>
      </c>
      <c r="D263" s="97" t="s">
        <v>1402</v>
      </c>
      <c r="E263" s="97" t="s">
        <v>22</v>
      </c>
      <c r="F263" s="97" t="s">
        <v>2140</v>
      </c>
      <c r="G263" s="97" t="s">
        <v>2141</v>
      </c>
      <c r="H263" s="97"/>
      <c r="I263" s="97"/>
      <c r="J263" s="97"/>
      <c r="K263" s="97"/>
      <c r="L263" s="97" t="s">
        <v>2141</v>
      </c>
      <c r="M263" s="97"/>
      <c r="N263" s="97"/>
    </row>
    <row r="264" ht="36.0" customHeight="1">
      <c r="A264" s="96" t="str">
        <f>HYPERLINK("http://purl.obolibrary.org/obo/OBI_0001646","http://purl.obolibrary.org/obo/OBI_0001646")</f>
        <v>http://purl.obolibrary.org/obo/OBI_0001646</v>
      </c>
      <c r="B264" s="97" t="s">
        <v>2142</v>
      </c>
      <c r="C264" s="97" t="s">
        <v>2143</v>
      </c>
      <c r="D264" s="97" t="s">
        <v>1402</v>
      </c>
      <c r="E264" s="97" t="s">
        <v>22</v>
      </c>
      <c r="F264" s="97" t="s">
        <v>2144</v>
      </c>
      <c r="G264" s="97" t="s">
        <v>2145</v>
      </c>
      <c r="H264" s="97"/>
      <c r="I264" s="97"/>
      <c r="J264" s="97" t="s">
        <v>2145</v>
      </c>
      <c r="K264" s="97"/>
      <c r="L264" s="97" t="s">
        <v>2145</v>
      </c>
      <c r="M264" s="97"/>
      <c r="N264" s="97"/>
    </row>
    <row r="265" ht="60.0" customHeight="1">
      <c r="A265" s="96" t="str">
        <f>HYPERLINK("http://purl.obolibrary.org/obo/OBI_0001647","http://purl.obolibrary.org/obo/OBI_0001647")</f>
        <v>http://purl.obolibrary.org/obo/OBI_0001647</v>
      </c>
      <c r="B265" s="97" t="s">
        <v>2146</v>
      </c>
      <c r="C265" s="97" t="s">
        <v>2147</v>
      </c>
      <c r="D265" s="97" t="s">
        <v>1402</v>
      </c>
      <c r="E265" s="97" t="s">
        <v>22</v>
      </c>
      <c r="F265" s="97" t="s">
        <v>2144</v>
      </c>
      <c r="G265" s="97" t="s">
        <v>2148</v>
      </c>
      <c r="H265" s="97"/>
      <c r="I265" s="97"/>
      <c r="J265" s="97" t="s">
        <v>2148</v>
      </c>
      <c r="K265" s="97"/>
      <c r="L265" s="97" t="s">
        <v>2148</v>
      </c>
      <c r="M265" s="97"/>
      <c r="N265" s="97"/>
    </row>
    <row r="266" ht="48.0" customHeight="1">
      <c r="A266" s="96" t="str">
        <f>HYPERLINK("http://purl.obolibrary.org/obo/OBI_0001648","http://purl.obolibrary.org/obo/OBI_0001648")</f>
        <v>http://purl.obolibrary.org/obo/OBI_0001648</v>
      </c>
      <c r="B266" s="97" t="s">
        <v>2149</v>
      </c>
      <c r="C266" s="97" t="s">
        <v>2150</v>
      </c>
      <c r="D266" s="97" t="s">
        <v>1402</v>
      </c>
      <c r="E266" s="97" t="s">
        <v>22</v>
      </c>
      <c r="F266" s="97" t="s">
        <v>2140</v>
      </c>
      <c r="G266" s="97" t="s">
        <v>2151</v>
      </c>
      <c r="H266" s="97"/>
      <c r="I266" s="97"/>
      <c r="J266" s="97"/>
      <c r="K266" s="97"/>
      <c r="L266" s="97" t="s">
        <v>2151</v>
      </c>
      <c r="M266" s="97"/>
      <c r="N266" s="97"/>
    </row>
    <row r="267" ht="60.0" customHeight="1">
      <c r="A267" s="96" t="str">
        <f>HYPERLINK("http://purl.obolibrary.org/obo/OBI_0001649","http://purl.obolibrary.org/obo/OBI_0001649")</f>
        <v>http://purl.obolibrary.org/obo/OBI_0001649</v>
      </c>
      <c r="B267" s="97" t="s">
        <v>2152</v>
      </c>
      <c r="C267" s="97" t="s">
        <v>2153</v>
      </c>
      <c r="D267" s="97" t="s">
        <v>1402</v>
      </c>
      <c r="E267" s="97" t="s">
        <v>22</v>
      </c>
      <c r="F267" s="97" t="s">
        <v>2154</v>
      </c>
      <c r="G267" s="97" t="s">
        <v>2155</v>
      </c>
      <c r="H267" s="97"/>
      <c r="I267" s="97"/>
      <c r="J267" s="97"/>
      <c r="K267" s="97"/>
      <c r="L267" s="97" t="s">
        <v>2155</v>
      </c>
      <c r="M267" s="97"/>
      <c r="N267" s="97"/>
    </row>
    <row r="268" ht="48.0" customHeight="1">
      <c r="A268" s="96" t="str">
        <f>HYPERLINK("http://purl.obolibrary.org/obo/OBI_0001650","http://purl.obolibrary.org/obo/OBI_0001650")</f>
        <v>http://purl.obolibrary.org/obo/OBI_0001650</v>
      </c>
      <c r="B268" s="97" t="s">
        <v>2156</v>
      </c>
      <c r="C268" s="97" t="s">
        <v>2157</v>
      </c>
      <c r="D268" s="97" t="s">
        <v>1402</v>
      </c>
      <c r="E268" s="97" t="s">
        <v>22</v>
      </c>
      <c r="F268" s="97" t="s">
        <v>2140</v>
      </c>
      <c r="G268" s="97" t="s">
        <v>2158</v>
      </c>
      <c r="H268" s="97"/>
      <c r="I268" s="97"/>
      <c r="J268" s="97"/>
      <c r="K268" s="97"/>
      <c r="L268" s="97" t="s">
        <v>2158</v>
      </c>
      <c r="M268" s="97"/>
      <c r="N268" s="97"/>
    </row>
    <row r="269" ht="72.0" customHeight="1">
      <c r="A269" s="96" t="str">
        <f>HYPERLINK("http://purl.obolibrary.org/obo/OBI_0001651","http://purl.obolibrary.org/obo/OBI_0001651")</f>
        <v>http://purl.obolibrary.org/obo/OBI_0001651</v>
      </c>
      <c r="B269" s="97" t="s">
        <v>2159</v>
      </c>
      <c r="C269" s="97" t="s">
        <v>2160</v>
      </c>
      <c r="D269" s="97" t="s">
        <v>1402</v>
      </c>
      <c r="E269" s="97" t="s">
        <v>22</v>
      </c>
      <c r="F269" s="97" t="s">
        <v>2140</v>
      </c>
      <c r="G269" s="97" t="s">
        <v>2161</v>
      </c>
      <c r="H269" s="97"/>
      <c r="I269" s="97"/>
      <c r="J269" s="97"/>
      <c r="K269" s="97"/>
      <c r="L269" s="97" t="s">
        <v>2161</v>
      </c>
      <c r="M269" s="97"/>
      <c r="N269" s="97"/>
    </row>
    <row r="270" ht="48.0" customHeight="1">
      <c r="A270" s="96" t="str">
        <f>HYPERLINK("http://purl.obolibrary.org/obo/OBI_0001652","http://purl.obolibrary.org/obo/OBI_0001652")</f>
        <v>http://purl.obolibrary.org/obo/OBI_0001652</v>
      </c>
      <c r="B270" s="97" t="s">
        <v>2162</v>
      </c>
      <c r="C270" s="97" t="s">
        <v>2163</v>
      </c>
      <c r="D270" s="97" t="s">
        <v>1402</v>
      </c>
      <c r="E270" s="97" t="s">
        <v>22</v>
      </c>
      <c r="F270" s="97" t="s">
        <v>2140</v>
      </c>
      <c r="G270" s="97" t="s">
        <v>2164</v>
      </c>
      <c r="H270" s="97"/>
      <c r="I270" s="97"/>
      <c r="J270" s="97"/>
      <c r="K270" s="97"/>
      <c r="L270" s="97" t="s">
        <v>2164</v>
      </c>
      <c r="M270" s="97"/>
      <c r="N270" s="97"/>
    </row>
    <row r="271" ht="60.0" customHeight="1">
      <c r="A271" s="96" t="str">
        <f>HYPERLINK("http://purl.obolibrary.org/obo/OBI_0001653","http://purl.obolibrary.org/obo/OBI_0001653")</f>
        <v>http://purl.obolibrary.org/obo/OBI_0001653</v>
      </c>
      <c r="B271" s="97" t="s">
        <v>2165</v>
      </c>
      <c r="C271" s="97" t="s">
        <v>2166</v>
      </c>
      <c r="D271" s="97" t="s">
        <v>1402</v>
      </c>
      <c r="E271" s="97" t="s">
        <v>22</v>
      </c>
      <c r="F271" s="97" t="s">
        <v>2140</v>
      </c>
      <c r="G271" s="97" t="s">
        <v>2167</v>
      </c>
      <c r="H271" s="97"/>
      <c r="I271" s="97"/>
      <c r="J271" s="97"/>
      <c r="K271" s="97"/>
      <c r="L271" s="97" t="s">
        <v>2167</v>
      </c>
      <c r="M271" s="97"/>
      <c r="N271" s="97"/>
    </row>
    <row r="272" ht="84.0" customHeight="1">
      <c r="A272" s="96" t="str">
        <f>HYPERLINK("http://purl.obolibrary.org/obo/OBI_0001654","http://purl.obolibrary.org/obo/OBI_0001654")</f>
        <v>http://purl.obolibrary.org/obo/OBI_0001654</v>
      </c>
      <c r="B272" s="97" t="s">
        <v>2168</v>
      </c>
      <c r="C272" s="97" t="s">
        <v>2169</v>
      </c>
      <c r="D272" s="97" t="s">
        <v>1402</v>
      </c>
      <c r="E272" s="97" t="s">
        <v>22</v>
      </c>
      <c r="F272" s="97" t="s">
        <v>2140</v>
      </c>
      <c r="G272" s="97" t="s">
        <v>2170</v>
      </c>
      <c r="H272" s="97"/>
      <c r="I272" s="97"/>
      <c r="J272" s="97"/>
      <c r="K272" s="97"/>
      <c r="L272" s="97" t="s">
        <v>2170</v>
      </c>
      <c r="M272" s="97"/>
      <c r="N272" s="97"/>
    </row>
    <row r="273" ht="48.0" customHeight="1">
      <c r="A273" s="96" t="str">
        <f>HYPERLINK("http://purl.obolibrary.org/obo/OBI_0001655","http://purl.obolibrary.org/obo/OBI_0001655")</f>
        <v>http://purl.obolibrary.org/obo/OBI_0001655</v>
      </c>
      <c r="B273" s="97" t="s">
        <v>2171</v>
      </c>
      <c r="C273" s="97" t="s">
        <v>2172</v>
      </c>
      <c r="D273" s="97" t="s">
        <v>1402</v>
      </c>
      <c r="E273" s="97" t="s">
        <v>22</v>
      </c>
      <c r="F273" s="97" t="s">
        <v>2140</v>
      </c>
      <c r="G273" s="97" t="s">
        <v>2173</v>
      </c>
      <c r="H273" s="97"/>
      <c r="I273" s="97"/>
      <c r="J273" s="97"/>
      <c r="K273" s="97"/>
      <c r="L273" s="97" t="s">
        <v>2173</v>
      </c>
      <c r="M273" s="97"/>
      <c r="N273" s="97"/>
    </row>
    <row r="274" ht="60.0" customHeight="1">
      <c r="A274" s="96" t="str">
        <f>HYPERLINK("http://purl.obolibrary.org/obo/OBI_0001656","http://purl.obolibrary.org/obo/OBI_0001656")</f>
        <v>http://purl.obolibrary.org/obo/OBI_0001656</v>
      </c>
      <c r="B274" s="97" t="s">
        <v>2174</v>
      </c>
      <c r="C274" s="97" t="s">
        <v>2175</v>
      </c>
      <c r="D274" s="97" t="s">
        <v>1402</v>
      </c>
      <c r="E274" s="97" t="s">
        <v>22</v>
      </c>
      <c r="F274" s="97" t="s">
        <v>2140</v>
      </c>
      <c r="G274" s="97" t="s">
        <v>2176</v>
      </c>
      <c r="H274" s="97"/>
      <c r="I274" s="97"/>
      <c r="J274" s="97"/>
      <c r="K274" s="97"/>
      <c r="L274" s="97" t="s">
        <v>2176</v>
      </c>
      <c r="M274" s="97"/>
      <c r="N274" s="97"/>
    </row>
    <row r="275" ht="60.0" customHeight="1">
      <c r="A275" s="96" t="str">
        <f>HYPERLINK("http://purl.obolibrary.org/obo/OBI_0001657","http://purl.obolibrary.org/obo/OBI_0001657")</f>
        <v>http://purl.obolibrary.org/obo/OBI_0001657</v>
      </c>
      <c r="B275" s="97" t="s">
        <v>2177</v>
      </c>
      <c r="C275" s="97" t="s">
        <v>2178</v>
      </c>
      <c r="D275" s="97" t="s">
        <v>1402</v>
      </c>
      <c r="E275" s="97" t="s">
        <v>22</v>
      </c>
      <c r="F275" s="97" t="s">
        <v>2140</v>
      </c>
      <c r="G275" s="97" t="s">
        <v>2179</v>
      </c>
      <c r="H275" s="97"/>
      <c r="I275" s="97"/>
      <c r="J275" s="97"/>
      <c r="K275" s="97"/>
      <c r="L275" s="97" t="s">
        <v>2179</v>
      </c>
      <c r="M275" s="97"/>
      <c r="N275" s="97"/>
    </row>
    <row r="276" ht="48.0" customHeight="1">
      <c r="A276" s="96" t="str">
        <f>HYPERLINK("http://purl.obolibrary.org/obo/OBI_0001658","http://purl.obolibrary.org/obo/OBI_0001658")</f>
        <v>http://purl.obolibrary.org/obo/OBI_0001658</v>
      </c>
      <c r="B276" s="97" t="s">
        <v>2180</v>
      </c>
      <c r="C276" s="97" t="s">
        <v>2181</v>
      </c>
      <c r="D276" s="97" t="s">
        <v>1402</v>
      </c>
      <c r="E276" s="97" t="s">
        <v>22</v>
      </c>
      <c r="F276" s="97" t="s">
        <v>2140</v>
      </c>
      <c r="G276" s="97" t="s">
        <v>2182</v>
      </c>
      <c r="H276" s="97"/>
      <c r="I276" s="97"/>
      <c r="J276" s="97"/>
      <c r="K276" s="97"/>
      <c r="L276" s="97" t="s">
        <v>2182</v>
      </c>
      <c r="M276" s="97"/>
      <c r="N276" s="97"/>
    </row>
    <row r="277" ht="48.0" customHeight="1">
      <c r="A277" s="96" t="str">
        <f>HYPERLINK("http://purl.obolibrary.org/obo/OBI_0001659","http://purl.obolibrary.org/obo/OBI_0001659")</f>
        <v>http://purl.obolibrary.org/obo/OBI_0001659</v>
      </c>
      <c r="B277" s="97" t="s">
        <v>2183</v>
      </c>
      <c r="C277" s="97" t="s">
        <v>2184</v>
      </c>
      <c r="D277" s="97" t="s">
        <v>4</v>
      </c>
      <c r="E277" s="97" t="s">
        <v>22</v>
      </c>
      <c r="F277" s="97" t="s">
        <v>2185</v>
      </c>
      <c r="G277" s="97" t="s">
        <v>2186</v>
      </c>
      <c r="H277" s="97"/>
      <c r="I277" s="97"/>
      <c r="J277" s="97"/>
      <c r="K277" s="97"/>
      <c r="L277" s="97" t="s">
        <v>2186</v>
      </c>
      <c r="M277" s="97"/>
      <c r="N277" s="97"/>
    </row>
    <row r="278" ht="60.0" customHeight="1">
      <c r="A278" s="96" t="str">
        <f>HYPERLINK("http://purl.obolibrary.org/obo/OBI_0001660","http://purl.obolibrary.org/obo/OBI_0001660")</f>
        <v>http://purl.obolibrary.org/obo/OBI_0001660</v>
      </c>
      <c r="B278" s="97" t="s">
        <v>2187</v>
      </c>
      <c r="C278" s="97" t="s">
        <v>2188</v>
      </c>
      <c r="D278" s="97" t="s">
        <v>4</v>
      </c>
      <c r="E278" s="97" t="s">
        <v>22</v>
      </c>
      <c r="F278" s="97" t="s">
        <v>2189</v>
      </c>
      <c r="G278" s="97" t="s">
        <v>2190</v>
      </c>
      <c r="H278" s="97"/>
      <c r="I278" s="97"/>
      <c r="J278" s="97"/>
      <c r="K278" s="97"/>
      <c r="L278" s="97" t="s">
        <v>2190</v>
      </c>
      <c r="M278" s="97"/>
      <c r="N278" s="97"/>
    </row>
    <row r="279" ht="60.0" customHeight="1">
      <c r="A279" s="96" t="str">
        <f>HYPERLINK("http://purl.obolibrary.org/obo/OBI_0001661","http://purl.obolibrary.org/obo/OBI_0001661")</f>
        <v>http://purl.obolibrary.org/obo/OBI_0001661</v>
      </c>
      <c r="B279" s="97" t="s">
        <v>2191</v>
      </c>
      <c r="C279" s="97" t="s">
        <v>2192</v>
      </c>
      <c r="D279" s="97" t="s">
        <v>1402</v>
      </c>
      <c r="E279" s="97" t="s">
        <v>22</v>
      </c>
      <c r="F279" s="97" t="s">
        <v>2140</v>
      </c>
      <c r="G279" s="97" t="s">
        <v>2193</v>
      </c>
      <c r="H279" s="97"/>
      <c r="I279" s="97"/>
      <c r="J279" s="97"/>
      <c r="K279" s="97"/>
      <c r="L279" s="97" t="s">
        <v>2193</v>
      </c>
      <c r="M279" s="97"/>
      <c r="N279" s="97"/>
    </row>
    <row r="280" ht="48.0" customHeight="1">
      <c r="A280" s="96" t="str">
        <f>HYPERLINK("http://purl.obolibrary.org/obo/OBI_0001662","http://purl.obolibrary.org/obo/OBI_0001662")</f>
        <v>http://purl.obolibrary.org/obo/OBI_0001662</v>
      </c>
      <c r="B280" s="97" t="s">
        <v>2194</v>
      </c>
      <c r="C280" s="97" t="s">
        <v>2195</v>
      </c>
      <c r="D280" s="97" t="s">
        <v>1402</v>
      </c>
      <c r="E280" s="97" t="s">
        <v>22</v>
      </c>
      <c r="F280" s="97" t="s">
        <v>2140</v>
      </c>
      <c r="G280" s="97" t="s">
        <v>2196</v>
      </c>
      <c r="H280" s="97"/>
      <c r="I280" s="97"/>
      <c r="J280" s="97"/>
      <c r="K280" s="97"/>
      <c r="L280" s="97" t="s">
        <v>2196</v>
      </c>
      <c r="M280" s="97"/>
      <c r="N280" s="97"/>
    </row>
    <row r="281" ht="48.0" customHeight="1">
      <c r="A281" s="96" t="str">
        <f>HYPERLINK("http://purl.obolibrary.org/obo/OBI_0001663","http://purl.obolibrary.org/obo/OBI_0001663")</f>
        <v>http://purl.obolibrary.org/obo/OBI_0001663</v>
      </c>
      <c r="B281" s="97" t="s">
        <v>2197</v>
      </c>
      <c r="C281" s="97" t="s">
        <v>2198</v>
      </c>
      <c r="D281" s="97" t="s">
        <v>4</v>
      </c>
      <c r="E281" s="97" t="s">
        <v>22</v>
      </c>
      <c r="F281" s="97" t="s">
        <v>2199</v>
      </c>
      <c r="G281" s="97" t="s">
        <v>2200</v>
      </c>
      <c r="H281" s="97"/>
      <c r="I281" s="97"/>
      <c r="J281" s="97"/>
      <c r="K281" s="97"/>
      <c r="L281" s="97" t="s">
        <v>2200</v>
      </c>
      <c r="M281" s="97"/>
      <c r="N281" s="97"/>
    </row>
    <row r="282" ht="36.0" customHeight="1">
      <c r="A282" s="96" t="str">
        <f>HYPERLINK("http://purl.obolibrary.org/obo/OBI_0001664","http://purl.obolibrary.org/obo/OBI_0001664")</f>
        <v>http://purl.obolibrary.org/obo/OBI_0001664</v>
      </c>
      <c r="B282" s="97" t="s">
        <v>2201</v>
      </c>
      <c r="C282" s="97" t="s">
        <v>2202</v>
      </c>
      <c r="D282" s="97" t="s">
        <v>4</v>
      </c>
      <c r="E282" s="97" t="s">
        <v>22</v>
      </c>
      <c r="F282" s="97" t="s">
        <v>2199</v>
      </c>
      <c r="G282" s="97" t="s">
        <v>2203</v>
      </c>
      <c r="H282" s="97"/>
      <c r="I282" s="97"/>
      <c r="J282" s="97"/>
      <c r="K282" s="97"/>
      <c r="L282" s="97" t="s">
        <v>2203</v>
      </c>
      <c r="M282" s="97"/>
      <c r="N282" s="97"/>
    </row>
    <row r="283" ht="48.0" customHeight="1">
      <c r="A283" s="96" t="str">
        <f>HYPERLINK("http://purl.obolibrary.org/obo/OBI_0001665","http://purl.obolibrary.org/obo/OBI_0001665")</f>
        <v>http://purl.obolibrary.org/obo/OBI_0001665</v>
      </c>
      <c r="B283" s="97" t="s">
        <v>2204</v>
      </c>
      <c r="C283" s="97" t="s">
        <v>2205</v>
      </c>
      <c r="D283" s="97" t="s">
        <v>1402</v>
      </c>
      <c r="E283" s="97" t="s">
        <v>22</v>
      </c>
      <c r="F283" s="97" t="s">
        <v>2015</v>
      </c>
      <c r="G283" s="97" t="s">
        <v>2206</v>
      </c>
      <c r="H283" s="97"/>
      <c r="I283" s="97" t="s">
        <v>2206</v>
      </c>
      <c r="J283" s="97" t="s">
        <v>2206</v>
      </c>
      <c r="K283" s="97"/>
      <c r="L283" s="97" t="s">
        <v>2206</v>
      </c>
      <c r="M283" s="97"/>
      <c r="N283" s="97"/>
    </row>
    <row r="284" ht="48.0" customHeight="1">
      <c r="A284" s="96" t="str">
        <f>HYPERLINK("http://purl.obolibrary.org/obo/OBI_0001666","http://purl.obolibrary.org/obo/OBI_0001666")</f>
        <v>http://purl.obolibrary.org/obo/OBI_0001666</v>
      </c>
      <c r="B284" s="97" t="s">
        <v>2207</v>
      </c>
      <c r="C284" s="97" t="s">
        <v>2208</v>
      </c>
      <c r="D284" s="97" t="s">
        <v>1402</v>
      </c>
      <c r="E284" s="97" t="s">
        <v>22</v>
      </c>
      <c r="F284" s="97" t="s">
        <v>1948</v>
      </c>
      <c r="G284" s="97" t="s">
        <v>2209</v>
      </c>
      <c r="H284" s="97"/>
      <c r="I284" s="97" t="s">
        <v>2209</v>
      </c>
      <c r="J284" s="97" t="s">
        <v>2209</v>
      </c>
      <c r="K284" s="97"/>
      <c r="L284" s="97" t="s">
        <v>2209</v>
      </c>
      <c r="M284" s="97"/>
      <c r="N284" s="97"/>
    </row>
    <row r="285" ht="60.0" customHeight="1">
      <c r="A285" s="96" t="str">
        <f>HYPERLINK("http://purl.obolibrary.org/obo/OBI_0001667","http://purl.obolibrary.org/obo/OBI_0001667")</f>
        <v>http://purl.obolibrary.org/obo/OBI_0001667</v>
      </c>
      <c r="B285" s="97" t="s">
        <v>2210</v>
      </c>
      <c r="C285" s="97" t="s">
        <v>2211</v>
      </c>
      <c r="D285" s="97" t="s">
        <v>1402</v>
      </c>
      <c r="E285" s="97" t="s">
        <v>22</v>
      </c>
      <c r="F285" s="97" t="s">
        <v>1939</v>
      </c>
      <c r="G285" s="97"/>
      <c r="H285" s="97"/>
      <c r="I285" s="97" t="s">
        <v>1898</v>
      </c>
      <c r="J285" s="97" t="s">
        <v>1956</v>
      </c>
      <c r="K285" s="97"/>
      <c r="L285" s="97" t="s">
        <v>1938</v>
      </c>
      <c r="M285" s="97"/>
      <c r="N285" s="97"/>
    </row>
    <row r="286" ht="60.0" customHeight="1">
      <c r="A286" s="96" t="str">
        <f>HYPERLINK("http://purl.obolibrary.org/obo/OBI_0001675","http://purl.obolibrary.org/obo/OBI_0001675")</f>
        <v>http://purl.obolibrary.org/obo/OBI_0001675</v>
      </c>
      <c r="B286" s="97" t="s">
        <v>2212</v>
      </c>
      <c r="C286" s="97" t="s">
        <v>2213</v>
      </c>
      <c r="D286" s="97" t="s">
        <v>4</v>
      </c>
      <c r="E286" s="97" t="s">
        <v>22</v>
      </c>
      <c r="F286" s="97" t="s">
        <v>2214</v>
      </c>
      <c r="G286" s="97" t="s">
        <v>2215</v>
      </c>
      <c r="H286" s="97"/>
      <c r="I286" s="97"/>
      <c r="J286" s="97"/>
      <c r="K286" s="97"/>
      <c r="L286" s="97" t="s">
        <v>2215</v>
      </c>
      <c r="M286" s="97"/>
      <c r="N286" s="97"/>
    </row>
    <row r="287" ht="48.0" customHeight="1">
      <c r="A287" s="96" t="str">
        <f>HYPERLINK("http://purl.obolibrary.org/obo/OBI_0001676","http://purl.obolibrary.org/obo/OBI_0001676")</f>
        <v>http://purl.obolibrary.org/obo/OBI_0001676</v>
      </c>
      <c r="B287" s="97" t="s">
        <v>2216</v>
      </c>
      <c r="C287" s="97" t="s">
        <v>2217</v>
      </c>
      <c r="D287" s="97" t="s">
        <v>4</v>
      </c>
      <c r="E287" s="97" t="s">
        <v>22</v>
      </c>
      <c r="F287" s="97" t="s">
        <v>2034</v>
      </c>
      <c r="G287" s="97" t="s">
        <v>2218</v>
      </c>
      <c r="H287" s="97"/>
      <c r="I287" s="97"/>
      <c r="J287" s="97"/>
      <c r="K287" s="97"/>
      <c r="L287" s="97" t="s">
        <v>2218</v>
      </c>
      <c r="M287" s="97"/>
      <c r="N287" s="97"/>
    </row>
    <row r="288" ht="48.0" customHeight="1">
      <c r="A288" s="96" t="str">
        <f>HYPERLINK("http://purl.obolibrary.org/obo/OBI_0001692","http://purl.obolibrary.org/obo/OBI_0001692")</f>
        <v>http://purl.obolibrary.org/obo/OBI_0001692</v>
      </c>
      <c r="B288" s="97" t="s">
        <v>2219</v>
      </c>
      <c r="C288" s="97" t="s">
        <v>2220</v>
      </c>
      <c r="D288" s="97" t="s">
        <v>2221</v>
      </c>
      <c r="E288" s="97" t="s">
        <v>22</v>
      </c>
      <c r="F288" s="97" t="s">
        <v>2222</v>
      </c>
      <c r="G288" s="97"/>
      <c r="H288" s="97"/>
      <c r="I288" s="97" t="s">
        <v>243</v>
      </c>
      <c r="J288" s="97"/>
      <c r="K288" s="97"/>
      <c r="L288" s="97" t="s">
        <v>2223</v>
      </c>
      <c r="M288" s="97"/>
      <c r="N288" s="97"/>
    </row>
    <row r="289" ht="48.0" customHeight="1">
      <c r="A289" s="96" t="str">
        <f>HYPERLINK("http://purl.obolibrary.org/obo/OBI_0001693","http://purl.obolibrary.org/obo/OBI_0001693")</f>
        <v>http://purl.obolibrary.org/obo/OBI_0001693</v>
      </c>
      <c r="B289" s="97" t="s">
        <v>2224</v>
      </c>
      <c r="C289" s="97" t="s">
        <v>2225</v>
      </c>
      <c r="D289" s="97" t="s">
        <v>1402</v>
      </c>
      <c r="E289" s="97" t="s">
        <v>22</v>
      </c>
      <c r="F289" s="97" t="s">
        <v>2222</v>
      </c>
      <c r="G289" s="97" t="s">
        <v>2226</v>
      </c>
      <c r="H289" s="97"/>
      <c r="I289" s="97"/>
      <c r="J289" s="97" t="s">
        <v>2226</v>
      </c>
      <c r="K289" s="97"/>
      <c r="L289" s="97" t="s">
        <v>2226</v>
      </c>
      <c r="M289" s="97"/>
      <c r="N289" s="97"/>
    </row>
    <row r="290" ht="60.0" customHeight="1">
      <c r="A290" s="96" t="str">
        <f>HYPERLINK("http://purl.obolibrary.org/obo/OBI_0001694","http://purl.obolibrary.org/obo/OBI_0001694")</f>
        <v>http://purl.obolibrary.org/obo/OBI_0001694</v>
      </c>
      <c r="B290" s="97" t="s">
        <v>2227</v>
      </c>
      <c r="C290" s="97" t="s">
        <v>2228</v>
      </c>
      <c r="D290" s="97" t="s">
        <v>1402</v>
      </c>
      <c r="E290" s="97" t="s">
        <v>22</v>
      </c>
      <c r="F290" s="97" t="s">
        <v>2222</v>
      </c>
      <c r="G290" s="97" t="s">
        <v>2229</v>
      </c>
      <c r="H290" s="97"/>
      <c r="I290" s="97"/>
      <c r="J290" s="97" t="s">
        <v>2229</v>
      </c>
      <c r="K290" s="97"/>
      <c r="L290" s="97" t="s">
        <v>2229</v>
      </c>
      <c r="M290" s="97"/>
      <c r="N290" s="97"/>
    </row>
    <row r="291" ht="60.0" customHeight="1">
      <c r="A291" s="96" t="str">
        <f>HYPERLINK("http://purl.obolibrary.org/obo/OBI_0001695","http://purl.obolibrary.org/obo/OBI_0001695")</f>
        <v>http://purl.obolibrary.org/obo/OBI_0001695</v>
      </c>
      <c r="B291" s="97" t="s">
        <v>2230</v>
      </c>
      <c r="C291" s="97" t="s">
        <v>2231</v>
      </c>
      <c r="D291" s="97" t="s">
        <v>1402</v>
      </c>
      <c r="E291" s="97" t="s">
        <v>22</v>
      </c>
      <c r="F291" s="97" t="s">
        <v>2120</v>
      </c>
      <c r="G291" s="97" t="s">
        <v>2232</v>
      </c>
      <c r="H291" s="97"/>
      <c r="I291" s="97"/>
      <c r="J291" s="97" t="s">
        <v>2232</v>
      </c>
      <c r="K291" s="97"/>
      <c r="L291" s="97"/>
      <c r="M291" s="97"/>
      <c r="N291" s="97"/>
    </row>
    <row r="292" ht="60.0" customHeight="1">
      <c r="A292" s="96" t="str">
        <f>HYPERLINK("http://purl.obolibrary.org/obo/OBI_0001696","http://purl.obolibrary.org/obo/OBI_0001696")</f>
        <v>http://purl.obolibrary.org/obo/OBI_0001696</v>
      </c>
      <c r="B292" s="97" t="s">
        <v>2233</v>
      </c>
      <c r="C292" s="97" t="s">
        <v>2234</v>
      </c>
      <c r="D292" s="97" t="s">
        <v>1402</v>
      </c>
      <c r="E292" s="97" t="s">
        <v>22</v>
      </c>
      <c r="F292" s="97" t="s">
        <v>2235</v>
      </c>
      <c r="G292" s="97"/>
      <c r="H292" s="97"/>
      <c r="I292" s="97"/>
      <c r="J292" s="97"/>
      <c r="K292" s="97"/>
      <c r="L292" s="97" t="s">
        <v>2236</v>
      </c>
      <c r="M292" s="97"/>
      <c r="N292" s="97"/>
    </row>
    <row r="293" ht="60.0" customHeight="1">
      <c r="A293" s="96" t="str">
        <f>HYPERLINK("http://purl.obolibrary.org/obo/OBI_0001697","http://purl.obolibrary.org/obo/OBI_0001697")</f>
        <v>http://purl.obolibrary.org/obo/OBI_0001697</v>
      </c>
      <c r="B293" s="97" t="s">
        <v>2237</v>
      </c>
      <c r="C293" s="97" t="s">
        <v>2238</v>
      </c>
      <c r="D293" s="97" t="s">
        <v>1402</v>
      </c>
      <c r="E293" s="97" t="s">
        <v>22</v>
      </c>
      <c r="F293" s="97" t="s">
        <v>2222</v>
      </c>
      <c r="G293" s="97" t="s">
        <v>2239</v>
      </c>
      <c r="H293" s="97"/>
      <c r="I293" s="97"/>
      <c r="J293" s="97"/>
      <c r="K293" s="97"/>
      <c r="L293" s="97" t="s">
        <v>2239</v>
      </c>
      <c r="M293" s="97"/>
      <c r="N293" s="97"/>
    </row>
    <row r="294" ht="36.0" customHeight="1">
      <c r="A294" s="96" t="str">
        <f>HYPERLINK("http://purl.obolibrary.org/obo/OBI_0001698","http://purl.obolibrary.org/obo/OBI_0001698")</f>
        <v>http://purl.obolibrary.org/obo/OBI_0001698</v>
      </c>
      <c r="B294" s="97" t="s">
        <v>2222</v>
      </c>
      <c r="C294" s="97" t="s">
        <v>2240</v>
      </c>
      <c r="D294" s="97" t="s">
        <v>1402</v>
      </c>
      <c r="E294" s="97" t="s">
        <v>22</v>
      </c>
      <c r="F294" s="97" t="s">
        <v>2124</v>
      </c>
      <c r="G294" s="97" t="s">
        <v>2241</v>
      </c>
      <c r="H294" s="97"/>
      <c r="I294" s="97" t="s">
        <v>2241</v>
      </c>
      <c r="J294" s="97"/>
      <c r="K294" s="97"/>
      <c r="L294" s="97" t="s">
        <v>2241</v>
      </c>
      <c r="M294" s="97"/>
      <c r="N294" s="97"/>
    </row>
    <row r="295" ht="60.0" customHeight="1">
      <c r="A295" s="96" t="str">
        <f>HYPERLINK("http://purl.obolibrary.org/obo/OBI_0001699","http://purl.obolibrary.org/obo/OBI_0001699")</f>
        <v>http://purl.obolibrary.org/obo/OBI_0001699</v>
      </c>
      <c r="B295" s="97" t="s">
        <v>2242</v>
      </c>
      <c r="C295" s="97" t="s">
        <v>2243</v>
      </c>
      <c r="D295" s="97" t="s">
        <v>4</v>
      </c>
      <c r="E295" s="97" t="s">
        <v>1309</v>
      </c>
      <c r="F295" s="97" t="s">
        <v>2050</v>
      </c>
      <c r="G295" s="97"/>
      <c r="H295" s="97"/>
      <c r="I295" s="97" t="s">
        <v>2244</v>
      </c>
      <c r="J295" s="97"/>
      <c r="K295" s="97"/>
      <c r="L295" s="97"/>
      <c r="M295" s="97" t="s">
        <v>2111</v>
      </c>
      <c r="N295" s="97"/>
    </row>
    <row r="296" ht="48.0" customHeight="1">
      <c r="A296" s="96" t="str">
        <f>HYPERLINK("http://purl.obolibrary.org/obo/OBI_0001700","http://purl.obolibrary.org/obo/OBI_0001700")</f>
        <v>http://purl.obolibrary.org/obo/OBI_0001700</v>
      </c>
      <c r="B296" s="97" t="s">
        <v>1042</v>
      </c>
      <c r="C296" s="97" t="s">
        <v>2245</v>
      </c>
      <c r="D296" s="97" t="s">
        <v>4</v>
      </c>
      <c r="E296" s="97" t="s">
        <v>1309</v>
      </c>
      <c r="F296" s="97" t="s">
        <v>67</v>
      </c>
      <c r="G296" s="97" t="s">
        <v>2246</v>
      </c>
      <c r="H296" s="97"/>
      <c r="I296" s="97" t="s">
        <v>2246</v>
      </c>
      <c r="J296" s="97"/>
      <c r="K296" s="97"/>
      <c r="L296" s="97" t="s">
        <v>2246</v>
      </c>
      <c r="M296" s="97"/>
      <c r="N296" s="97"/>
    </row>
    <row r="297" ht="72.0" customHeight="1">
      <c r="A297" s="96" t="str">
        <f>HYPERLINK("http://purl.obolibrary.org/obo/OBI_0001701","http://purl.obolibrary.org/obo/OBI_0001701")</f>
        <v>http://purl.obolibrary.org/obo/OBI_0001701</v>
      </c>
      <c r="B297" s="97" t="s">
        <v>2247</v>
      </c>
      <c r="C297" s="97" t="s">
        <v>2248</v>
      </c>
      <c r="D297" s="97" t="s">
        <v>1402</v>
      </c>
      <c r="E297" s="97" t="s">
        <v>22</v>
      </c>
      <c r="F297" s="97" t="s">
        <v>2140</v>
      </c>
      <c r="G297" s="97"/>
      <c r="H297" s="97"/>
      <c r="I297" s="97" t="s">
        <v>1879</v>
      </c>
      <c r="J297" s="97"/>
      <c r="K297" s="97"/>
      <c r="L297" s="97"/>
      <c r="M297" s="97"/>
      <c r="N297" s="97"/>
    </row>
    <row r="298" ht="48.0" customHeight="1">
      <c r="A298" s="96" t="str">
        <f>HYPERLINK("http://purl.obolibrary.org/obo/OBI_0001703","http://purl.obolibrary.org/obo/OBI_0001703")</f>
        <v>http://purl.obolibrary.org/obo/OBI_0001703</v>
      </c>
      <c r="B298" s="97" t="s">
        <v>2140</v>
      </c>
      <c r="C298" s="97" t="s">
        <v>2249</v>
      </c>
      <c r="D298" s="97" t="s">
        <v>4</v>
      </c>
      <c r="E298" s="97" t="s">
        <v>22</v>
      </c>
      <c r="F298" s="97" t="s">
        <v>2250</v>
      </c>
      <c r="G298" s="97" t="s">
        <v>2251</v>
      </c>
      <c r="H298" s="97"/>
      <c r="I298" s="97"/>
      <c r="J298" s="97" t="s">
        <v>2251</v>
      </c>
      <c r="K298" s="97"/>
      <c r="L298" s="97"/>
      <c r="M298" s="97"/>
      <c r="N298" s="97"/>
    </row>
    <row r="299" ht="60.0" customHeight="1">
      <c r="A299" s="96" t="str">
        <f>HYPERLINK("http://purl.obolibrary.org/obo/OBI_0001704","http://purl.obolibrary.org/obo/OBI_0001704")</f>
        <v>http://purl.obolibrary.org/obo/OBI_0001704</v>
      </c>
      <c r="B299" s="97" t="s">
        <v>2120</v>
      </c>
      <c r="C299" s="97" t="s">
        <v>2252</v>
      </c>
      <c r="D299" s="97" t="s">
        <v>4</v>
      </c>
      <c r="E299" s="97" t="s">
        <v>22</v>
      </c>
      <c r="F299" s="97" t="s">
        <v>2124</v>
      </c>
      <c r="G299" s="97"/>
      <c r="H299" s="97"/>
      <c r="I299" s="97"/>
      <c r="J299" s="97" t="s">
        <v>2253</v>
      </c>
      <c r="K299" s="97"/>
      <c r="L299" s="97"/>
      <c r="M299" s="97"/>
      <c r="N299" s="97"/>
    </row>
    <row r="300" ht="48.0" customHeight="1">
      <c r="A300" s="96" t="str">
        <f>HYPERLINK("http://purl.obolibrary.org/obo/OBI_0001705","http://purl.obolibrary.org/obo/OBI_0001705")</f>
        <v>http://purl.obolibrary.org/obo/OBI_0001705</v>
      </c>
      <c r="B300" s="97" t="s">
        <v>2254</v>
      </c>
      <c r="C300" s="97" t="s">
        <v>2255</v>
      </c>
      <c r="D300" s="97" t="s">
        <v>4</v>
      </c>
      <c r="E300" s="97" t="s">
        <v>22</v>
      </c>
      <c r="F300" s="97" t="s">
        <v>2124</v>
      </c>
      <c r="G300" s="97"/>
      <c r="H300" s="97"/>
      <c r="I300" s="97" t="s">
        <v>1879</v>
      </c>
      <c r="J300" s="97"/>
      <c r="K300" s="97"/>
      <c r="L300" s="97"/>
      <c r="M300" s="97"/>
      <c r="N300" s="97"/>
    </row>
    <row r="301" ht="48.0" customHeight="1">
      <c r="A301" s="96" t="str">
        <f>HYPERLINK("http://purl.obolibrary.org/obo/OBI_0001706","http://purl.obolibrary.org/obo/OBI_0001706")</f>
        <v>http://purl.obolibrary.org/obo/OBI_0001706</v>
      </c>
      <c r="B301" s="97" t="s">
        <v>2124</v>
      </c>
      <c r="C301" s="97" t="s">
        <v>2256</v>
      </c>
      <c r="D301" s="97" t="s">
        <v>4</v>
      </c>
      <c r="E301" s="97" t="s">
        <v>22</v>
      </c>
      <c r="F301" s="97" t="s">
        <v>2257</v>
      </c>
      <c r="G301" s="97" t="s">
        <v>2258</v>
      </c>
      <c r="H301" s="97"/>
      <c r="I301" s="97"/>
      <c r="J301" s="97" t="s">
        <v>2258</v>
      </c>
      <c r="K301" s="97"/>
      <c r="L301" s="97"/>
      <c r="M301" s="97"/>
      <c r="N301" s="97"/>
    </row>
    <row r="302" ht="60.0" customHeight="1">
      <c r="A302" s="96" t="str">
        <f>HYPERLINK("http://purl.obolibrary.org/obo/OBI_0001708","http://purl.obolibrary.org/obo/OBI_0001708")</f>
        <v>http://purl.obolibrary.org/obo/OBI_0001708</v>
      </c>
      <c r="B302" s="97" t="s">
        <v>2116</v>
      </c>
      <c r="C302" s="97" t="s">
        <v>2259</v>
      </c>
      <c r="D302" s="97" t="s">
        <v>1402</v>
      </c>
      <c r="E302" s="97" t="s">
        <v>22</v>
      </c>
      <c r="F302" s="97" t="s">
        <v>2260</v>
      </c>
      <c r="G302" s="97" t="s">
        <v>2261</v>
      </c>
      <c r="H302" s="97"/>
      <c r="I302" s="97"/>
      <c r="J302" s="97" t="s">
        <v>2261</v>
      </c>
      <c r="K302" s="97"/>
      <c r="L302" s="97"/>
      <c r="M302" s="97"/>
      <c r="N302" s="97"/>
    </row>
    <row r="303" ht="72.0" customHeight="1">
      <c r="A303" s="96" t="str">
        <f>HYPERLINK("http://purl.obolibrary.org/obo/OBI_0001709","http://purl.obolibrary.org/obo/OBI_0001709")</f>
        <v>http://purl.obolibrary.org/obo/OBI_0001709</v>
      </c>
      <c r="B303" s="97" t="s">
        <v>2260</v>
      </c>
      <c r="C303" s="97" t="s">
        <v>2262</v>
      </c>
      <c r="D303" s="97" t="s">
        <v>1402</v>
      </c>
      <c r="E303" s="97" t="s">
        <v>22</v>
      </c>
      <c r="F303" s="97" t="s">
        <v>2263</v>
      </c>
      <c r="G303" s="97" t="s">
        <v>2264</v>
      </c>
      <c r="H303" s="97"/>
      <c r="I303" s="97"/>
      <c r="J303" s="97" t="s">
        <v>2264</v>
      </c>
      <c r="K303" s="97"/>
      <c r="L303" s="97"/>
      <c r="M303" s="97"/>
      <c r="N303" s="97"/>
    </row>
    <row r="304" ht="48.0" customHeight="1">
      <c r="A304" s="96" t="str">
        <f>HYPERLINK("http://purl.obolibrary.org/obo/OBI_0001710","http://purl.obolibrary.org/obo/OBI_0001710")</f>
        <v>http://purl.obolibrary.org/obo/OBI_0001710</v>
      </c>
      <c r="B304" s="97" t="s">
        <v>2235</v>
      </c>
      <c r="C304" s="97" t="s">
        <v>2265</v>
      </c>
      <c r="D304" s="97" t="s">
        <v>1402</v>
      </c>
      <c r="E304" s="97" t="s">
        <v>22</v>
      </c>
      <c r="F304" s="97" t="s">
        <v>2222</v>
      </c>
      <c r="G304" s="97" t="s">
        <v>2266</v>
      </c>
      <c r="H304" s="97"/>
      <c r="I304" s="97"/>
      <c r="J304" s="97"/>
      <c r="K304" s="97"/>
      <c r="L304" s="97" t="s">
        <v>2266</v>
      </c>
      <c r="M304" s="97"/>
      <c r="N304" s="97"/>
    </row>
    <row r="305" ht="48.0" customHeight="1">
      <c r="A305" s="96" t="str">
        <f>HYPERLINK("http://purl.obolibrary.org/obo/OBI_0001711","http://purl.obolibrary.org/obo/OBI_0001711")</f>
        <v>http://purl.obolibrary.org/obo/OBI_0001711</v>
      </c>
      <c r="B305" s="97" t="s">
        <v>2267</v>
      </c>
      <c r="C305" s="97" t="s">
        <v>2268</v>
      </c>
      <c r="D305" s="97" t="s">
        <v>1402</v>
      </c>
      <c r="E305" s="97" t="s">
        <v>22</v>
      </c>
      <c r="F305" s="97" t="s">
        <v>2222</v>
      </c>
      <c r="G305" s="97" t="s">
        <v>2269</v>
      </c>
      <c r="H305" s="97"/>
      <c r="I305" s="97"/>
      <c r="J305" s="97"/>
      <c r="K305" s="97"/>
      <c r="L305" s="97" t="s">
        <v>2269</v>
      </c>
      <c r="M305" s="97"/>
      <c r="N305" s="97"/>
    </row>
    <row r="306" ht="60.0" customHeight="1">
      <c r="A306" s="96" t="str">
        <f>HYPERLINK("http://purl.obolibrary.org/obo/OBI_0001718","http://purl.obolibrary.org/obo/OBI_0001718")</f>
        <v>http://purl.obolibrary.org/obo/OBI_0001718</v>
      </c>
      <c r="B306" s="97" t="s">
        <v>2270</v>
      </c>
      <c r="C306" s="97" t="s">
        <v>2271</v>
      </c>
      <c r="D306" s="97" t="s">
        <v>1402</v>
      </c>
      <c r="E306" s="97" t="s">
        <v>22</v>
      </c>
      <c r="F306" s="97" t="s">
        <v>2260</v>
      </c>
      <c r="G306" s="97" t="s">
        <v>2272</v>
      </c>
      <c r="H306" s="97"/>
      <c r="I306" s="97"/>
      <c r="J306" s="97" t="s">
        <v>2272</v>
      </c>
      <c r="K306" s="97"/>
      <c r="L306" s="97"/>
      <c r="M306" s="97"/>
      <c r="N306" s="97"/>
    </row>
    <row r="307" ht="48.0" customHeight="1">
      <c r="A307" s="96" t="str">
        <f>HYPERLINK("http://purl.obolibrary.org/obo/OBI_0001719","http://purl.obolibrary.org/obo/OBI_0001719")</f>
        <v>http://purl.obolibrary.org/obo/OBI_0001719</v>
      </c>
      <c r="B307" s="97" t="s">
        <v>2273</v>
      </c>
      <c r="C307" s="97" t="s">
        <v>2274</v>
      </c>
      <c r="D307" s="97" t="s">
        <v>1402</v>
      </c>
      <c r="E307" s="97" t="s">
        <v>22</v>
      </c>
      <c r="F307" s="97" t="s">
        <v>2260</v>
      </c>
      <c r="G307" s="97" t="s">
        <v>2275</v>
      </c>
      <c r="H307" s="97"/>
      <c r="I307" s="97"/>
      <c r="J307" s="97" t="s">
        <v>2275</v>
      </c>
      <c r="K307" s="97"/>
      <c r="L307" s="97"/>
      <c r="M307" s="97"/>
      <c r="N307" s="97"/>
    </row>
    <row r="308" ht="60.0" customHeight="1">
      <c r="A308" s="96" t="str">
        <f>HYPERLINK("http://purl.obolibrary.org/obo/OBI_0001721","http://purl.obolibrary.org/obo/OBI_0001721")</f>
        <v>http://purl.obolibrary.org/obo/OBI_0001721</v>
      </c>
      <c r="B308" s="97" t="s">
        <v>2144</v>
      </c>
      <c r="C308" s="97" t="s">
        <v>2276</v>
      </c>
      <c r="D308" s="97" t="s">
        <v>1402</v>
      </c>
      <c r="E308" s="97" t="s">
        <v>22</v>
      </c>
      <c r="F308" s="97" t="s">
        <v>2277</v>
      </c>
      <c r="G308" s="97" t="s">
        <v>2278</v>
      </c>
      <c r="H308" s="97"/>
      <c r="I308" s="97"/>
      <c r="J308" s="97" t="s">
        <v>2278</v>
      </c>
      <c r="K308" s="97"/>
      <c r="L308" s="97" t="s">
        <v>2278</v>
      </c>
      <c r="M308" s="97"/>
      <c r="N308" s="97"/>
    </row>
    <row r="309" ht="36.0" customHeight="1">
      <c r="A309" s="96" t="str">
        <f>HYPERLINK("http://purl.obolibrary.org/obo/OBI_0001723","http://purl.obolibrary.org/obo/OBI_0001723")</f>
        <v>http://purl.obolibrary.org/obo/OBI_0001723</v>
      </c>
      <c r="B309" s="97" t="s">
        <v>2279</v>
      </c>
      <c r="C309" s="97" t="s">
        <v>2280</v>
      </c>
      <c r="D309" s="97" t="s">
        <v>1402</v>
      </c>
      <c r="E309" s="97" t="s">
        <v>22</v>
      </c>
      <c r="F309" s="97" t="s">
        <v>2260</v>
      </c>
      <c r="G309" s="97" t="s">
        <v>2281</v>
      </c>
      <c r="H309" s="97"/>
      <c r="I309" s="97"/>
      <c r="J309" s="97" t="s">
        <v>2281</v>
      </c>
      <c r="K309" s="97"/>
      <c r="L309" s="97"/>
      <c r="M309" s="97"/>
      <c r="N309" s="97"/>
    </row>
    <row r="310" ht="60.0" customHeight="1">
      <c r="A310" s="96" t="str">
        <f>HYPERLINK("http://purl.obolibrary.org/obo/OBI_0001724","http://purl.obolibrary.org/obo/OBI_0001724")</f>
        <v>http://purl.obolibrary.org/obo/OBI_0001724</v>
      </c>
      <c r="B310" s="97" t="s">
        <v>2282</v>
      </c>
      <c r="C310" s="97" t="s">
        <v>2283</v>
      </c>
      <c r="D310" s="97" t="s">
        <v>1402</v>
      </c>
      <c r="E310" s="97" t="s">
        <v>22</v>
      </c>
      <c r="F310" s="97" t="s">
        <v>2140</v>
      </c>
      <c r="G310" s="97" t="s">
        <v>2284</v>
      </c>
      <c r="H310" s="97"/>
      <c r="I310" s="97"/>
      <c r="J310" s="97"/>
      <c r="K310" s="97"/>
      <c r="L310" s="97" t="s">
        <v>2284</v>
      </c>
      <c r="M310" s="97"/>
      <c r="N310" s="97"/>
    </row>
    <row r="311" ht="60.0" customHeight="1">
      <c r="A311" s="96" t="str">
        <f>HYPERLINK("http://purl.obolibrary.org/obo/OBI_0001726","http://purl.obolibrary.org/obo/OBI_0001726")</f>
        <v>http://purl.obolibrary.org/obo/OBI_0001726</v>
      </c>
      <c r="B311" s="97" t="s">
        <v>2285</v>
      </c>
      <c r="C311" s="97" t="s">
        <v>2286</v>
      </c>
      <c r="D311" s="97" t="s">
        <v>1402</v>
      </c>
      <c r="E311" s="97" t="s">
        <v>22</v>
      </c>
      <c r="F311" s="97" t="s">
        <v>2185</v>
      </c>
      <c r="G311" s="97" t="s">
        <v>2287</v>
      </c>
      <c r="H311" s="97"/>
      <c r="I311" s="97"/>
      <c r="J311" s="97"/>
      <c r="K311" s="97"/>
      <c r="L311" s="97" t="s">
        <v>2287</v>
      </c>
      <c r="M311" s="97"/>
      <c r="N311" s="97"/>
    </row>
    <row r="312" ht="60.0" customHeight="1">
      <c r="A312" s="96" t="str">
        <f>HYPERLINK("http://purl.obolibrary.org/obo/OBI_0001727","http://purl.obolibrary.org/obo/OBI_0001727")</f>
        <v>http://purl.obolibrary.org/obo/OBI_0001727</v>
      </c>
      <c r="B312" s="97" t="s">
        <v>2288</v>
      </c>
      <c r="C312" s="97" t="s">
        <v>2289</v>
      </c>
      <c r="D312" s="97" t="s">
        <v>1402</v>
      </c>
      <c r="E312" s="97" t="s">
        <v>22</v>
      </c>
      <c r="F312" s="97" t="s">
        <v>2290</v>
      </c>
      <c r="G312" s="97" t="s">
        <v>2291</v>
      </c>
      <c r="H312" s="97"/>
      <c r="I312" s="97"/>
      <c r="J312" s="97" t="s">
        <v>2291</v>
      </c>
      <c r="K312" s="97"/>
      <c r="L312" s="97" t="s">
        <v>2291</v>
      </c>
      <c r="M312" s="97"/>
      <c r="N312" s="97"/>
    </row>
    <row r="313" ht="48.0" customHeight="1">
      <c r="A313" s="96" t="str">
        <f>HYPERLINK("http://purl.obolibrary.org/obo/OBI_0001728","http://purl.obolibrary.org/obo/OBI_0001728")</f>
        <v>http://purl.obolibrary.org/obo/OBI_0001728</v>
      </c>
      <c r="B313" s="97" t="s">
        <v>2292</v>
      </c>
      <c r="C313" s="97" t="s">
        <v>2293</v>
      </c>
      <c r="D313" s="97" t="s">
        <v>1402</v>
      </c>
      <c r="E313" s="97" t="s">
        <v>22</v>
      </c>
      <c r="F313" s="97" t="s">
        <v>2116</v>
      </c>
      <c r="G313" s="97" t="s">
        <v>2294</v>
      </c>
      <c r="H313" s="97"/>
      <c r="I313" s="97"/>
      <c r="J313" s="97" t="s">
        <v>2294</v>
      </c>
      <c r="K313" s="97"/>
      <c r="L313" s="97" t="s">
        <v>2294</v>
      </c>
      <c r="M313" s="97"/>
      <c r="N313" s="97"/>
    </row>
    <row r="314" ht="84.0" customHeight="1">
      <c r="A314" s="96" t="str">
        <f>HYPERLINK("http://purl.obolibrary.org/obo/OBI_0001729","http://purl.obolibrary.org/obo/OBI_0001729")</f>
        <v>http://purl.obolibrary.org/obo/OBI_0001729</v>
      </c>
      <c r="B314" s="97" t="s">
        <v>2295</v>
      </c>
      <c r="C314" s="97" t="s">
        <v>2296</v>
      </c>
      <c r="D314" s="97" t="s">
        <v>1402</v>
      </c>
      <c r="E314" s="97" t="s">
        <v>22</v>
      </c>
      <c r="F314" s="97" t="s">
        <v>2297</v>
      </c>
      <c r="G314" s="97" t="s">
        <v>2298</v>
      </c>
      <c r="H314" s="97"/>
      <c r="I314" s="97"/>
      <c r="J314" s="97" t="s">
        <v>2298</v>
      </c>
      <c r="K314" s="97"/>
      <c r="L314" s="97" t="s">
        <v>2298</v>
      </c>
      <c r="M314" s="97"/>
      <c r="N314" s="97"/>
    </row>
    <row r="315" ht="48.0" customHeight="1">
      <c r="A315" s="96" t="str">
        <f>HYPERLINK("http://purl.obolibrary.org/obo/OBI_0001730","http://purl.obolibrary.org/obo/OBI_0001730")</f>
        <v>http://purl.obolibrary.org/obo/OBI_0001730</v>
      </c>
      <c r="B315" s="97" t="s">
        <v>2299</v>
      </c>
      <c r="C315" s="97" t="s">
        <v>2300</v>
      </c>
      <c r="D315" s="97" t="s">
        <v>1402</v>
      </c>
      <c r="E315" s="97" t="s">
        <v>22</v>
      </c>
      <c r="F315" s="97" t="s">
        <v>2273</v>
      </c>
      <c r="G315" s="97" t="s">
        <v>2301</v>
      </c>
      <c r="H315" s="97"/>
      <c r="I315" s="97"/>
      <c r="J315" s="97" t="s">
        <v>2301</v>
      </c>
      <c r="K315" s="97"/>
      <c r="L315" s="97" t="s">
        <v>2301</v>
      </c>
      <c r="M315" s="97"/>
      <c r="N315" s="97"/>
    </row>
    <row r="316" ht="72.0" customHeight="1">
      <c r="A316" s="96" t="str">
        <f>HYPERLINK("http://purl.obolibrary.org/obo/OBI_0001731","http://purl.obolibrary.org/obo/OBI_0001731")</f>
        <v>http://purl.obolibrary.org/obo/OBI_0001731</v>
      </c>
      <c r="B316" s="97" t="s">
        <v>2302</v>
      </c>
      <c r="C316" s="97" t="s">
        <v>2303</v>
      </c>
      <c r="D316" s="97" t="s">
        <v>1402</v>
      </c>
      <c r="E316" s="97" t="s">
        <v>22</v>
      </c>
      <c r="F316" s="97" t="s">
        <v>2116</v>
      </c>
      <c r="G316" s="97" t="s">
        <v>2304</v>
      </c>
      <c r="H316" s="97"/>
      <c r="I316" s="97"/>
      <c r="J316" s="97" t="s">
        <v>2304</v>
      </c>
      <c r="K316" s="97"/>
      <c r="L316" s="97" t="s">
        <v>2304</v>
      </c>
      <c r="M316" s="97"/>
      <c r="N316" s="97"/>
    </row>
    <row r="317" ht="48.0" customHeight="1">
      <c r="A317" s="96" t="str">
        <f>HYPERLINK("http://purl.obolibrary.org/obo/OBI_0001732","http://purl.obolibrary.org/obo/OBI_0001732")</f>
        <v>http://purl.obolibrary.org/obo/OBI_0001732</v>
      </c>
      <c r="B317" s="97" t="s">
        <v>2305</v>
      </c>
      <c r="C317" s="97" t="s">
        <v>2306</v>
      </c>
      <c r="D317" s="97" t="s">
        <v>1402</v>
      </c>
      <c r="E317" s="97" t="s">
        <v>22</v>
      </c>
      <c r="F317" s="97" t="s">
        <v>2307</v>
      </c>
      <c r="G317" s="97" t="s">
        <v>2308</v>
      </c>
      <c r="H317" s="97"/>
      <c r="I317" s="97"/>
      <c r="J317" s="97" t="s">
        <v>2308</v>
      </c>
      <c r="K317" s="97"/>
      <c r="L317" s="97" t="s">
        <v>2308</v>
      </c>
      <c r="M317" s="97"/>
      <c r="N317" s="97"/>
    </row>
    <row r="318" ht="60.0" customHeight="1">
      <c r="A318" s="96" t="str">
        <f>HYPERLINK("http://purl.obolibrary.org/obo/OBI_0001733","http://purl.obolibrary.org/obo/OBI_0001733")</f>
        <v>http://purl.obolibrary.org/obo/OBI_0001733</v>
      </c>
      <c r="B318" s="97" t="s">
        <v>2309</v>
      </c>
      <c r="C318" s="97" t="s">
        <v>2310</v>
      </c>
      <c r="D318" s="97" t="s">
        <v>1402</v>
      </c>
      <c r="E318" s="97" t="s">
        <v>22</v>
      </c>
      <c r="F318" s="97" t="s">
        <v>2273</v>
      </c>
      <c r="G318" s="97" t="s">
        <v>2311</v>
      </c>
      <c r="H318" s="97"/>
      <c r="I318" s="97"/>
      <c r="J318" s="97" t="s">
        <v>2311</v>
      </c>
      <c r="K318" s="97"/>
      <c r="L318" s="97" t="s">
        <v>2311</v>
      </c>
      <c r="M318" s="97"/>
      <c r="N318" s="97"/>
    </row>
    <row r="319" ht="48.0" customHeight="1">
      <c r="A319" s="96" t="str">
        <f>HYPERLINK("http://purl.obolibrary.org/obo/OBI_0001734","http://purl.obolibrary.org/obo/OBI_0001734")</f>
        <v>http://purl.obolibrary.org/obo/OBI_0001734</v>
      </c>
      <c r="B319" s="97" t="s">
        <v>2312</v>
      </c>
      <c r="C319" s="97" t="s">
        <v>2313</v>
      </c>
      <c r="D319" s="97" t="s">
        <v>1402</v>
      </c>
      <c r="E319" s="97" t="s">
        <v>22</v>
      </c>
      <c r="F319" s="97" t="s">
        <v>2116</v>
      </c>
      <c r="G319" s="97" t="s">
        <v>2314</v>
      </c>
      <c r="H319" s="97"/>
      <c r="I319" s="97"/>
      <c r="J319" s="97" t="s">
        <v>2314</v>
      </c>
      <c r="K319" s="97"/>
      <c r="L319" s="97" t="s">
        <v>2314</v>
      </c>
      <c r="M319" s="97"/>
      <c r="N319" s="97"/>
    </row>
    <row r="320" ht="60.0" customHeight="1">
      <c r="A320" s="96" t="str">
        <f>HYPERLINK("http://purl.obolibrary.org/obo/OBI_0001735","http://purl.obolibrary.org/obo/OBI_0001735")</f>
        <v>http://purl.obolibrary.org/obo/OBI_0001735</v>
      </c>
      <c r="B320" s="97" t="s">
        <v>2315</v>
      </c>
      <c r="C320" s="97" t="s">
        <v>2316</v>
      </c>
      <c r="D320" s="97" t="s">
        <v>1402</v>
      </c>
      <c r="E320" s="97" t="s">
        <v>22</v>
      </c>
      <c r="F320" s="97" t="s">
        <v>2273</v>
      </c>
      <c r="G320" s="97" t="s">
        <v>2317</v>
      </c>
      <c r="H320" s="97"/>
      <c r="I320" s="97"/>
      <c r="J320" s="97" t="s">
        <v>2317</v>
      </c>
      <c r="K320" s="97"/>
      <c r="L320" s="97" t="s">
        <v>2317</v>
      </c>
      <c r="M320" s="97"/>
      <c r="N320" s="97"/>
    </row>
    <row r="321" ht="36.0" customHeight="1">
      <c r="A321" s="96" t="str">
        <f>HYPERLINK("http://purl.obolibrary.org/obo/OBI_0001736","http://purl.obolibrary.org/obo/OBI_0001736")</f>
        <v>http://purl.obolibrary.org/obo/OBI_0001736</v>
      </c>
      <c r="B321" s="97" t="s">
        <v>2318</v>
      </c>
      <c r="C321" s="97" t="s">
        <v>2319</v>
      </c>
      <c r="D321" s="97" t="s">
        <v>1402</v>
      </c>
      <c r="E321" s="97" t="s">
        <v>22</v>
      </c>
      <c r="F321" s="97" t="s">
        <v>2320</v>
      </c>
      <c r="G321" s="97" t="s">
        <v>2321</v>
      </c>
      <c r="H321" s="97"/>
      <c r="I321" s="97"/>
      <c r="J321" s="97" t="s">
        <v>2321</v>
      </c>
      <c r="K321" s="97"/>
      <c r="L321" s="97" t="s">
        <v>2321</v>
      </c>
      <c r="M321" s="97"/>
      <c r="N321" s="97"/>
    </row>
    <row r="322" ht="72.0" customHeight="1">
      <c r="A322" s="96" t="str">
        <f>HYPERLINK("http://purl.obolibrary.org/obo/OBI_0001738","http://purl.obolibrary.org/obo/OBI_0001738")</f>
        <v>http://purl.obolibrary.org/obo/OBI_0001738</v>
      </c>
      <c r="B322" s="97" t="s">
        <v>2322</v>
      </c>
      <c r="C322" s="97" t="s">
        <v>2323</v>
      </c>
      <c r="D322" s="97" t="s">
        <v>1402</v>
      </c>
      <c r="E322" s="97" t="s">
        <v>22</v>
      </c>
      <c r="F322" s="97" t="s">
        <v>2144</v>
      </c>
      <c r="G322" s="97" t="s">
        <v>2324</v>
      </c>
      <c r="H322" s="97"/>
      <c r="I322" s="97"/>
      <c r="J322" s="97" t="s">
        <v>2324</v>
      </c>
      <c r="K322" s="97"/>
      <c r="L322" s="97" t="s">
        <v>2324</v>
      </c>
      <c r="M322" s="97"/>
      <c r="N322" s="97"/>
    </row>
    <row r="323" ht="60.0" customHeight="1">
      <c r="A323" s="96" t="str">
        <f>HYPERLINK("http://purl.obolibrary.org/obo/OBI_0001739","http://purl.obolibrary.org/obo/OBI_0001739")</f>
        <v>http://purl.obolibrary.org/obo/OBI_0001739</v>
      </c>
      <c r="B323" s="97" t="s">
        <v>2325</v>
      </c>
      <c r="C323" s="97" t="s">
        <v>2326</v>
      </c>
      <c r="D323" s="97" t="s">
        <v>1402</v>
      </c>
      <c r="E323" s="97" t="s">
        <v>22</v>
      </c>
      <c r="F323" s="97" t="s">
        <v>2279</v>
      </c>
      <c r="G323" s="97" t="s">
        <v>2327</v>
      </c>
      <c r="H323" s="97"/>
      <c r="I323" s="97"/>
      <c r="J323" s="97" t="s">
        <v>2327</v>
      </c>
      <c r="K323" s="97"/>
      <c r="L323" s="97" t="s">
        <v>2327</v>
      </c>
      <c r="M323" s="97"/>
      <c r="N323" s="97"/>
    </row>
    <row r="324" ht="144.0" customHeight="1">
      <c r="A324" s="96" t="str">
        <f>HYPERLINK("http://purl.obolibrary.org/obo/OBI_0001740","http://purl.obolibrary.org/obo/OBI_0001740")</f>
        <v>http://purl.obolibrary.org/obo/OBI_0001740</v>
      </c>
      <c r="B324" s="97" t="s">
        <v>2328</v>
      </c>
      <c r="C324" s="97" t="s">
        <v>2329</v>
      </c>
      <c r="D324" s="97" t="s">
        <v>1402</v>
      </c>
      <c r="E324" s="97" t="s">
        <v>22</v>
      </c>
      <c r="F324" s="97" t="s">
        <v>2330</v>
      </c>
      <c r="G324" s="97" t="s">
        <v>2331</v>
      </c>
      <c r="H324" s="97"/>
      <c r="I324" s="97"/>
      <c r="J324" s="97" t="s">
        <v>2331</v>
      </c>
      <c r="K324" s="97"/>
      <c r="L324" s="97" t="s">
        <v>2331</v>
      </c>
      <c r="M324" s="97"/>
      <c r="N324" s="97"/>
    </row>
    <row r="325" ht="36.0" customHeight="1">
      <c r="A325" s="96" t="str">
        <f>HYPERLINK("http://purl.obolibrary.org/obo/OBI_0001741","http://purl.obolibrary.org/obo/OBI_0001741")</f>
        <v>http://purl.obolibrary.org/obo/OBI_0001741</v>
      </c>
      <c r="B325" s="97" t="s">
        <v>2332</v>
      </c>
      <c r="C325" s="97" t="s">
        <v>2333</v>
      </c>
      <c r="D325" s="97" t="s">
        <v>1402</v>
      </c>
      <c r="E325" s="97" t="s">
        <v>22</v>
      </c>
      <c r="F325" s="97" t="s">
        <v>2270</v>
      </c>
      <c r="G325" s="97" t="s">
        <v>2334</v>
      </c>
      <c r="H325" s="97"/>
      <c r="I325" s="97"/>
      <c r="J325" s="97" t="s">
        <v>2334</v>
      </c>
      <c r="K325" s="97"/>
      <c r="L325" s="97" t="s">
        <v>2334</v>
      </c>
      <c r="M325" s="97"/>
      <c r="N325" s="97"/>
    </row>
    <row r="326" ht="60.0" customHeight="1">
      <c r="A326" s="96" t="str">
        <f>HYPERLINK("http://purl.obolibrary.org/obo/OBI_0001742","http://purl.obolibrary.org/obo/OBI_0001742")</f>
        <v>http://purl.obolibrary.org/obo/OBI_0001742</v>
      </c>
      <c r="B326" s="97" t="s">
        <v>2335</v>
      </c>
      <c r="C326" s="97" t="s">
        <v>2336</v>
      </c>
      <c r="D326" s="97" t="s">
        <v>1402</v>
      </c>
      <c r="E326" s="97" t="s">
        <v>22</v>
      </c>
      <c r="F326" s="97" t="s">
        <v>2337</v>
      </c>
      <c r="G326" s="97" t="s">
        <v>2338</v>
      </c>
      <c r="H326" s="97"/>
      <c r="I326" s="97"/>
      <c r="J326" s="97" t="s">
        <v>2338</v>
      </c>
      <c r="K326" s="97"/>
      <c r="L326" s="97" t="s">
        <v>2338</v>
      </c>
      <c r="M326" s="97"/>
      <c r="N326" s="97"/>
    </row>
    <row r="327" ht="108.0" customHeight="1">
      <c r="A327" s="96" t="str">
        <f>HYPERLINK("http://purl.obolibrary.org/obo/OBI_0001743","http://purl.obolibrary.org/obo/OBI_0001743")</f>
        <v>http://purl.obolibrary.org/obo/OBI_0001743</v>
      </c>
      <c r="B327" s="97" t="s">
        <v>2339</v>
      </c>
      <c r="C327" s="97" t="s">
        <v>2340</v>
      </c>
      <c r="D327" s="97" t="s">
        <v>1402</v>
      </c>
      <c r="E327" s="97" t="s">
        <v>22</v>
      </c>
      <c r="F327" s="97" t="s">
        <v>1449</v>
      </c>
      <c r="G327" s="97" t="s">
        <v>2341</v>
      </c>
      <c r="H327" s="97"/>
      <c r="I327" s="97"/>
      <c r="J327" s="97"/>
      <c r="K327" s="97"/>
      <c r="L327" s="97" t="s">
        <v>2341</v>
      </c>
      <c r="M327" s="97"/>
      <c r="N327" s="97"/>
    </row>
    <row r="328" ht="132.0" customHeight="1">
      <c r="A328" s="96" t="str">
        <f>HYPERLINK("http://purl.obolibrary.org/obo/OBI_0001744","http://purl.obolibrary.org/obo/OBI_0001744")</f>
        <v>http://purl.obolibrary.org/obo/OBI_0001744</v>
      </c>
      <c r="B328" s="97" t="s">
        <v>2342</v>
      </c>
      <c r="C328" s="97" t="s">
        <v>2343</v>
      </c>
      <c r="D328" s="97" t="s">
        <v>1402</v>
      </c>
      <c r="E328" s="97" t="s">
        <v>22</v>
      </c>
      <c r="F328" s="97" t="s">
        <v>1522</v>
      </c>
      <c r="G328" s="97" t="s">
        <v>2344</v>
      </c>
      <c r="H328" s="97"/>
      <c r="I328" s="97"/>
      <c r="J328" s="97"/>
      <c r="K328" s="97"/>
      <c r="L328" s="97" t="s">
        <v>2344</v>
      </c>
      <c r="M328" s="97"/>
      <c r="N328" s="97"/>
    </row>
    <row r="329" ht="48.0" customHeight="1">
      <c r="A329" s="96" t="str">
        <f>HYPERLINK("http://purl.obolibrary.org/obo/OBI_0001745","http://purl.obolibrary.org/obo/OBI_0001745")</f>
        <v>http://purl.obolibrary.org/obo/OBI_0001745</v>
      </c>
      <c r="B329" s="97" t="s">
        <v>2345</v>
      </c>
      <c r="C329" s="97" t="s">
        <v>2346</v>
      </c>
      <c r="D329" s="97" t="s">
        <v>1402</v>
      </c>
      <c r="E329" s="97" t="s">
        <v>22</v>
      </c>
      <c r="F329" s="97" t="s">
        <v>1522</v>
      </c>
      <c r="G329" s="97" t="s">
        <v>2347</v>
      </c>
      <c r="H329" s="97"/>
      <c r="I329" s="97"/>
      <c r="J329" s="97"/>
      <c r="K329" s="97"/>
      <c r="L329" s="97" t="s">
        <v>2347</v>
      </c>
      <c r="M329" s="97"/>
      <c r="N329" s="97"/>
    </row>
    <row r="330" ht="132.0" customHeight="1">
      <c r="A330" s="96" t="str">
        <f>HYPERLINK("http://purl.obolibrary.org/obo/OBI_0001746","http://purl.obolibrary.org/obo/OBI_0001746")</f>
        <v>http://purl.obolibrary.org/obo/OBI_0001746</v>
      </c>
      <c r="B330" s="97" t="s">
        <v>2348</v>
      </c>
      <c r="C330" s="97" t="s">
        <v>2349</v>
      </c>
      <c r="D330" s="97" t="s">
        <v>1402</v>
      </c>
      <c r="E330" s="97" t="s">
        <v>22</v>
      </c>
      <c r="F330" s="97" t="s">
        <v>1522</v>
      </c>
      <c r="G330" s="97" t="s">
        <v>2350</v>
      </c>
      <c r="H330" s="97"/>
      <c r="I330" s="97"/>
      <c r="J330" s="97"/>
      <c r="K330" s="97"/>
      <c r="L330" s="97" t="s">
        <v>2350</v>
      </c>
      <c r="M330" s="97"/>
      <c r="N330" s="97"/>
    </row>
    <row r="331" ht="144.0" customHeight="1">
      <c r="A331" s="96" t="str">
        <f>HYPERLINK("http://purl.obolibrary.org/obo/OBI_0001747","http://purl.obolibrary.org/obo/OBI_0001747")</f>
        <v>http://purl.obolibrary.org/obo/OBI_0001747</v>
      </c>
      <c r="B331" s="97" t="s">
        <v>2351</v>
      </c>
      <c r="C331" s="97" t="s">
        <v>2352</v>
      </c>
      <c r="D331" s="97" t="s">
        <v>1402</v>
      </c>
      <c r="E331" s="97" t="s">
        <v>22</v>
      </c>
      <c r="F331" s="97" t="s">
        <v>1522</v>
      </c>
      <c r="G331" s="97" t="s">
        <v>2353</v>
      </c>
      <c r="H331" s="97"/>
      <c r="I331" s="97"/>
      <c r="J331" s="97"/>
      <c r="K331" s="97"/>
      <c r="L331" s="97" t="s">
        <v>2353</v>
      </c>
      <c r="M331" s="97"/>
      <c r="N331" s="97"/>
    </row>
    <row r="332" ht="132.0" customHeight="1">
      <c r="A332" s="96" t="str">
        <f>HYPERLINK("http://purl.obolibrary.org/obo/OBI_0001748","http://purl.obolibrary.org/obo/OBI_0001748")</f>
        <v>http://purl.obolibrary.org/obo/OBI_0001748</v>
      </c>
      <c r="B332" s="97" t="s">
        <v>2354</v>
      </c>
      <c r="C332" s="97" t="s">
        <v>2355</v>
      </c>
      <c r="D332" s="97" t="s">
        <v>1402</v>
      </c>
      <c r="E332" s="97" t="s">
        <v>22</v>
      </c>
      <c r="F332" s="97" t="s">
        <v>1690</v>
      </c>
      <c r="G332" s="97" t="s">
        <v>2356</v>
      </c>
      <c r="H332" s="97"/>
      <c r="I332" s="97"/>
      <c r="J332" s="97"/>
      <c r="K332" s="97"/>
      <c r="L332" s="97" t="s">
        <v>2356</v>
      </c>
      <c r="M332" s="97"/>
      <c r="N332" s="97"/>
    </row>
    <row r="333" ht="132.0" customHeight="1">
      <c r="A333" s="96" t="str">
        <f>HYPERLINK("http://purl.obolibrary.org/obo/OBI_0001749","http://purl.obolibrary.org/obo/OBI_0001749")</f>
        <v>http://purl.obolibrary.org/obo/OBI_0001749</v>
      </c>
      <c r="B333" s="97" t="s">
        <v>2357</v>
      </c>
      <c r="C333" s="97" t="s">
        <v>2358</v>
      </c>
      <c r="D333" s="97" t="s">
        <v>1402</v>
      </c>
      <c r="E333" s="97" t="s">
        <v>22</v>
      </c>
      <c r="F333" s="97" t="s">
        <v>1690</v>
      </c>
      <c r="G333" s="97" t="s">
        <v>2359</v>
      </c>
      <c r="H333" s="97"/>
      <c r="I333" s="97"/>
      <c r="J333" s="97"/>
      <c r="K333" s="97"/>
      <c r="L333" s="97" t="s">
        <v>2359</v>
      </c>
      <c r="M333" s="97"/>
      <c r="N333" s="97"/>
    </row>
    <row r="334" ht="48.0" customHeight="1">
      <c r="A334" s="96" t="str">
        <f>HYPERLINK("http://purl.obolibrary.org/obo/OBI_0001750","http://purl.obolibrary.org/obo/OBI_0001750")</f>
        <v>http://purl.obolibrary.org/obo/OBI_0001750</v>
      </c>
      <c r="B334" s="97" t="s">
        <v>2360</v>
      </c>
      <c r="C334" s="97" t="s">
        <v>2361</v>
      </c>
      <c r="D334" s="97" t="s">
        <v>1402</v>
      </c>
      <c r="E334" s="97" t="s">
        <v>22</v>
      </c>
      <c r="F334" s="97" t="s">
        <v>1755</v>
      </c>
      <c r="G334" s="97" t="s">
        <v>2362</v>
      </c>
      <c r="H334" s="97"/>
      <c r="I334" s="97"/>
      <c r="J334" s="97"/>
      <c r="K334" s="97"/>
      <c r="L334" s="97" t="s">
        <v>2362</v>
      </c>
      <c r="M334" s="97"/>
      <c r="N334" s="97"/>
    </row>
    <row r="335" ht="96.0" customHeight="1">
      <c r="A335" s="96" t="str">
        <f>HYPERLINK("http://purl.obolibrary.org/obo/OBI_0001751","http://purl.obolibrary.org/obo/OBI_0001751")</f>
        <v>http://purl.obolibrary.org/obo/OBI_0001751</v>
      </c>
      <c r="B335" s="97" t="s">
        <v>2363</v>
      </c>
      <c r="C335" s="97" t="s">
        <v>2364</v>
      </c>
      <c r="D335" s="97" t="s">
        <v>1402</v>
      </c>
      <c r="E335" s="97" t="s">
        <v>22</v>
      </c>
      <c r="F335" s="97" t="s">
        <v>1690</v>
      </c>
      <c r="G335" s="97" t="s">
        <v>2365</v>
      </c>
      <c r="H335" s="97"/>
      <c r="I335" s="97"/>
      <c r="J335" s="97"/>
      <c r="K335" s="97"/>
      <c r="L335" s="97" t="s">
        <v>2365</v>
      </c>
      <c r="M335" s="97"/>
      <c r="N335" s="97"/>
    </row>
    <row r="336" ht="60.0" customHeight="1">
      <c r="A336" s="96" t="str">
        <f>HYPERLINK("http://purl.obolibrary.org/obo/OBI_0001752","http://purl.obolibrary.org/obo/OBI_0001752")</f>
        <v>http://purl.obolibrary.org/obo/OBI_0001752</v>
      </c>
      <c r="B336" s="97" t="s">
        <v>2366</v>
      </c>
      <c r="C336" s="97" t="s">
        <v>2367</v>
      </c>
      <c r="D336" s="97" t="s">
        <v>1402</v>
      </c>
      <c r="E336" s="97" t="s">
        <v>22</v>
      </c>
      <c r="F336" s="97" t="s">
        <v>1755</v>
      </c>
      <c r="G336" s="97" t="s">
        <v>2368</v>
      </c>
      <c r="H336" s="97"/>
      <c r="I336" s="97"/>
      <c r="J336" s="97"/>
      <c r="K336" s="97"/>
      <c r="L336" s="97" t="s">
        <v>2368</v>
      </c>
      <c r="M336" s="97"/>
      <c r="N336" s="97"/>
    </row>
    <row r="337" ht="48.0" customHeight="1">
      <c r="A337" s="96" t="str">
        <f>HYPERLINK("http://purl.obolibrary.org/obo/OBI_0001753","http://purl.obolibrary.org/obo/OBI_0001753")</f>
        <v>http://purl.obolibrary.org/obo/OBI_0001753</v>
      </c>
      <c r="B337" s="97" t="s">
        <v>2369</v>
      </c>
      <c r="C337" s="97" t="s">
        <v>2370</v>
      </c>
      <c r="D337" s="97" t="s">
        <v>1402</v>
      </c>
      <c r="E337" s="97" t="s">
        <v>22</v>
      </c>
      <c r="F337" s="97" t="s">
        <v>1755</v>
      </c>
      <c r="G337" s="97" t="s">
        <v>2371</v>
      </c>
      <c r="H337" s="97"/>
      <c r="I337" s="97"/>
      <c r="J337" s="97"/>
      <c r="K337" s="97"/>
      <c r="L337" s="97" t="s">
        <v>2371</v>
      </c>
      <c r="M337" s="97"/>
      <c r="N337" s="97"/>
    </row>
    <row r="338" ht="96.0" customHeight="1">
      <c r="A338" s="96" t="str">
        <f>HYPERLINK("http://purl.obolibrary.org/obo/OBI_0001754","http://purl.obolibrary.org/obo/OBI_0001754")</f>
        <v>http://purl.obolibrary.org/obo/OBI_0001754</v>
      </c>
      <c r="B338" s="97" t="s">
        <v>2372</v>
      </c>
      <c r="C338" s="97" t="s">
        <v>2373</v>
      </c>
      <c r="D338" s="97" t="s">
        <v>1402</v>
      </c>
      <c r="E338" s="97" t="s">
        <v>22</v>
      </c>
      <c r="F338" s="97" t="s">
        <v>1647</v>
      </c>
      <c r="G338" s="97" t="s">
        <v>2374</v>
      </c>
      <c r="H338" s="97"/>
      <c r="I338" s="97"/>
      <c r="J338" s="97"/>
      <c r="K338" s="97"/>
      <c r="L338" s="97" t="s">
        <v>2374</v>
      </c>
      <c r="M338" s="97"/>
      <c r="N338" s="97"/>
    </row>
    <row r="339" ht="96.0" customHeight="1">
      <c r="A339" s="96" t="str">
        <f>HYPERLINK("http://purl.obolibrary.org/obo/OBI_0001756","http://purl.obolibrary.org/obo/OBI_0001756")</f>
        <v>http://purl.obolibrary.org/obo/OBI_0001756</v>
      </c>
      <c r="B339" s="97" t="s">
        <v>2375</v>
      </c>
      <c r="C339" s="97" t="s">
        <v>2376</v>
      </c>
      <c r="D339" s="97" t="s">
        <v>1402</v>
      </c>
      <c r="E339" s="97" t="s">
        <v>22</v>
      </c>
      <c r="F339" s="97" t="s">
        <v>1647</v>
      </c>
      <c r="G339" s="97" t="s">
        <v>2377</v>
      </c>
      <c r="H339" s="97"/>
      <c r="I339" s="97"/>
      <c r="J339" s="97"/>
      <c r="K339" s="97"/>
      <c r="L339" s="97" t="s">
        <v>2377</v>
      </c>
      <c r="M339" s="97"/>
      <c r="N339" s="97"/>
    </row>
    <row r="340" ht="96.0" customHeight="1">
      <c r="A340" s="96" t="str">
        <f>HYPERLINK("http://purl.obolibrary.org/obo/OBI_0001757","http://purl.obolibrary.org/obo/OBI_0001757")</f>
        <v>http://purl.obolibrary.org/obo/OBI_0001757</v>
      </c>
      <c r="B340" s="97" t="s">
        <v>2378</v>
      </c>
      <c r="C340" s="97" t="s">
        <v>2379</v>
      </c>
      <c r="D340" s="97" t="s">
        <v>1402</v>
      </c>
      <c r="E340" s="97" t="s">
        <v>22</v>
      </c>
      <c r="F340" s="97" t="s">
        <v>1647</v>
      </c>
      <c r="G340" s="97" t="s">
        <v>2380</v>
      </c>
      <c r="H340" s="97"/>
      <c r="I340" s="97"/>
      <c r="J340" s="97"/>
      <c r="K340" s="97"/>
      <c r="L340" s="97" t="s">
        <v>2380</v>
      </c>
      <c r="M340" s="97"/>
      <c r="N340" s="97"/>
    </row>
    <row r="341" ht="144.0" customHeight="1">
      <c r="A341" s="96" t="str">
        <f>HYPERLINK("http://purl.obolibrary.org/obo/OBI_0001758","http://purl.obolibrary.org/obo/OBI_0001758")</f>
        <v>http://purl.obolibrary.org/obo/OBI_0001758</v>
      </c>
      <c r="B341" s="97" t="s">
        <v>2381</v>
      </c>
      <c r="C341" s="97" t="s">
        <v>2382</v>
      </c>
      <c r="D341" s="97" t="s">
        <v>4</v>
      </c>
      <c r="E341" s="97" t="s">
        <v>22</v>
      </c>
      <c r="F341" s="97" t="s">
        <v>1666</v>
      </c>
      <c r="G341" s="97" t="s">
        <v>2383</v>
      </c>
      <c r="H341" s="97"/>
      <c r="I341" s="97"/>
      <c r="J341" s="97"/>
      <c r="K341" s="97"/>
      <c r="L341" s="97" t="s">
        <v>2383</v>
      </c>
      <c r="M341" s="97"/>
      <c r="N341" s="97"/>
    </row>
    <row r="342" ht="48.0" customHeight="1">
      <c r="A342" s="96" t="str">
        <f>HYPERLINK("http://purl.obolibrary.org/obo/OBI_0001759","http://purl.obolibrary.org/obo/OBI_0001759")</f>
        <v>http://purl.obolibrary.org/obo/OBI_0001759</v>
      </c>
      <c r="B342" s="97" t="s">
        <v>2384</v>
      </c>
      <c r="C342" s="97" t="s">
        <v>2385</v>
      </c>
      <c r="D342" s="97" t="s">
        <v>1402</v>
      </c>
      <c r="E342" s="97" t="s">
        <v>22</v>
      </c>
      <c r="F342" s="97" t="s">
        <v>2386</v>
      </c>
      <c r="G342" s="97" t="s">
        <v>2387</v>
      </c>
      <c r="H342" s="97"/>
      <c r="I342" s="97"/>
      <c r="J342" s="97"/>
      <c r="K342" s="97"/>
      <c r="L342" s="97" t="s">
        <v>2387</v>
      </c>
      <c r="M342" s="97"/>
      <c r="N342" s="97"/>
    </row>
    <row r="343" ht="48.0" customHeight="1">
      <c r="A343" s="96" t="str">
        <f>HYPERLINK("http://purl.obolibrary.org/obo/OBI_0001760","http://purl.obolibrary.org/obo/OBI_0001760")</f>
        <v>http://purl.obolibrary.org/obo/OBI_0001760</v>
      </c>
      <c r="B343" s="97" t="s">
        <v>2388</v>
      </c>
      <c r="C343" s="97" t="s">
        <v>2389</v>
      </c>
      <c r="D343" s="97" t="s">
        <v>1402</v>
      </c>
      <c r="E343" s="97" t="s">
        <v>22</v>
      </c>
      <c r="F343" s="97" t="s">
        <v>2390</v>
      </c>
      <c r="G343" s="97" t="s">
        <v>2391</v>
      </c>
      <c r="H343" s="97"/>
      <c r="I343" s="97"/>
      <c r="J343" s="97"/>
      <c r="K343" s="97"/>
      <c r="L343" s="97" t="s">
        <v>2391</v>
      </c>
      <c r="M343" s="97"/>
      <c r="N343" s="97"/>
    </row>
    <row r="344" ht="108.0" customHeight="1">
      <c r="A344" s="96" t="str">
        <f>HYPERLINK("http://purl.obolibrary.org/obo/OBI_0001761","http://purl.obolibrary.org/obo/OBI_0001761")</f>
        <v>http://purl.obolibrary.org/obo/OBI_0001761</v>
      </c>
      <c r="B344" s="97" t="s">
        <v>2392</v>
      </c>
      <c r="C344" s="97" t="s">
        <v>2393</v>
      </c>
      <c r="D344" s="97" t="s">
        <v>1402</v>
      </c>
      <c r="E344" s="97" t="s">
        <v>22</v>
      </c>
      <c r="F344" s="97" t="s">
        <v>2394</v>
      </c>
      <c r="G344" s="97" t="s">
        <v>2395</v>
      </c>
      <c r="H344" s="97"/>
      <c r="I344" s="97"/>
      <c r="J344" s="97"/>
      <c r="K344" s="97"/>
      <c r="L344" s="97" t="s">
        <v>2395</v>
      </c>
      <c r="M344" s="97"/>
      <c r="N344" s="97"/>
    </row>
    <row r="345" ht="48.0" customHeight="1">
      <c r="A345" s="96" t="str">
        <f>HYPERLINK("http://purl.obolibrary.org/obo/OBI_0001762","http://purl.obolibrary.org/obo/OBI_0001762")</f>
        <v>http://purl.obolibrary.org/obo/OBI_0001762</v>
      </c>
      <c r="B345" s="97" t="s">
        <v>2396</v>
      </c>
      <c r="C345" s="97" t="s">
        <v>2397</v>
      </c>
      <c r="D345" s="97" t="s">
        <v>1402</v>
      </c>
      <c r="E345" s="97" t="s">
        <v>22</v>
      </c>
      <c r="F345" s="97" t="s">
        <v>2398</v>
      </c>
      <c r="G345" s="97" t="s">
        <v>2399</v>
      </c>
      <c r="H345" s="97"/>
      <c r="I345" s="97"/>
      <c r="J345" s="97"/>
      <c r="K345" s="97"/>
      <c r="L345" s="97" t="s">
        <v>2399</v>
      </c>
      <c r="M345" s="97"/>
      <c r="N345" s="97"/>
    </row>
    <row r="346" ht="48.0" customHeight="1">
      <c r="A346" s="96" t="str">
        <f>HYPERLINK("http://purl.obolibrary.org/obo/OBI_0001763","http://purl.obolibrary.org/obo/OBI_0001763")</f>
        <v>http://purl.obolibrary.org/obo/OBI_0001763</v>
      </c>
      <c r="B346" s="97" t="s">
        <v>2400</v>
      </c>
      <c r="C346" s="97" t="s">
        <v>2401</v>
      </c>
      <c r="D346" s="97" t="s">
        <v>1402</v>
      </c>
      <c r="E346" s="97" t="s">
        <v>22</v>
      </c>
      <c r="F346" s="97" t="s">
        <v>2402</v>
      </c>
      <c r="G346" s="97" t="s">
        <v>2403</v>
      </c>
      <c r="H346" s="97"/>
      <c r="I346" s="97"/>
      <c r="J346" s="97"/>
      <c r="K346" s="97"/>
      <c r="L346" s="97" t="s">
        <v>2403</v>
      </c>
      <c r="M346" s="97"/>
      <c r="N346" s="97"/>
    </row>
    <row r="347" ht="132.0" customHeight="1">
      <c r="A347" s="96" t="str">
        <f>HYPERLINK("http://purl.obolibrary.org/obo/OBI_0001764","http://purl.obolibrary.org/obo/OBI_0001764")</f>
        <v>http://purl.obolibrary.org/obo/OBI_0001764</v>
      </c>
      <c r="B347" s="97" t="s">
        <v>2404</v>
      </c>
      <c r="C347" s="97" t="s">
        <v>2405</v>
      </c>
      <c r="D347" s="97" t="s">
        <v>1402</v>
      </c>
      <c r="E347" s="97" t="s">
        <v>22</v>
      </c>
      <c r="F347" s="97" t="s">
        <v>1666</v>
      </c>
      <c r="G347" s="97" t="s">
        <v>2406</v>
      </c>
      <c r="H347" s="97"/>
      <c r="I347" s="97"/>
      <c r="J347" s="97"/>
      <c r="K347" s="97"/>
      <c r="L347" s="97" t="s">
        <v>2406</v>
      </c>
      <c r="M347" s="97"/>
      <c r="N347" s="97"/>
    </row>
    <row r="348" ht="48.0" customHeight="1">
      <c r="A348" s="96" t="str">
        <f>HYPERLINK("http://purl.obolibrary.org/obo/OBI_0001765","http://purl.obolibrary.org/obo/OBI_0001765")</f>
        <v>http://purl.obolibrary.org/obo/OBI_0001765</v>
      </c>
      <c r="B348" s="97" t="s">
        <v>2407</v>
      </c>
      <c r="C348" s="97" t="s">
        <v>2408</v>
      </c>
      <c r="D348" s="97" t="s">
        <v>4</v>
      </c>
      <c r="E348" s="97" t="s">
        <v>22</v>
      </c>
      <c r="F348" s="97" t="s">
        <v>1666</v>
      </c>
      <c r="G348" s="97" t="s">
        <v>2409</v>
      </c>
      <c r="H348" s="97"/>
      <c r="I348" s="97"/>
      <c r="J348" s="97"/>
      <c r="K348" s="97"/>
      <c r="L348" s="97" t="s">
        <v>2409</v>
      </c>
      <c r="M348" s="97"/>
      <c r="N348" s="97"/>
    </row>
    <row r="349" ht="48.0" customHeight="1">
      <c r="A349" s="96" t="str">
        <f>HYPERLINK("http://purl.obolibrary.org/obo/OBI_0001766","http://purl.obolibrary.org/obo/OBI_0001766")</f>
        <v>http://purl.obolibrary.org/obo/OBI_0001766</v>
      </c>
      <c r="B349" s="97" t="s">
        <v>2410</v>
      </c>
      <c r="C349" s="97" t="s">
        <v>2411</v>
      </c>
      <c r="D349" s="97" t="s">
        <v>4</v>
      </c>
      <c r="E349" s="97" t="s">
        <v>22</v>
      </c>
      <c r="F349" s="97" t="s">
        <v>2017</v>
      </c>
      <c r="G349" s="97" t="s">
        <v>2412</v>
      </c>
      <c r="H349" s="97"/>
      <c r="I349" s="97"/>
      <c r="J349" s="97"/>
      <c r="K349" s="97"/>
      <c r="L349" s="97" t="s">
        <v>2412</v>
      </c>
      <c r="M349" s="97"/>
      <c r="N349" s="97"/>
    </row>
    <row r="350" ht="48.0" customHeight="1">
      <c r="A350" s="96" t="str">
        <f>HYPERLINK("http://purl.obolibrary.org/obo/OBI_0001767","http://purl.obolibrary.org/obo/OBI_0001767")</f>
        <v>http://purl.obolibrary.org/obo/OBI_0001767</v>
      </c>
      <c r="B350" s="97" t="s">
        <v>2413</v>
      </c>
      <c r="C350" s="97" t="s">
        <v>2414</v>
      </c>
      <c r="D350" s="97" t="s">
        <v>1402</v>
      </c>
      <c r="E350" s="97" t="s">
        <v>22</v>
      </c>
      <c r="F350" s="97" t="s">
        <v>2415</v>
      </c>
      <c r="G350" s="97" t="s">
        <v>2416</v>
      </c>
      <c r="H350" s="97"/>
      <c r="I350" s="97"/>
      <c r="J350" s="97"/>
      <c r="K350" s="97"/>
      <c r="L350" s="97" t="s">
        <v>2416</v>
      </c>
      <c r="M350" s="97"/>
      <c r="N350" s="97"/>
    </row>
    <row r="351" ht="144.0" customHeight="1">
      <c r="A351" s="96" t="str">
        <f>HYPERLINK("http://purl.obolibrary.org/obo/OBI_0001768","http://purl.obolibrary.org/obo/OBI_0001768")</f>
        <v>http://purl.obolibrary.org/obo/OBI_0001768</v>
      </c>
      <c r="B351" s="97" t="s">
        <v>2417</v>
      </c>
      <c r="C351" s="97" t="s">
        <v>2418</v>
      </c>
      <c r="D351" s="97" t="s">
        <v>1402</v>
      </c>
      <c r="E351" s="97" t="s">
        <v>22</v>
      </c>
      <c r="F351" s="97" t="s">
        <v>1546</v>
      </c>
      <c r="G351" s="97" t="s">
        <v>2419</v>
      </c>
      <c r="H351" s="97"/>
      <c r="I351" s="97"/>
      <c r="J351" s="97"/>
      <c r="K351" s="97"/>
      <c r="L351" s="97" t="s">
        <v>2419</v>
      </c>
      <c r="M351" s="97"/>
      <c r="N351" s="97"/>
    </row>
    <row r="352" ht="72.0" customHeight="1">
      <c r="A352" s="96" t="str">
        <f>HYPERLINK("http://purl.obolibrary.org/obo/OBI_0001770","http://purl.obolibrary.org/obo/OBI_0001770")</f>
        <v>http://purl.obolibrary.org/obo/OBI_0001770</v>
      </c>
      <c r="B352" s="97" t="s">
        <v>2420</v>
      </c>
      <c r="C352" s="97" t="s">
        <v>2421</v>
      </c>
      <c r="D352" s="97" t="s">
        <v>4</v>
      </c>
      <c r="E352" s="97" t="s">
        <v>22</v>
      </c>
      <c r="F352" s="97" t="s">
        <v>2017</v>
      </c>
      <c r="G352" s="97" t="s">
        <v>2422</v>
      </c>
      <c r="H352" s="97"/>
      <c r="I352" s="97"/>
      <c r="J352" s="97"/>
      <c r="K352" s="97"/>
      <c r="L352" s="97" t="s">
        <v>2422</v>
      </c>
      <c r="M352" s="97"/>
      <c r="N352" s="97"/>
    </row>
    <row r="353" ht="84.0" customHeight="1">
      <c r="A353" s="96" t="str">
        <f>HYPERLINK("http://purl.obolibrary.org/obo/OBI_0001771","http://purl.obolibrary.org/obo/OBI_0001771")</f>
        <v>http://purl.obolibrary.org/obo/OBI_0001771</v>
      </c>
      <c r="B353" s="97" t="s">
        <v>2423</v>
      </c>
      <c r="C353" s="97" t="s">
        <v>2424</v>
      </c>
      <c r="D353" s="97" t="s">
        <v>4</v>
      </c>
      <c r="E353" s="97" t="s">
        <v>22</v>
      </c>
      <c r="F353" s="97" t="s">
        <v>2017</v>
      </c>
      <c r="G353" s="97" t="s">
        <v>2425</v>
      </c>
      <c r="H353" s="97"/>
      <c r="I353" s="97"/>
      <c r="J353" s="97"/>
      <c r="K353" s="97"/>
      <c r="L353" s="97" t="s">
        <v>2425</v>
      </c>
      <c r="M353" s="97"/>
      <c r="N353" s="97"/>
    </row>
    <row r="354" ht="60.0" customHeight="1">
      <c r="A354" s="96" t="str">
        <f>HYPERLINK("http://purl.obolibrary.org/obo/OBI_0001772","http://purl.obolibrary.org/obo/OBI_0001772")</f>
        <v>http://purl.obolibrary.org/obo/OBI_0001772</v>
      </c>
      <c r="B354" s="97" t="s">
        <v>2426</v>
      </c>
      <c r="C354" s="97" t="s">
        <v>2427</v>
      </c>
      <c r="D354" s="97" t="s">
        <v>1402</v>
      </c>
      <c r="E354" s="97" t="s">
        <v>22</v>
      </c>
      <c r="F354" s="97" t="s">
        <v>1577</v>
      </c>
      <c r="G354" s="97" t="s">
        <v>2428</v>
      </c>
      <c r="H354" s="97"/>
      <c r="I354" s="97"/>
      <c r="J354" s="97" t="s">
        <v>2428</v>
      </c>
      <c r="K354" s="97"/>
      <c r="L354" s="97"/>
      <c r="M354" s="97"/>
      <c r="N354" s="97"/>
    </row>
    <row r="355" ht="84.0" customHeight="1">
      <c r="A355" s="96" t="str">
        <f>HYPERLINK("http://purl.obolibrary.org/obo/OBI_0001773","http://purl.obolibrary.org/obo/OBI_0001773")</f>
        <v>http://purl.obolibrary.org/obo/OBI_0001773</v>
      </c>
      <c r="B355" s="97" t="s">
        <v>2429</v>
      </c>
      <c r="C355" s="97" t="s">
        <v>2430</v>
      </c>
      <c r="D355" s="97" t="s">
        <v>1402</v>
      </c>
      <c r="E355" s="97" t="s">
        <v>22</v>
      </c>
      <c r="F355" s="97" t="s">
        <v>1577</v>
      </c>
      <c r="G355" s="97" t="s">
        <v>2431</v>
      </c>
      <c r="H355" s="97"/>
      <c r="I355" s="97"/>
      <c r="J355" s="97" t="s">
        <v>2431</v>
      </c>
      <c r="K355" s="97"/>
      <c r="L355" s="97"/>
      <c r="M355" s="97"/>
      <c r="N355" s="97"/>
    </row>
    <row r="356" ht="84.0" customHeight="1">
      <c r="A356" s="96" t="str">
        <f>HYPERLINK("http://purl.obolibrary.org/obo/OBI_0001774","http://purl.obolibrary.org/obo/OBI_0001774")</f>
        <v>http://purl.obolibrary.org/obo/OBI_0001774</v>
      </c>
      <c r="B356" s="97" t="s">
        <v>2398</v>
      </c>
      <c r="C356" s="97" t="s">
        <v>2432</v>
      </c>
      <c r="D356" s="97" t="s">
        <v>1402</v>
      </c>
      <c r="E356" s="97" t="s">
        <v>22</v>
      </c>
      <c r="F356" s="97" t="s">
        <v>1411</v>
      </c>
      <c r="G356" s="97" t="s">
        <v>2433</v>
      </c>
      <c r="H356" s="97"/>
      <c r="I356" s="97"/>
      <c r="J356" s="97" t="s">
        <v>2433</v>
      </c>
      <c r="K356" s="97"/>
      <c r="L356" s="97"/>
      <c r="M356" s="97"/>
      <c r="N356" s="97"/>
    </row>
    <row r="357" ht="72.0" customHeight="1">
      <c r="A357" s="96" t="str">
        <f>HYPERLINK("http://purl.obolibrary.org/obo/OBI_0001775","http://purl.obolibrary.org/obo/OBI_0001775")</f>
        <v>http://purl.obolibrary.org/obo/OBI_0001775</v>
      </c>
      <c r="B357" s="97" t="s">
        <v>2415</v>
      </c>
      <c r="C357" s="97" t="s">
        <v>2434</v>
      </c>
      <c r="D357" s="97" t="s">
        <v>1402</v>
      </c>
      <c r="E357" s="97" t="s">
        <v>22</v>
      </c>
      <c r="F357" s="97" t="s">
        <v>1411</v>
      </c>
      <c r="G357" s="97" t="s">
        <v>2435</v>
      </c>
      <c r="H357" s="97"/>
      <c r="I357" s="97"/>
      <c r="J357" s="97" t="s">
        <v>2435</v>
      </c>
      <c r="K357" s="97"/>
      <c r="L357" s="97"/>
      <c r="M357" s="97"/>
      <c r="N357" s="97"/>
    </row>
    <row r="358" ht="72.0" customHeight="1">
      <c r="A358" s="96" t="str">
        <f>HYPERLINK("http://purl.obolibrary.org/obo/OBI_0001776","http://purl.obolibrary.org/obo/OBI_0001776")</f>
        <v>http://purl.obolibrary.org/obo/OBI_0001776</v>
      </c>
      <c r="B358" s="97" t="s">
        <v>2386</v>
      </c>
      <c r="C358" s="97" t="s">
        <v>2436</v>
      </c>
      <c r="D358" s="97" t="s">
        <v>4</v>
      </c>
      <c r="E358" s="97" t="s">
        <v>22</v>
      </c>
      <c r="F358" s="97" t="s">
        <v>1411</v>
      </c>
      <c r="G358" s="97" t="s">
        <v>2437</v>
      </c>
      <c r="H358" s="97"/>
      <c r="I358" s="97"/>
      <c r="J358" s="97" t="s">
        <v>2437</v>
      </c>
      <c r="K358" s="97"/>
      <c r="L358" s="97"/>
      <c r="M358" s="97"/>
      <c r="N358" s="97"/>
    </row>
    <row r="359" ht="36.0" customHeight="1">
      <c r="A359" s="96" t="str">
        <f>HYPERLINK("http://purl.obolibrary.org/obo/OBI_0001777","http://purl.obolibrary.org/obo/OBI_0001777")</f>
        <v>http://purl.obolibrary.org/obo/OBI_0001777</v>
      </c>
      <c r="B359" s="97" t="s">
        <v>2402</v>
      </c>
      <c r="C359" s="97" t="s">
        <v>2438</v>
      </c>
      <c r="D359" s="97" t="s">
        <v>1402</v>
      </c>
      <c r="E359" s="97" t="s">
        <v>22</v>
      </c>
      <c r="F359" s="97" t="s">
        <v>1411</v>
      </c>
      <c r="G359" s="97" t="s">
        <v>2439</v>
      </c>
      <c r="H359" s="97"/>
      <c r="I359" s="97"/>
      <c r="J359" s="97" t="s">
        <v>2439</v>
      </c>
      <c r="K359" s="97"/>
      <c r="L359" s="97"/>
      <c r="M359" s="97"/>
      <c r="N359" s="97"/>
    </row>
    <row r="360" ht="60.0" customHeight="1">
      <c r="A360" s="96" t="str">
        <f>HYPERLINK("http://purl.obolibrary.org/obo/OBI_0001778","http://purl.obolibrary.org/obo/OBI_0001778")</f>
        <v>http://purl.obolibrary.org/obo/OBI_0001778</v>
      </c>
      <c r="B360" s="97" t="s">
        <v>2394</v>
      </c>
      <c r="C360" s="97" t="s">
        <v>2440</v>
      </c>
      <c r="D360" s="97" t="s">
        <v>1402</v>
      </c>
      <c r="E360" s="97" t="s">
        <v>22</v>
      </c>
      <c r="F360" s="97" t="s">
        <v>1411</v>
      </c>
      <c r="G360" s="97" t="s">
        <v>2441</v>
      </c>
      <c r="H360" s="97"/>
      <c r="I360" s="97"/>
      <c r="J360" s="97" t="s">
        <v>2441</v>
      </c>
      <c r="K360" s="97"/>
      <c r="L360" s="97"/>
      <c r="M360" s="97"/>
      <c r="N360" s="97"/>
    </row>
    <row r="361" ht="72.0" customHeight="1">
      <c r="A361" s="96" t="str">
        <f>HYPERLINK("http://purl.obolibrary.org/obo/OBI_0001779","http://purl.obolibrary.org/obo/OBI_0001779")</f>
        <v>http://purl.obolibrary.org/obo/OBI_0001779</v>
      </c>
      <c r="B361" s="97" t="s">
        <v>2390</v>
      </c>
      <c r="C361" s="97" t="s">
        <v>2442</v>
      </c>
      <c r="D361" s="97" t="s">
        <v>1402</v>
      </c>
      <c r="E361" s="97" t="s">
        <v>22</v>
      </c>
      <c r="F361" s="97" t="s">
        <v>1411</v>
      </c>
      <c r="G361" s="97" t="s">
        <v>2443</v>
      </c>
      <c r="H361" s="97"/>
      <c r="I361" s="97"/>
      <c r="J361" s="97" t="s">
        <v>2443</v>
      </c>
      <c r="K361" s="97"/>
      <c r="L361" s="97"/>
      <c r="M361" s="97"/>
      <c r="N361" s="97"/>
    </row>
    <row r="362" ht="36.0" customHeight="1">
      <c r="A362" s="96" t="str">
        <f>HYPERLINK("http://purl.obolibrary.org/obo/OBI_0001780","http://purl.obolibrary.org/obo/OBI_0001780")</f>
        <v>http://purl.obolibrary.org/obo/OBI_0001780</v>
      </c>
      <c r="B362" s="97" t="s">
        <v>2444</v>
      </c>
      <c r="C362" s="97" t="s">
        <v>2445</v>
      </c>
      <c r="D362" s="97" t="s">
        <v>1402</v>
      </c>
      <c r="E362" s="97" t="s">
        <v>22</v>
      </c>
      <c r="F362" s="97" t="s">
        <v>1603</v>
      </c>
      <c r="G362" s="97" t="s">
        <v>2446</v>
      </c>
      <c r="H362" s="97"/>
      <c r="I362" s="97"/>
      <c r="J362" s="97"/>
      <c r="K362" s="97"/>
      <c r="L362" s="97" t="s">
        <v>2446</v>
      </c>
      <c r="M362" s="97"/>
      <c r="N362" s="97"/>
    </row>
    <row r="363" ht="36.0" customHeight="1">
      <c r="A363" s="96" t="str">
        <f>HYPERLINK("http://purl.obolibrary.org/obo/OBI_0001781","http://purl.obolibrary.org/obo/OBI_0001781")</f>
        <v>http://purl.obolibrary.org/obo/OBI_0001781</v>
      </c>
      <c r="B363" s="97" t="s">
        <v>2447</v>
      </c>
      <c r="C363" s="97" t="s">
        <v>2448</v>
      </c>
      <c r="D363" s="97" t="s">
        <v>1402</v>
      </c>
      <c r="E363" s="97" t="s">
        <v>22</v>
      </c>
      <c r="F363" s="97" t="s">
        <v>1793</v>
      </c>
      <c r="G363" s="97" t="s">
        <v>2449</v>
      </c>
      <c r="H363" s="97"/>
      <c r="I363" s="97"/>
      <c r="J363" s="97"/>
      <c r="K363" s="97"/>
      <c r="L363" s="97" t="s">
        <v>2449</v>
      </c>
      <c r="M363" s="97"/>
      <c r="N363" s="97"/>
    </row>
    <row r="364" ht="36.0" customHeight="1">
      <c r="A364" s="96" t="str">
        <f>HYPERLINK("http://purl.obolibrary.org/obo/OBI_0001782","http://purl.obolibrary.org/obo/OBI_0001782")</f>
        <v>http://purl.obolibrary.org/obo/OBI_0001782</v>
      </c>
      <c r="B364" s="97" t="s">
        <v>2450</v>
      </c>
      <c r="C364" s="97" t="s">
        <v>2451</v>
      </c>
      <c r="D364" s="97" t="s">
        <v>1402</v>
      </c>
      <c r="E364" s="97" t="s">
        <v>22</v>
      </c>
      <c r="F364" s="97" t="s">
        <v>1793</v>
      </c>
      <c r="G364" s="97" t="s">
        <v>2452</v>
      </c>
      <c r="H364" s="97"/>
      <c r="I364" s="97"/>
      <c r="J364" s="97"/>
      <c r="K364" s="97"/>
      <c r="L364" s="97" t="s">
        <v>2452</v>
      </c>
      <c r="M364" s="97"/>
      <c r="N364" s="97"/>
    </row>
    <row r="365" ht="48.0" customHeight="1">
      <c r="A365" s="96" t="str">
        <f>HYPERLINK("http://purl.obolibrary.org/obo/OBI_0001783","http://purl.obolibrary.org/obo/OBI_0001783")</f>
        <v>http://purl.obolibrary.org/obo/OBI_0001783</v>
      </c>
      <c r="B365" s="97" t="s">
        <v>2453</v>
      </c>
      <c r="C365" s="97" t="s">
        <v>2454</v>
      </c>
      <c r="D365" s="97" t="s">
        <v>1402</v>
      </c>
      <c r="E365" s="97" t="s">
        <v>22</v>
      </c>
      <c r="F365" s="97" t="s">
        <v>1495</v>
      </c>
      <c r="G365" s="97" t="s">
        <v>2455</v>
      </c>
      <c r="H365" s="97"/>
      <c r="I365" s="97"/>
      <c r="J365" s="97"/>
      <c r="K365" s="97"/>
      <c r="L365" s="97" t="s">
        <v>2455</v>
      </c>
      <c r="M365" s="97"/>
      <c r="N365" s="97"/>
    </row>
    <row r="366" ht="36.0" customHeight="1">
      <c r="A366" s="96" t="str">
        <f>HYPERLINK("http://purl.obolibrary.org/obo/OBI_0001784","http://purl.obolibrary.org/obo/OBI_0001784")</f>
        <v>http://purl.obolibrary.org/obo/OBI_0001784</v>
      </c>
      <c r="B366" s="97" t="s">
        <v>2456</v>
      </c>
      <c r="C366" s="97" t="s">
        <v>2457</v>
      </c>
      <c r="D366" s="97" t="s">
        <v>1402</v>
      </c>
      <c r="E366" s="97" t="s">
        <v>22</v>
      </c>
      <c r="F366" s="97" t="s">
        <v>1495</v>
      </c>
      <c r="G366" s="97" t="s">
        <v>2458</v>
      </c>
      <c r="H366" s="97"/>
      <c r="I366" s="97"/>
      <c r="J366" s="97"/>
      <c r="K366" s="97"/>
      <c r="L366" s="97" t="s">
        <v>2458</v>
      </c>
      <c r="M366" s="97"/>
      <c r="N366" s="97"/>
    </row>
    <row r="367" ht="36.0" customHeight="1">
      <c r="A367" s="96" t="str">
        <f>HYPERLINK("http://purl.obolibrary.org/obo/OBI_0001785","http://purl.obolibrary.org/obo/OBI_0001785")</f>
        <v>http://purl.obolibrary.org/obo/OBI_0001785</v>
      </c>
      <c r="B367" s="97" t="s">
        <v>2459</v>
      </c>
      <c r="C367" s="97" t="s">
        <v>2460</v>
      </c>
      <c r="D367" s="97" t="s">
        <v>1402</v>
      </c>
      <c r="E367" s="97" t="s">
        <v>22</v>
      </c>
      <c r="F367" s="97" t="s">
        <v>1793</v>
      </c>
      <c r="G367" s="97" t="s">
        <v>2461</v>
      </c>
      <c r="H367" s="97"/>
      <c r="I367" s="97"/>
      <c r="J367" s="97"/>
      <c r="K367" s="97"/>
      <c r="L367" s="97" t="s">
        <v>2461</v>
      </c>
      <c r="M367" s="97"/>
      <c r="N367" s="97"/>
    </row>
    <row r="368" ht="36.0" customHeight="1">
      <c r="A368" s="96" t="str">
        <f>HYPERLINK("http://purl.obolibrary.org/obo/OBI_0001786","http://purl.obolibrary.org/obo/OBI_0001786")</f>
        <v>http://purl.obolibrary.org/obo/OBI_0001786</v>
      </c>
      <c r="B368" s="97" t="s">
        <v>2462</v>
      </c>
      <c r="C368" s="97" t="s">
        <v>2463</v>
      </c>
      <c r="D368" s="97" t="s">
        <v>1402</v>
      </c>
      <c r="E368" s="97" t="s">
        <v>22</v>
      </c>
      <c r="F368" s="97" t="s">
        <v>1793</v>
      </c>
      <c r="G368" s="97" t="s">
        <v>2464</v>
      </c>
      <c r="H368" s="97"/>
      <c r="I368" s="97"/>
      <c r="J368" s="97"/>
      <c r="K368" s="97"/>
      <c r="L368" s="97" t="s">
        <v>2464</v>
      </c>
      <c r="M368" s="97"/>
      <c r="N368" s="97"/>
    </row>
    <row r="369" ht="36.0" customHeight="1">
      <c r="A369" s="96" t="str">
        <f>HYPERLINK("http://purl.obolibrary.org/obo/OBI_0001787","http://purl.obolibrary.org/obo/OBI_0001787")</f>
        <v>http://purl.obolibrary.org/obo/OBI_0001787</v>
      </c>
      <c r="B369" s="97" t="s">
        <v>2465</v>
      </c>
      <c r="C369" s="97" t="s">
        <v>2466</v>
      </c>
      <c r="D369" s="97" t="s">
        <v>4</v>
      </c>
      <c r="E369" s="97" t="s">
        <v>22</v>
      </c>
      <c r="F369" s="97" t="s">
        <v>2017</v>
      </c>
      <c r="G369" s="97" t="s">
        <v>2467</v>
      </c>
      <c r="H369" s="97"/>
      <c r="I369" s="97"/>
      <c r="J369" s="97"/>
      <c r="K369" s="97"/>
      <c r="L369" s="97" t="s">
        <v>2467</v>
      </c>
      <c r="M369" s="97"/>
      <c r="N369" s="97"/>
    </row>
    <row r="370" ht="48.0" customHeight="1">
      <c r="A370" s="96" t="str">
        <f>HYPERLINK("http://purl.obolibrary.org/obo/OBI_0001788","http://purl.obolibrary.org/obo/OBI_0001788")</f>
        <v>http://purl.obolibrary.org/obo/OBI_0001788</v>
      </c>
      <c r="B370" s="97" t="s">
        <v>2468</v>
      </c>
      <c r="C370" s="97" t="s">
        <v>2469</v>
      </c>
      <c r="D370" s="97" t="s">
        <v>4</v>
      </c>
      <c r="E370" s="97" t="s">
        <v>22</v>
      </c>
      <c r="F370" s="97" t="s">
        <v>1506</v>
      </c>
      <c r="G370" s="97" t="s">
        <v>2470</v>
      </c>
      <c r="H370" s="97"/>
      <c r="I370" s="97"/>
      <c r="J370" s="97"/>
      <c r="K370" s="97"/>
      <c r="L370" s="97" t="s">
        <v>2470</v>
      </c>
      <c r="M370" s="97"/>
      <c r="N370" s="97"/>
    </row>
    <row r="371" ht="48.0" customHeight="1">
      <c r="A371" s="96" t="str">
        <f>HYPERLINK("http://purl.obolibrary.org/obo/OBI_0001789","http://purl.obolibrary.org/obo/OBI_0001789")</f>
        <v>http://purl.obolibrary.org/obo/OBI_0001789</v>
      </c>
      <c r="B371" s="97" t="s">
        <v>2471</v>
      </c>
      <c r="C371" s="97" t="s">
        <v>2472</v>
      </c>
      <c r="D371" s="97" t="s">
        <v>1402</v>
      </c>
      <c r="E371" s="97" t="s">
        <v>22</v>
      </c>
      <c r="F371" s="97" t="s">
        <v>1445</v>
      </c>
      <c r="G371" s="97" t="s">
        <v>2473</v>
      </c>
      <c r="H371" s="97"/>
      <c r="I371" s="97"/>
      <c r="J371" s="97"/>
      <c r="K371" s="97"/>
      <c r="L371" s="97" t="s">
        <v>2473</v>
      </c>
      <c r="M371" s="97"/>
      <c r="N371" s="97"/>
    </row>
    <row r="372" ht="48.0" customHeight="1">
      <c r="A372" s="96" t="str">
        <f>HYPERLINK("http://purl.obolibrary.org/obo/OBI_0001790","http://purl.obolibrary.org/obo/OBI_0001790")</f>
        <v>http://purl.obolibrary.org/obo/OBI_0001790</v>
      </c>
      <c r="B372" s="97" t="s">
        <v>2474</v>
      </c>
      <c r="C372" s="97" t="s">
        <v>2475</v>
      </c>
      <c r="D372" s="97" t="s">
        <v>1402</v>
      </c>
      <c r="E372" s="97" t="s">
        <v>22</v>
      </c>
      <c r="F372" s="97" t="s">
        <v>1445</v>
      </c>
      <c r="G372" s="97" t="s">
        <v>2476</v>
      </c>
      <c r="H372" s="97"/>
      <c r="I372" s="97"/>
      <c r="J372" s="97"/>
      <c r="K372" s="97"/>
      <c r="L372" s="97" t="s">
        <v>2476</v>
      </c>
      <c r="M372" s="97"/>
      <c r="N372" s="97"/>
    </row>
    <row r="373" ht="36.0" customHeight="1">
      <c r="A373" s="96" t="str">
        <f>HYPERLINK("http://purl.obolibrary.org/obo/OBI_0001791","http://purl.obolibrary.org/obo/OBI_0001791")</f>
        <v>http://purl.obolibrary.org/obo/OBI_0001791</v>
      </c>
      <c r="B373" s="97" t="s">
        <v>2477</v>
      </c>
      <c r="C373" s="97" t="s">
        <v>2478</v>
      </c>
      <c r="D373" s="97" t="s">
        <v>4</v>
      </c>
      <c r="E373" s="97" t="s">
        <v>22</v>
      </c>
      <c r="F373" s="97" t="s">
        <v>2479</v>
      </c>
      <c r="G373" s="97" t="s">
        <v>2480</v>
      </c>
      <c r="H373" s="97"/>
      <c r="I373" s="97"/>
      <c r="J373" s="97"/>
      <c r="K373" s="97"/>
      <c r="L373" s="97" t="s">
        <v>2480</v>
      </c>
      <c r="M373" s="97"/>
      <c r="N373" s="97"/>
    </row>
    <row r="374" ht="48.0" customHeight="1">
      <c r="A374" s="96" t="str">
        <f>HYPERLINK("http://purl.obolibrary.org/obo/OBI_0001792","http://purl.obolibrary.org/obo/OBI_0001792")</f>
        <v>http://purl.obolibrary.org/obo/OBI_0001792</v>
      </c>
      <c r="B374" s="97" t="s">
        <v>2481</v>
      </c>
      <c r="C374" s="97" t="s">
        <v>2482</v>
      </c>
      <c r="D374" s="97" t="s">
        <v>1402</v>
      </c>
      <c r="E374" s="97" t="s">
        <v>22</v>
      </c>
      <c r="F374" s="97" t="s">
        <v>1603</v>
      </c>
      <c r="G374" s="97" t="s">
        <v>2483</v>
      </c>
      <c r="H374" s="97"/>
      <c r="I374" s="97"/>
      <c r="J374" s="97"/>
      <c r="K374" s="97"/>
      <c r="L374" s="97" t="s">
        <v>2483</v>
      </c>
      <c r="M374" s="97"/>
      <c r="N374" s="97"/>
    </row>
    <row r="375" ht="96.0" customHeight="1">
      <c r="A375" s="96" t="str">
        <f>HYPERLINK("http://purl.obolibrary.org/obo/OBI_0001793","http://purl.obolibrary.org/obo/OBI_0001793")</f>
        <v>http://purl.obolibrary.org/obo/OBI_0001793</v>
      </c>
      <c r="B375" s="97" t="s">
        <v>2484</v>
      </c>
      <c r="C375" s="97" t="s">
        <v>2485</v>
      </c>
      <c r="D375" s="97" t="s">
        <v>4</v>
      </c>
      <c r="E375" s="97" t="s">
        <v>22</v>
      </c>
      <c r="F375" s="97" t="s">
        <v>2486</v>
      </c>
      <c r="G375" s="97" t="s">
        <v>2487</v>
      </c>
      <c r="H375" s="97"/>
      <c r="I375" s="97"/>
      <c r="J375" s="97"/>
      <c r="K375" s="97"/>
      <c r="L375" s="97" t="s">
        <v>2487</v>
      </c>
      <c r="M375" s="97"/>
      <c r="N375" s="97"/>
    </row>
    <row r="376" ht="96.0" customHeight="1">
      <c r="A376" s="96" t="str">
        <f>HYPERLINK("http://purl.obolibrary.org/obo/OBI_0001794","http://purl.obolibrary.org/obo/OBI_0001794")</f>
        <v>http://purl.obolibrary.org/obo/OBI_0001794</v>
      </c>
      <c r="B376" s="97" t="s">
        <v>2488</v>
      </c>
      <c r="C376" s="97" t="s">
        <v>2489</v>
      </c>
      <c r="D376" s="97" t="s">
        <v>4</v>
      </c>
      <c r="E376" s="97" t="s">
        <v>22</v>
      </c>
      <c r="F376" s="97" t="s">
        <v>2490</v>
      </c>
      <c r="G376" s="97" t="s">
        <v>2491</v>
      </c>
      <c r="H376" s="97"/>
      <c r="I376" s="97"/>
      <c r="J376" s="97"/>
      <c r="K376" s="97"/>
      <c r="L376" s="97" t="s">
        <v>2491</v>
      </c>
      <c r="M376" s="97"/>
      <c r="N376" s="97"/>
    </row>
    <row r="377" ht="108.0" customHeight="1">
      <c r="A377" s="96" t="str">
        <f>HYPERLINK("http://purl.obolibrary.org/obo/OBI_0001795","http://purl.obolibrary.org/obo/OBI_0001795")</f>
        <v>http://purl.obolibrary.org/obo/OBI_0001795</v>
      </c>
      <c r="B377" s="97" t="s">
        <v>2492</v>
      </c>
      <c r="C377" s="97" t="s">
        <v>2493</v>
      </c>
      <c r="D377" s="97" t="s">
        <v>1402</v>
      </c>
      <c r="E377" s="97" t="s">
        <v>22</v>
      </c>
      <c r="F377" s="97" t="s">
        <v>1407</v>
      </c>
      <c r="G377" s="97" t="s">
        <v>2494</v>
      </c>
      <c r="H377" s="97"/>
      <c r="I377" s="97"/>
      <c r="J377" s="97"/>
      <c r="K377" s="97"/>
      <c r="L377" s="97" t="s">
        <v>2494</v>
      </c>
      <c r="M377" s="97"/>
      <c r="N377" s="97"/>
    </row>
    <row r="378" ht="96.0" customHeight="1">
      <c r="A378" s="96" t="str">
        <f>HYPERLINK("http://purl.obolibrary.org/obo/OBI_0001796","http://purl.obolibrary.org/obo/OBI_0001796")</f>
        <v>http://purl.obolibrary.org/obo/OBI_0001796</v>
      </c>
      <c r="B378" s="97" t="s">
        <v>2495</v>
      </c>
      <c r="C378" s="97" t="s">
        <v>2496</v>
      </c>
      <c r="D378" s="97" t="s">
        <v>1402</v>
      </c>
      <c r="E378" s="97" t="s">
        <v>22</v>
      </c>
      <c r="F378" s="97" t="s">
        <v>1407</v>
      </c>
      <c r="G378" s="97" t="s">
        <v>2497</v>
      </c>
      <c r="H378" s="97"/>
      <c r="I378" s="97"/>
      <c r="J378" s="97"/>
      <c r="K378" s="97"/>
      <c r="L378" s="97" t="s">
        <v>2497</v>
      </c>
      <c r="M378" s="97"/>
      <c r="N378" s="97"/>
    </row>
    <row r="379" ht="96.0" customHeight="1">
      <c r="A379" s="96" t="str">
        <f>HYPERLINK("http://purl.obolibrary.org/obo/OBI_0001797","http://purl.obolibrary.org/obo/OBI_0001797")</f>
        <v>http://purl.obolibrary.org/obo/OBI_0001797</v>
      </c>
      <c r="B379" s="97" t="s">
        <v>2498</v>
      </c>
      <c r="C379" s="97" t="s">
        <v>2499</v>
      </c>
      <c r="D379" s="97" t="s">
        <v>4</v>
      </c>
      <c r="E379" s="97" t="s">
        <v>22</v>
      </c>
      <c r="F379" s="97" t="s">
        <v>1480</v>
      </c>
      <c r="G379" s="97" t="s">
        <v>2500</v>
      </c>
      <c r="H379" s="97"/>
      <c r="I379" s="97"/>
      <c r="J379" s="97"/>
      <c r="K379" s="97"/>
      <c r="L379" s="97" t="s">
        <v>2500</v>
      </c>
      <c r="M379" s="97"/>
      <c r="N379" s="97"/>
    </row>
    <row r="380" ht="84.0" customHeight="1">
      <c r="A380" s="96" t="str">
        <f>HYPERLINK("http://purl.obolibrary.org/obo/OBI_0001798","http://purl.obolibrary.org/obo/OBI_0001798")</f>
        <v>http://purl.obolibrary.org/obo/OBI_0001798</v>
      </c>
      <c r="B380" s="97" t="s">
        <v>2501</v>
      </c>
      <c r="C380" s="97" t="s">
        <v>2502</v>
      </c>
      <c r="D380" s="97" t="s">
        <v>4</v>
      </c>
      <c r="E380" s="97" t="s">
        <v>22</v>
      </c>
      <c r="F380" s="97" t="s">
        <v>1480</v>
      </c>
      <c r="G380" s="97" t="s">
        <v>2503</v>
      </c>
      <c r="H380" s="97"/>
      <c r="I380" s="97"/>
      <c r="J380" s="97"/>
      <c r="K380" s="97"/>
      <c r="L380" s="97" t="s">
        <v>2503</v>
      </c>
      <c r="M380" s="97"/>
      <c r="N380" s="97"/>
    </row>
    <row r="381" ht="48.0" customHeight="1">
      <c r="A381" s="96" t="str">
        <f>HYPERLINK("http://purl.obolibrary.org/obo/OBI_0001799","http://purl.obolibrary.org/obo/OBI_0001799")</f>
        <v>http://purl.obolibrary.org/obo/OBI_0001799</v>
      </c>
      <c r="B381" s="97" t="s">
        <v>2504</v>
      </c>
      <c r="C381" s="97" t="s">
        <v>2505</v>
      </c>
      <c r="D381" s="97" t="s">
        <v>4</v>
      </c>
      <c r="E381" s="97" t="s">
        <v>22</v>
      </c>
      <c r="F381" s="97" t="s">
        <v>1480</v>
      </c>
      <c r="G381" s="97" t="s">
        <v>2506</v>
      </c>
      <c r="H381" s="97"/>
      <c r="I381" s="97"/>
      <c r="J381" s="97"/>
      <c r="K381" s="97"/>
      <c r="L381" s="97" t="s">
        <v>2506</v>
      </c>
      <c r="M381" s="97"/>
      <c r="N381" s="97"/>
    </row>
    <row r="382" ht="48.0" customHeight="1">
      <c r="A382" s="96" t="str">
        <f>HYPERLINK("http://purl.obolibrary.org/obo/OBI_0001800","http://purl.obolibrary.org/obo/OBI_0001800")</f>
        <v>http://purl.obolibrary.org/obo/OBI_0001800</v>
      </c>
      <c r="B382" s="97" t="s">
        <v>2507</v>
      </c>
      <c r="C382" s="97" t="s">
        <v>2508</v>
      </c>
      <c r="D382" s="97" t="s">
        <v>4</v>
      </c>
      <c r="E382" s="97" t="s">
        <v>22</v>
      </c>
      <c r="F382" s="97" t="s">
        <v>1437</v>
      </c>
      <c r="G382" s="97" t="s">
        <v>2509</v>
      </c>
      <c r="H382" s="97"/>
      <c r="I382" s="97"/>
      <c r="J382" s="97"/>
      <c r="K382" s="97"/>
      <c r="L382" s="97" t="s">
        <v>2509</v>
      </c>
      <c r="M382" s="97"/>
      <c r="N382" s="97"/>
    </row>
    <row r="383" ht="48.0" customHeight="1">
      <c r="A383" s="96" t="str">
        <f>HYPERLINK("http://purl.obolibrary.org/obo/OBI_0001801","http://purl.obolibrary.org/obo/OBI_0001801")</f>
        <v>http://purl.obolibrary.org/obo/OBI_0001801</v>
      </c>
      <c r="B383" s="97" t="s">
        <v>2510</v>
      </c>
      <c r="C383" s="97" t="s">
        <v>2511</v>
      </c>
      <c r="D383" s="97" t="s">
        <v>4</v>
      </c>
      <c r="E383" s="97" t="s">
        <v>22</v>
      </c>
      <c r="F383" s="97" t="s">
        <v>1437</v>
      </c>
      <c r="G383" s="97" t="s">
        <v>2512</v>
      </c>
      <c r="H383" s="97"/>
      <c r="I383" s="97"/>
      <c r="J383" s="97"/>
      <c r="K383" s="97"/>
      <c r="L383" s="97" t="s">
        <v>2512</v>
      </c>
      <c r="M383" s="97"/>
      <c r="N383" s="97"/>
    </row>
    <row r="384" ht="48.0" customHeight="1">
      <c r="A384" s="96" t="str">
        <f>HYPERLINK("http://purl.obolibrary.org/obo/OBI_0001802","http://purl.obolibrary.org/obo/OBI_0001802")</f>
        <v>http://purl.obolibrary.org/obo/OBI_0001802</v>
      </c>
      <c r="B384" s="97" t="s">
        <v>2513</v>
      </c>
      <c r="C384" s="97" t="s">
        <v>2514</v>
      </c>
      <c r="D384" s="97" t="s">
        <v>1402</v>
      </c>
      <c r="E384" s="97" t="s">
        <v>22</v>
      </c>
      <c r="F384" s="97" t="s">
        <v>1518</v>
      </c>
      <c r="G384" s="97" t="s">
        <v>2515</v>
      </c>
      <c r="H384" s="97"/>
      <c r="I384" s="97"/>
      <c r="J384" s="97"/>
      <c r="K384" s="97"/>
      <c r="L384" s="97" t="s">
        <v>2515</v>
      </c>
      <c r="M384" s="97"/>
      <c r="N384" s="97"/>
    </row>
    <row r="385" ht="48.0" customHeight="1">
      <c r="A385" s="96" t="str">
        <f>HYPERLINK("http://purl.obolibrary.org/obo/OBI_0001803","http://purl.obolibrary.org/obo/OBI_0001803")</f>
        <v>http://purl.obolibrary.org/obo/OBI_0001803</v>
      </c>
      <c r="B385" s="97" t="s">
        <v>2516</v>
      </c>
      <c r="C385" s="97" t="s">
        <v>2517</v>
      </c>
      <c r="D385" s="97" t="s">
        <v>1402</v>
      </c>
      <c r="E385" s="97" t="s">
        <v>22</v>
      </c>
      <c r="F385" s="97" t="s">
        <v>2034</v>
      </c>
      <c r="G385" s="97" t="s">
        <v>2518</v>
      </c>
      <c r="H385" s="97"/>
      <c r="I385" s="97"/>
      <c r="J385" s="97"/>
      <c r="K385" s="97"/>
      <c r="L385" s="97" t="s">
        <v>2518</v>
      </c>
      <c r="M385" s="97"/>
      <c r="N385" s="97"/>
    </row>
    <row r="386" ht="48.0" customHeight="1">
      <c r="A386" s="96" t="str">
        <f>HYPERLINK("http://purl.obolibrary.org/obo/OBI_0001804","http://purl.obolibrary.org/obo/OBI_0001804")</f>
        <v>http://purl.obolibrary.org/obo/OBI_0001804</v>
      </c>
      <c r="B386" s="97" t="s">
        <v>2519</v>
      </c>
      <c r="C386" s="97" t="s">
        <v>2520</v>
      </c>
      <c r="D386" s="97" t="s">
        <v>4</v>
      </c>
      <c r="E386" s="97" t="s">
        <v>22</v>
      </c>
      <c r="F386" s="97" t="s">
        <v>2034</v>
      </c>
      <c r="G386" s="97" t="s">
        <v>2521</v>
      </c>
      <c r="H386" s="97"/>
      <c r="I386" s="97"/>
      <c r="J386" s="97"/>
      <c r="K386" s="97"/>
      <c r="L386" s="97" t="s">
        <v>2521</v>
      </c>
      <c r="M386" s="97"/>
      <c r="N386" s="97"/>
    </row>
    <row r="387" ht="48.0" customHeight="1">
      <c r="A387" s="96" t="str">
        <f>HYPERLINK("http://purl.obolibrary.org/obo/OBI_0001805","http://purl.obolibrary.org/obo/OBI_0001805")</f>
        <v>http://purl.obolibrary.org/obo/OBI_0001805</v>
      </c>
      <c r="B387" s="97" t="s">
        <v>2522</v>
      </c>
      <c r="C387" s="97" t="s">
        <v>2523</v>
      </c>
      <c r="D387" s="97" t="s">
        <v>4</v>
      </c>
      <c r="E387" s="97" t="s">
        <v>22</v>
      </c>
      <c r="F387" s="97" t="s">
        <v>2034</v>
      </c>
      <c r="G387" s="97" t="s">
        <v>2524</v>
      </c>
      <c r="H387" s="97"/>
      <c r="I387" s="97"/>
      <c r="J387" s="97"/>
      <c r="K387" s="97"/>
      <c r="L387" s="97" t="s">
        <v>2524</v>
      </c>
      <c r="M387" s="97"/>
      <c r="N387" s="97"/>
    </row>
    <row r="388" ht="48.0" customHeight="1">
      <c r="A388" s="96" t="str">
        <f>HYPERLINK("http://purl.obolibrary.org/obo/OBI_0001806","http://purl.obolibrary.org/obo/OBI_0001806")</f>
        <v>http://purl.obolibrary.org/obo/OBI_0001806</v>
      </c>
      <c r="B388" s="97" t="s">
        <v>2525</v>
      </c>
      <c r="C388" s="97" t="s">
        <v>2526</v>
      </c>
      <c r="D388" s="97" t="s">
        <v>1402</v>
      </c>
      <c r="E388" s="97" t="s">
        <v>22</v>
      </c>
      <c r="F388" s="97" t="s">
        <v>1409</v>
      </c>
      <c r="G388" s="97" t="s">
        <v>2527</v>
      </c>
      <c r="H388" s="97"/>
      <c r="I388" s="97"/>
      <c r="J388" s="97"/>
      <c r="K388" s="97"/>
      <c r="L388" s="97" t="s">
        <v>2527</v>
      </c>
      <c r="M388" s="97"/>
      <c r="N388" s="97"/>
    </row>
    <row r="389" ht="48.0" customHeight="1">
      <c r="A389" s="96" t="str">
        <f>HYPERLINK("http://purl.obolibrary.org/obo/OBI_0001807","http://purl.obolibrary.org/obo/OBI_0001807")</f>
        <v>http://purl.obolibrary.org/obo/OBI_0001807</v>
      </c>
      <c r="B389" s="97" t="s">
        <v>2528</v>
      </c>
      <c r="C389" s="97" t="s">
        <v>2529</v>
      </c>
      <c r="D389" s="97" t="s">
        <v>1402</v>
      </c>
      <c r="E389" s="97" t="s">
        <v>22</v>
      </c>
      <c r="F389" s="97" t="s">
        <v>1518</v>
      </c>
      <c r="G389" s="97" t="s">
        <v>2530</v>
      </c>
      <c r="H389" s="97"/>
      <c r="I389" s="97"/>
      <c r="J389" s="97"/>
      <c r="K389" s="97"/>
      <c r="L389" s="97" t="s">
        <v>2530</v>
      </c>
      <c r="M389" s="97"/>
      <c r="N389" s="97"/>
    </row>
    <row r="390" ht="48.0" customHeight="1">
      <c r="A390" s="96" t="str">
        <f>HYPERLINK("http://purl.obolibrary.org/obo/OBI_0001808","http://purl.obolibrary.org/obo/OBI_0001808")</f>
        <v>http://purl.obolibrary.org/obo/OBI_0001808</v>
      </c>
      <c r="B390" s="97" t="s">
        <v>2531</v>
      </c>
      <c r="C390" s="97" t="s">
        <v>2532</v>
      </c>
      <c r="D390" s="97" t="s">
        <v>1402</v>
      </c>
      <c r="E390" s="97" t="s">
        <v>22</v>
      </c>
      <c r="F390" s="97" t="s">
        <v>1518</v>
      </c>
      <c r="G390" s="97" t="s">
        <v>2533</v>
      </c>
      <c r="H390" s="97"/>
      <c r="I390" s="97"/>
      <c r="J390" s="97"/>
      <c r="K390" s="97"/>
      <c r="L390" s="97" t="s">
        <v>2533</v>
      </c>
      <c r="M390" s="97"/>
      <c r="N390" s="97"/>
    </row>
    <row r="391" ht="60.0" customHeight="1">
      <c r="A391" s="96" t="str">
        <f>HYPERLINK("http://purl.obolibrary.org/obo/OBI_0001809","http://purl.obolibrary.org/obo/OBI_0001809")</f>
        <v>http://purl.obolibrary.org/obo/OBI_0001809</v>
      </c>
      <c r="B391" s="97" t="s">
        <v>2189</v>
      </c>
      <c r="C391" s="97" t="s">
        <v>2534</v>
      </c>
      <c r="D391" s="97" t="s">
        <v>4</v>
      </c>
      <c r="E391" s="97" t="s">
        <v>22</v>
      </c>
      <c r="F391" s="97" t="s">
        <v>1533</v>
      </c>
      <c r="G391" s="97" t="s">
        <v>2535</v>
      </c>
      <c r="H391" s="97"/>
      <c r="I391" s="97"/>
      <c r="J391" s="97" t="s">
        <v>2535</v>
      </c>
      <c r="K391" s="97"/>
      <c r="L391" s="97"/>
      <c r="M391" s="97"/>
      <c r="N391" s="97"/>
    </row>
    <row r="392" ht="48.0" customHeight="1">
      <c r="A392" s="96" t="str">
        <f>HYPERLINK("http://purl.obolibrary.org/obo/OBI_0001810","http://purl.obolibrary.org/obo/OBI_0001810")</f>
        <v>http://purl.obolibrary.org/obo/OBI_0001810</v>
      </c>
      <c r="B392" s="97" t="s">
        <v>2199</v>
      </c>
      <c r="C392" s="97" t="s">
        <v>2536</v>
      </c>
      <c r="D392" s="97" t="s">
        <v>4</v>
      </c>
      <c r="E392" s="97" t="s">
        <v>22</v>
      </c>
      <c r="F392" s="97" t="s">
        <v>1533</v>
      </c>
      <c r="G392" s="97" t="s">
        <v>2537</v>
      </c>
      <c r="H392" s="97"/>
      <c r="I392" s="97"/>
      <c r="J392" s="97" t="s">
        <v>2537</v>
      </c>
      <c r="K392" s="97"/>
      <c r="L392" s="97"/>
      <c r="M392" s="97"/>
      <c r="N392" s="97"/>
    </row>
    <row r="393" ht="48.0" customHeight="1">
      <c r="A393" s="96" t="str">
        <f>HYPERLINK("http://purl.obolibrary.org/obo/OBI_0001811","http://purl.obolibrary.org/obo/OBI_0001811")</f>
        <v>http://purl.obolibrary.org/obo/OBI_0001811</v>
      </c>
      <c r="B393" s="97" t="s">
        <v>2538</v>
      </c>
      <c r="C393" s="97" t="s">
        <v>2539</v>
      </c>
      <c r="D393" s="97" t="s">
        <v>1402</v>
      </c>
      <c r="E393" s="97" t="s">
        <v>22</v>
      </c>
      <c r="F393" s="97" t="s">
        <v>1409</v>
      </c>
      <c r="G393" s="97" t="s">
        <v>2540</v>
      </c>
      <c r="H393" s="97"/>
      <c r="I393" s="97"/>
      <c r="J393" s="97"/>
      <c r="K393" s="97"/>
      <c r="L393" s="97" t="s">
        <v>2540</v>
      </c>
      <c r="M393" s="97"/>
      <c r="N393" s="97"/>
    </row>
    <row r="394" ht="48.0" customHeight="1">
      <c r="A394" s="96" t="str">
        <f>HYPERLINK("http://purl.obolibrary.org/obo/OBI_0001812","http://purl.obolibrary.org/obo/OBI_0001812")</f>
        <v>http://purl.obolibrary.org/obo/OBI_0001812</v>
      </c>
      <c r="B394" s="97" t="s">
        <v>2541</v>
      </c>
      <c r="C394" s="97" t="s">
        <v>2542</v>
      </c>
      <c r="D394" s="97" t="s">
        <v>1402</v>
      </c>
      <c r="E394" s="97" t="s">
        <v>22</v>
      </c>
      <c r="F394" s="97" t="s">
        <v>1499</v>
      </c>
      <c r="G394" s="97" t="s">
        <v>2543</v>
      </c>
      <c r="H394" s="97"/>
      <c r="I394" s="97"/>
      <c r="J394" s="97"/>
      <c r="K394" s="97"/>
      <c r="L394" s="97" t="s">
        <v>2543</v>
      </c>
      <c r="M394" s="97"/>
      <c r="N394" s="97"/>
    </row>
    <row r="395" ht="72.0" customHeight="1">
      <c r="A395" s="96" t="str">
        <f>HYPERLINK("http://purl.obolibrary.org/obo/OBI_0001813","http://purl.obolibrary.org/obo/OBI_0001813")</f>
        <v>http://purl.obolibrary.org/obo/OBI_0001813</v>
      </c>
      <c r="B395" s="97" t="s">
        <v>2544</v>
      </c>
      <c r="C395" s="97" t="s">
        <v>2545</v>
      </c>
      <c r="D395" s="97" t="s">
        <v>1402</v>
      </c>
      <c r="E395" s="97" t="s">
        <v>22</v>
      </c>
      <c r="F395" s="97" t="s">
        <v>1409</v>
      </c>
      <c r="G395" s="97" t="s">
        <v>2546</v>
      </c>
      <c r="H395" s="97"/>
      <c r="I395" s="97"/>
      <c r="J395" s="97"/>
      <c r="K395" s="97"/>
      <c r="L395" s="97" t="s">
        <v>2546</v>
      </c>
      <c r="M395" s="97"/>
      <c r="N395" s="97"/>
    </row>
    <row r="396" ht="84.0" customHeight="1">
      <c r="A396" s="96" t="str">
        <f>HYPERLINK("http://purl.obolibrary.org/obo/OBI_0001814","http://purl.obolibrary.org/obo/OBI_0001814")</f>
        <v>http://purl.obolibrary.org/obo/OBI_0001814</v>
      </c>
      <c r="B396" s="97" t="s">
        <v>2547</v>
      </c>
      <c r="C396" s="97" t="s">
        <v>2548</v>
      </c>
      <c r="D396" s="97" t="s">
        <v>1402</v>
      </c>
      <c r="E396" s="97" t="s">
        <v>22</v>
      </c>
      <c r="F396" s="97" t="s">
        <v>1409</v>
      </c>
      <c r="G396" s="97" t="s">
        <v>2549</v>
      </c>
      <c r="H396" s="97"/>
      <c r="I396" s="97"/>
      <c r="J396" s="97"/>
      <c r="K396" s="97"/>
      <c r="L396" s="97" t="s">
        <v>2549</v>
      </c>
      <c r="M396" s="97"/>
      <c r="N396" s="97"/>
    </row>
    <row r="397" ht="84.0" customHeight="1">
      <c r="A397" s="96" t="str">
        <f>HYPERLINK("http://purl.obolibrary.org/obo/OBI_0001815","http://purl.obolibrary.org/obo/OBI_0001815")</f>
        <v>http://purl.obolibrary.org/obo/OBI_0001815</v>
      </c>
      <c r="B397" s="97" t="s">
        <v>2550</v>
      </c>
      <c r="C397" s="97" t="s">
        <v>2551</v>
      </c>
      <c r="D397" s="97" t="s">
        <v>1402</v>
      </c>
      <c r="E397" s="97" t="s">
        <v>22</v>
      </c>
      <c r="F397" s="97" t="s">
        <v>1722</v>
      </c>
      <c r="G397" s="97" t="s">
        <v>2552</v>
      </c>
      <c r="H397" s="97"/>
      <c r="I397" s="97"/>
      <c r="J397" s="97"/>
      <c r="K397" s="97"/>
      <c r="L397" s="97" t="s">
        <v>2552</v>
      </c>
      <c r="M397" s="97"/>
      <c r="N397" s="97"/>
    </row>
    <row r="398" ht="84.0" customHeight="1">
      <c r="A398" s="96" t="str">
        <f>HYPERLINK("http://purl.obolibrary.org/obo/OBI_0001817","http://purl.obolibrary.org/obo/OBI_0001817")</f>
        <v>http://purl.obolibrary.org/obo/OBI_0001817</v>
      </c>
      <c r="B398" s="97" t="s">
        <v>2553</v>
      </c>
      <c r="C398" s="97" t="s">
        <v>2554</v>
      </c>
      <c r="D398" s="97" t="s">
        <v>1402</v>
      </c>
      <c r="E398" s="97" t="s">
        <v>22</v>
      </c>
      <c r="F398" s="97" t="s">
        <v>1722</v>
      </c>
      <c r="G398" s="97" t="s">
        <v>2555</v>
      </c>
      <c r="H398" s="97"/>
      <c r="I398" s="97"/>
      <c r="J398" s="97"/>
      <c r="K398" s="97"/>
      <c r="L398" s="97" t="s">
        <v>2555</v>
      </c>
      <c r="M398" s="97"/>
      <c r="N398" s="97"/>
    </row>
    <row r="399" ht="84.0" customHeight="1">
      <c r="A399" s="96" t="str">
        <f>HYPERLINK("http://purl.obolibrary.org/obo/OBI_0001821","http://purl.obolibrary.org/obo/OBI_0001821")</f>
        <v>http://purl.obolibrary.org/obo/OBI_0001821</v>
      </c>
      <c r="B399" s="97" t="s">
        <v>2556</v>
      </c>
      <c r="C399" s="97" t="s">
        <v>2557</v>
      </c>
      <c r="D399" s="97" t="s">
        <v>1402</v>
      </c>
      <c r="E399" s="97" t="s">
        <v>22</v>
      </c>
      <c r="F399" s="97" t="s">
        <v>1434</v>
      </c>
      <c r="G399" s="97" t="s">
        <v>2558</v>
      </c>
      <c r="H399" s="97"/>
      <c r="I399" s="97"/>
      <c r="J399" s="97"/>
      <c r="K399" s="97"/>
      <c r="L399" s="97" t="s">
        <v>2558</v>
      </c>
      <c r="M399" s="97"/>
      <c r="N399" s="97"/>
    </row>
    <row r="400" ht="84.0" customHeight="1">
      <c r="A400" s="96" t="str">
        <f>HYPERLINK("http://purl.obolibrary.org/obo/OBI_0001822","http://purl.obolibrary.org/obo/OBI_0001822")</f>
        <v>http://purl.obolibrary.org/obo/OBI_0001822</v>
      </c>
      <c r="B400" s="97" t="s">
        <v>2559</v>
      </c>
      <c r="C400" s="97" t="s">
        <v>2560</v>
      </c>
      <c r="D400" s="97" t="s">
        <v>1402</v>
      </c>
      <c r="E400" s="97" t="s">
        <v>22</v>
      </c>
      <c r="F400" s="97" t="s">
        <v>1499</v>
      </c>
      <c r="G400" s="97" t="s">
        <v>2561</v>
      </c>
      <c r="H400" s="97"/>
      <c r="I400" s="97"/>
      <c r="J400" s="97"/>
      <c r="K400" s="97"/>
      <c r="L400" s="97" t="s">
        <v>2561</v>
      </c>
      <c r="M400" s="97"/>
      <c r="N400" s="97"/>
    </row>
    <row r="401" ht="72.0" customHeight="1">
      <c r="A401" s="96" t="str">
        <f>HYPERLINK("http://purl.obolibrary.org/obo/OBI_0001824","http://purl.obolibrary.org/obo/OBI_0001824")</f>
        <v>http://purl.obolibrary.org/obo/OBI_0001824</v>
      </c>
      <c r="B401" s="97" t="s">
        <v>2562</v>
      </c>
      <c r="C401" s="97" t="s">
        <v>2563</v>
      </c>
      <c r="D401" s="97" t="s">
        <v>1402</v>
      </c>
      <c r="E401" s="97" t="s">
        <v>22</v>
      </c>
      <c r="F401" s="97" t="s">
        <v>1722</v>
      </c>
      <c r="G401" s="97" t="s">
        <v>2564</v>
      </c>
      <c r="H401" s="97"/>
      <c r="I401" s="97"/>
      <c r="J401" s="97"/>
      <c r="K401" s="97"/>
      <c r="L401" s="97" t="s">
        <v>2564</v>
      </c>
      <c r="M401" s="97"/>
      <c r="N401" s="97"/>
    </row>
    <row r="402" ht="72.0" customHeight="1">
      <c r="A402" s="96" t="str">
        <f>HYPERLINK("http://purl.obolibrary.org/obo/OBI_0001826","http://purl.obolibrary.org/obo/OBI_0001826")</f>
        <v>http://purl.obolibrary.org/obo/OBI_0001826</v>
      </c>
      <c r="B402" s="97" t="s">
        <v>2565</v>
      </c>
      <c r="C402" s="97" t="s">
        <v>2566</v>
      </c>
      <c r="D402" s="97" t="s">
        <v>1402</v>
      </c>
      <c r="E402" s="97" t="s">
        <v>22</v>
      </c>
      <c r="F402" s="97" t="s">
        <v>1475</v>
      </c>
      <c r="G402" s="97" t="s">
        <v>2567</v>
      </c>
      <c r="H402" s="97"/>
      <c r="I402" s="97"/>
      <c r="J402" s="97"/>
      <c r="K402" s="97"/>
      <c r="L402" s="97" t="s">
        <v>2567</v>
      </c>
      <c r="M402" s="97"/>
      <c r="N402" s="97"/>
    </row>
    <row r="403" ht="84.0" customHeight="1">
      <c r="A403" s="96" t="str">
        <f>HYPERLINK("http://purl.obolibrary.org/obo/OBI_0001827","http://purl.obolibrary.org/obo/OBI_0001827")</f>
        <v>http://purl.obolibrary.org/obo/OBI_0001827</v>
      </c>
      <c r="B403" s="97" t="s">
        <v>2568</v>
      </c>
      <c r="C403" s="97" t="s">
        <v>2569</v>
      </c>
      <c r="D403" s="97" t="s">
        <v>1402</v>
      </c>
      <c r="E403" s="97" t="s">
        <v>22</v>
      </c>
      <c r="F403" s="97" t="s">
        <v>1546</v>
      </c>
      <c r="G403" s="97" t="s">
        <v>2570</v>
      </c>
      <c r="H403" s="97"/>
      <c r="I403" s="97"/>
      <c r="J403" s="97"/>
      <c r="K403" s="97"/>
      <c r="L403" s="97" t="s">
        <v>2570</v>
      </c>
      <c r="M403" s="97"/>
      <c r="N403" s="97"/>
    </row>
    <row r="404" ht="72.0" customHeight="1">
      <c r="A404" s="96" t="str">
        <f>HYPERLINK("http://purl.obolibrary.org/obo/OBI_0001828","http://purl.obolibrary.org/obo/OBI_0001828")</f>
        <v>http://purl.obolibrary.org/obo/OBI_0001828</v>
      </c>
      <c r="B404" s="97" t="s">
        <v>2571</v>
      </c>
      <c r="C404" s="97" t="s">
        <v>2572</v>
      </c>
      <c r="D404" s="97" t="s">
        <v>1402</v>
      </c>
      <c r="E404" s="97" t="s">
        <v>22</v>
      </c>
      <c r="F404" s="97" t="s">
        <v>1546</v>
      </c>
      <c r="G404" s="97" t="s">
        <v>2573</v>
      </c>
      <c r="H404" s="97"/>
      <c r="I404" s="97"/>
      <c r="J404" s="97"/>
      <c r="K404" s="97"/>
      <c r="L404" s="97" t="s">
        <v>2573</v>
      </c>
      <c r="M404" s="97"/>
      <c r="N404" s="97"/>
    </row>
    <row r="405" ht="96.0" customHeight="1">
      <c r="A405" s="96" t="str">
        <f>HYPERLINK("http://purl.obolibrary.org/obo/OBI_0001829","http://purl.obolibrary.org/obo/OBI_0001829")</f>
        <v>http://purl.obolibrary.org/obo/OBI_0001829</v>
      </c>
      <c r="B405" s="97" t="s">
        <v>2574</v>
      </c>
      <c r="C405" s="97" t="s">
        <v>2575</v>
      </c>
      <c r="D405" s="97" t="s">
        <v>1402</v>
      </c>
      <c r="E405" s="97" t="s">
        <v>22</v>
      </c>
      <c r="F405" s="97" t="s">
        <v>1546</v>
      </c>
      <c r="G405" s="97" t="s">
        <v>2576</v>
      </c>
      <c r="H405" s="97"/>
      <c r="I405" s="97"/>
      <c r="J405" s="97"/>
      <c r="K405" s="97"/>
      <c r="L405" s="97" t="s">
        <v>2576</v>
      </c>
      <c r="M405" s="97"/>
      <c r="N405" s="97"/>
    </row>
    <row r="406" ht="72.0" customHeight="1">
      <c r="A406" s="96" t="str">
        <f>HYPERLINK("http://purl.obolibrary.org/obo/OBI_0001830","http://purl.obolibrary.org/obo/OBI_0001830")</f>
        <v>http://purl.obolibrary.org/obo/OBI_0001830</v>
      </c>
      <c r="B406" s="97" t="s">
        <v>2577</v>
      </c>
      <c r="C406" s="97" t="s">
        <v>2578</v>
      </c>
      <c r="D406" s="97" t="s">
        <v>1402</v>
      </c>
      <c r="E406" s="97" t="s">
        <v>22</v>
      </c>
      <c r="F406" s="97" t="s">
        <v>2579</v>
      </c>
      <c r="G406" s="97" t="s">
        <v>2580</v>
      </c>
      <c r="H406" s="97"/>
      <c r="I406" s="97"/>
      <c r="J406" s="97"/>
      <c r="K406" s="97"/>
      <c r="L406" s="97" t="s">
        <v>2580</v>
      </c>
      <c r="M406" s="97"/>
      <c r="N406" s="97"/>
    </row>
    <row r="407" ht="84.0" customHeight="1">
      <c r="A407" s="96" t="str">
        <f>HYPERLINK("http://purl.obolibrary.org/obo/OBI_0001831","http://purl.obolibrary.org/obo/OBI_0001831")</f>
        <v>http://purl.obolibrary.org/obo/OBI_0001831</v>
      </c>
      <c r="B407" s="97" t="s">
        <v>2581</v>
      </c>
      <c r="C407" s="97" t="s">
        <v>2582</v>
      </c>
      <c r="D407" s="97" t="s">
        <v>1402</v>
      </c>
      <c r="E407" s="97" t="s">
        <v>22</v>
      </c>
      <c r="F407" s="97" t="s">
        <v>2583</v>
      </c>
      <c r="G407" s="97" t="s">
        <v>2584</v>
      </c>
      <c r="H407" s="97"/>
      <c r="I407" s="97"/>
      <c r="J407" s="97"/>
      <c r="K407" s="97"/>
      <c r="L407" s="97" t="s">
        <v>2584</v>
      </c>
      <c r="M407" s="97"/>
      <c r="N407" s="97"/>
    </row>
    <row r="408" ht="72.0" customHeight="1">
      <c r="A408" s="96" t="str">
        <f>HYPERLINK("http://purl.obolibrary.org/obo/OBI_0001832","http://purl.obolibrary.org/obo/OBI_0001832")</f>
        <v>http://purl.obolibrary.org/obo/OBI_0001832</v>
      </c>
      <c r="B408" s="97" t="s">
        <v>2585</v>
      </c>
      <c r="C408" s="97" t="s">
        <v>2586</v>
      </c>
      <c r="D408" s="97" t="s">
        <v>1402</v>
      </c>
      <c r="E408" s="97" t="s">
        <v>22</v>
      </c>
      <c r="F408" s="97" t="s">
        <v>2587</v>
      </c>
      <c r="G408" s="97" t="s">
        <v>2588</v>
      </c>
      <c r="H408" s="97"/>
      <c r="I408" s="97"/>
      <c r="J408" s="97"/>
      <c r="K408" s="97"/>
      <c r="L408" s="97" t="s">
        <v>2588</v>
      </c>
      <c r="M408" s="97"/>
      <c r="N408" s="97"/>
    </row>
    <row r="409" ht="84.0" customHeight="1">
      <c r="A409" s="96" t="str">
        <f>HYPERLINK("http://purl.obolibrary.org/obo/OBI_0001833","http://purl.obolibrary.org/obo/OBI_0001833")</f>
        <v>http://purl.obolibrary.org/obo/OBI_0001833</v>
      </c>
      <c r="B409" s="97" t="s">
        <v>2589</v>
      </c>
      <c r="C409" s="97" t="s">
        <v>2590</v>
      </c>
      <c r="D409" s="97" t="s">
        <v>1402</v>
      </c>
      <c r="E409" s="97" t="s">
        <v>22</v>
      </c>
      <c r="F409" s="97" t="s">
        <v>2591</v>
      </c>
      <c r="G409" s="97" t="s">
        <v>2592</v>
      </c>
      <c r="H409" s="97"/>
      <c r="I409" s="97"/>
      <c r="J409" s="97"/>
      <c r="K409" s="97"/>
      <c r="L409" s="97" t="s">
        <v>2592</v>
      </c>
      <c r="M409" s="97"/>
      <c r="N409" s="97"/>
    </row>
    <row r="410" ht="60.0" customHeight="1">
      <c r="A410" s="96" t="str">
        <f>HYPERLINK("http://purl.obolibrary.org/obo/OBI_0001835","http://purl.obolibrary.org/obo/OBI_0001835")</f>
        <v>http://purl.obolibrary.org/obo/OBI_0001835</v>
      </c>
      <c r="B410" s="97" t="s">
        <v>2593</v>
      </c>
      <c r="C410" s="97" t="s">
        <v>2594</v>
      </c>
      <c r="D410" s="97" t="s">
        <v>1402</v>
      </c>
      <c r="E410" s="97" t="s">
        <v>22</v>
      </c>
      <c r="F410" s="97" t="s">
        <v>1722</v>
      </c>
      <c r="G410" s="97" t="s">
        <v>2595</v>
      </c>
      <c r="H410" s="97"/>
      <c r="I410" s="97"/>
      <c r="J410" s="97"/>
      <c r="K410" s="97"/>
      <c r="L410" s="97" t="s">
        <v>2595</v>
      </c>
      <c r="M410" s="97"/>
      <c r="N410" s="97"/>
    </row>
    <row r="411" ht="48.0" customHeight="1">
      <c r="A411" s="96" t="str">
        <f>HYPERLINK("http://purl.obolibrary.org/obo/OBI_0001836","http://purl.obolibrary.org/obo/OBI_0001836")</f>
        <v>http://purl.obolibrary.org/obo/OBI_0001836</v>
      </c>
      <c r="B411" s="97" t="s">
        <v>2596</v>
      </c>
      <c r="C411" s="97" t="s">
        <v>2597</v>
      </c>
      <c r="D411" s="97" t="s">
        <v>1402</v>
      </c>
      <c r="E411" s="97" t="s">
        <v>22</v>
      </c>
      <c r="F411" s="97" t="s">
        <v>1555</v>
      </c>
      <c r="G411" s="97" t="s">
        <v>2598</v>
      </c>
      <c r="H411" s="97"/>
      <c r="I411" s="97"/>
      <c r="J411" s="97"/>
      <c r="K411" s="97"/>
      <c r="L411" s="97" t="s">
        <v>2598</v>
      </c>
      <c r="M411" s="97"/>
      <c r="N411" s="97"/>
    </row>
    <row r="412" ht="48.0" customHeight="1">
      <c r="A412" s="96" t="str">
        <f>HYPERLINK("http://purl.obolibrary.org/obo/OBI_0001837","http://purl.obolibrary.org/obo/OBI_0001837")</f>
        <v>http://purl.obolibrary.org/obo/OBI_0001837</v>
      </c>
      <c r="B412" s="97" t="s">
        <v>2599</v>
      </c>
      <c r="C412" s="97" t="s">
        <v>2600</v>
      </c>
      <c r="D412" s="97" t="s">
        <v>1402</v>
      </c>
      <c r="E412" s="97" t="s">
        <v>22</v>
      </c>
      <c r="F412" s="97" t="s">
        <v>1555</v>
      </c>
      <c r="G412" s="97" t="s">
        <v>2601</v>
      </c>
      <c r="H412" s="97"/>
      <c r="I412" s="97"/>
      <c r="J412" s="97"/>
      <c r="K412" s="97"/>
      <c r="L412" s="97" t="s">
        <v>2601</v>
      </c>
      <c r="M412" s="97"/>
      <c r="N412" s="97"/>
    </row>
    <row r="413" ht="60.0" customHeight="1">
      <c r="A413" s="96" t="str">
        <f>HYPERLINK("http://purl.obolibrary.org/obo/OBI_0001838","http://purl.obolibrary.org/obo/OBI_0001838")</f>
        <v>http://purl.obolibrary.org/obo/OBI_0001838</v>
      </c>
      <c r="B413" s="97" t="s">
        <v>2602</v>
      </c>
      <c r="C413" s="97" t="s">
        <v>2603</v>
      </c>
      <c r="D413" s="97" t="s">
        <v>1402</v>
      </c>
      <c r="E413" s="97" t="s">
        <v>22</v>
      </c>
      <c r="F413" s="97" t="s">
        <v>1555</v>
      </c>
      <c r="G413" s="97" t="s">
        <v>2604</v>
      </c>
      <c r="H413" s="97"/>
      <c r="I413" s="97"/>
      <c r="J413" s="97"/>
      <c r="K413" s="97"/>
      <c r="L413" s="97" t="s">
        <v>2604</v>
      </c>
      <c r="M413" s="97"/>
      <c r="N413" s="97"/>
    </row>
    <row r="414" ht="48.0" customHeight="1">
      <c r="A414" s="96" t="str">
        <f>HYPERLINK("http://purl.obolibrary.org/obo/OBI_0001839","http://purl.obolibrary.org/obo/OBI_0001839")</f>
        <v>http://purl.obolibrary.org/obo/OBI_0001839</v>
      </c>
      <c r="B414" s="97" t="s">
        <v>2605</v>
      </c>
      <c r="C414" s="97" t="s">
        <v>2606</v>
      </c>
      <c r="D414" s="97" t="s">
        <v>1402</v>
      </c>
      <c r="E414" s="97" t="s">
        <v>22</v>
      </c>
      <c r="F414" s="97" t="s">
        <v>1555</v>
      </c>
      <c r="G414" s="97" t="s">
        <v>2607</v>
      </c>
      <c r="H414" s="97"/>
      <c r="I414" s="97"/>
      <c r="J414" s="97"/>
      <c r="K414" s="97"/>
      <c r="L414" s="97" t="s">
        <v>2607</v>
      </c>
      <c r="M414" s="97"/>
      <c r="N414" s="97"/>
    </row>
    <row r="415" ht="48.0" customHeight="1">
      <c r="A415" s="96" t="str">
        <f>HYPERLINK("http://purl.obolibrary.org/obo/OBI_0001840","http://purl.obolibrary.org/obo/OBI_0001840")</f>
        <v>http://purl.obolibrary.org/obo/OBI_0001840</v>
      </c>
      <c r="B415" s="97" t="s">
        <v>2608</v>
      </c>
      <c r="C415" s="97" t="s">
        <v>2609</v>
      </c>
      <c r="D415" s="97" t="s">
        <v>1402</v>
      </c>
      <c r="E415" s="97" t="s">
        <v>22</v>
      </c>
      <c r="F415" s="97" t="s">
        <v>2610</v>
      </c>
      <c r="G415" s="97" t="s">
        <v>2611</v>
      </c>
      <c r="H415" s="97"/>
      <c r="I415" s="97"/>
      <c r="J415" s="97"/>
      <c r="K415" s="97"/>
      <c r="L415" s="97" t="s">
        <v>2611</v>
      </c>
      <c r="M415" s="97"/>
      <c r="N415" s="97"/>
    </row>
    <row r="416" ht="36.0" customHeight="1">
      <c r="A416" s="96" t="str">
        <f>HYPERLINK("http://purl.obolibrary.org/obo/OBI_0001841","http://purl.obolibrary.org/obo/OBI_0001841")</f>
        <v>http://purl.obolibrary.org/obo/OBI_0001841</v>
      </c>
      <c r="B416" s="97" t="s">
        <v>2612</v>
      </c>
      <c r="C416" s="97" t="s">
        <v>2613</v>
      </c>
      <c r="D416" s="97" t="s">
        <v>1402</v>
      </c>
      <c r="E416" s="97" t="s">
        <v>22</v>
      </c>
      <c r="F416" s="97" t="s">
        <v>1449</v>
      </c>
      <c r="G416" s="97" t="s">
        <v>2614</v>
      </c>
      <c r="H416" s="97"/>
      <c r="I416" s="97"/>
      <c r="J416" s="97"/>
      <c r="K416" s="97"/>
      <c r="L416" s="97" t="s">
        <v>2614</v>
      </c>
      <c r="M416" s="97"/>
      <c r="N416" s="97"/>
    </row>
    <row r="417" ht="48.0" customHeight="1">
      <c r="A417" s="96" t="str">
        <f>HYPERLINK("http://purl.obolibrary.org/obo/OBI_0001842","http://purl.obolibrary.org/obo/OBI_0001842")</f>
        <v>http://purl.obolibrary.org/obo/OBI_0001842</v>
      </c>
      <c r="B417" s="97" t="s">
        <v>2615</v>
      </c>
      <c r="C417" s="97" t="s">
        <v>2616</v>
      </c>
      <c r="D417" s="97" t="s">
        <v>4</v>
      </c>
      <c r="E417" s="97" t="s">
        <v>22</v>
      </c>
      <c r="F417" s="97" t="s">
        <v>1449</v>
      </c>
      <c r="G417" s="97" t="s">
        <v>2617</v>
      </c>
      <c r="H417" s="97"/>
      <c r="I417" s="97"/>
      <c r="J417" s="97"/>
      <c r="K417" s="97"/>
      <c r="L417" s="97" t="s">
        <v>2617</v>
      </c>
      <c r="M417" s="97"/>
      <c r="N417" s="97"/>
    </row>
    <row r="418" ht="48.0" customHeight="1">
      <c r="A418" s="96" t="str">
        <f>HYPERLINK("http://purl.obolibrary.org/obo/OBI_0001843","http://purl.obolibrary.org/obo/OBI_0001843")</f>
        <v>http://purl.obolibrary.org/obo/OBI_0001843</v>
      </c>
      <c r="B418" s="97" t="s">
        <v>2618</v>
      </c>
      <c r="C418" s="97" t="s">
        <v>2619</v>
      </c>
      <c r="D418" s="97" t="s">
        <v>1402</v>
      </c>
      <c r="E418" s="97" t="s">
        <v>22</v>
      </c>
      <c r="F418" s="97" t="s">
        <v>1563</v>
      </c>
      <c r="G418" s="97" t="s">
        <v>2620</v>
      </c>
      <c r="H418" s="97"/>
      <c r="I418" s="97"/>
      <c r="J418" s="97"/>
      <c r="K418" s="97"/>
      <c r="L418" s="97" t="s">
        <v>2620</v>
      </c>
      <c r="M418" s="97"/>
      <c r="N418" s="97"/>
    </row>
    <row r="419" ht="60.0" customHeight="1">
      <c r="A419" s="96" t="str">
        <f>HYPERLINK("http://purl.obolibrary.org/obo/OBI_0001844","http://purl.obolibrary.org/obo/OBI_0001844")</f>
        <v>http://purl.obolibrary.org/obo/OBI_0001844</v>
      </c>
      <c r="B419" s="97" t="s">
        <v>2621</v>
      </c>
      <c r="C419" s="97" t="s">
        <v>2622</v>
      </c>
      <c r="D419" s="97" t="s">
        <v>1402</v>
      </c>
      <c r="E419" s="97" t="s">
        <v>22</v>
      </c>
      <c r="F419" s="97" t="s">
        <v>1531</v>
      </c>
      <c r="G419" s="97" t="s">
        <v>2623</v>
      </c>
      <c r="H419" s="97"/>
      <c r="I419" s="97"/>
      <c r="J419" s="97"/>
      <c r="K419" s="97"/>
      <c r="L419" s="97" t="s">
        <v>2623</v>
      </c>
      <c r="M419" s="97"/>
      <c r="N419" s="97"/>
    </row>
    <row r="420" ht="48.0" customHeight="1">
      <c r="A420" s="96" t="str">
        <f>HYPERLINK("http://purl.obolibrary.org/obo/OBI_0001845","http://purl.obolibrary.org/obo/OBI_0001845")</f>
        <v>http://purl.obolibrary.org/obo/OBI_0001845</v>
      </c>
      <c r="B420" s="97" t="s">
        <v>2624</v>
      </c>
      <c r="C420" s="97" t="s">
        <v>2625</v>
      </c>
      <c r="D420" s="97" t="s">
        <v>1402</v>
      </c>
      <c r="E420" s="97" t="s">
        <v>22</v>
      </c>
      <c r="F420" s="97" t="s">
        <v>1563</v>
      </c>
      <c r="G420" s="97" t="s">
        <v>2626</v>
      </c>
      <c r="H420" s="97"/>
      <c r="I420" s="97"/>
      <c r="J420" s="97"/>
      <c r="K420" s="97"/>
      <c r="L420" s="97" t="s">
        <v>2626</v>
      </c>
      <c r="M420" s="97"/>
      <c r="N420" s="97"/>
    </row>
    <row r="421" ht="48.0" customHeight="1">
      <c r="A421" s="96" t="str">
        <f>HYPERLINK("http://purl.obolibrary.org/obo/OBI_0001846","http://purl.obolibrary.org/obo/OBI_0001846")</f>
        <v>http://purl.obolibrary.org/obo/OBI_0001846</v>
      </c>
      <c r="B421" s="97" t="s">
        <v>2627</v>
      </c>
      <c r="C421" s="97" t="s">
        <v>2628</v>
      </c>
      <c r="D421" s="97" t="s">
        <v>1402</v>
      </c>
      <c r="E421" s="97" t="s">
        <v>22</v>
      </c>
      <c r="F421" s="97" t="s">
        <v>1563</v>
      </c>
      <c r="G421" s="97" t="s">
        <v>2629</v>
      </c>
      <c r="H421" s="97"/>
      <c r="I421" s="97"/>
      <c r="J421" s="97"/>
      <c r="K421" s="97"/>
      <c r="L421" s="97" t="s">
        <v>2629</v>
      </c>
      <c r="M421" s="97"/>
      <c r="N421" s="97"/>
    </row>
    <row r="422" ht="48.0" customHeight="1">
      <c r="A422" s="96" t="str">
        <f>HYPERLINK("http://purl.obolibrary.org/obo/OBI_0001976","http://purl.obolibrary.org/obo/OBI_0001976")</f>
        <v>http://purl.obolibrary.org/obo/OBI_0001976</v>
      </c>
      <c r="B422" s="97" t="s">
        <v>2630</v>
      </c>
      <c r="C422" s="97" t="s">
        <v>2631</v>
      </c>
      <c r="D422" s="97" t="s">
        <v>4</v>
      </c>
      <c r="E422" s="97" t="s">
        <v>1309</v>
      </c>
      <c r="F422" s="97" t="s">
        <v>19</v>
      </c>
      <c r="G422" s="97"/>
      <c r="H422" s="97"/>
      <c r="I422" s="97" t="s">
        <v>2632</v>
      </c>
      <c r="J422" s="97"/>
      <c r="K422" s="97"/>
      <c r="L422" s="97"/>
      <c r="M422" s="97"/>
      <c r="N422" s="97"/>
    </row>
    <row r="423" ht="60.0" customHeight="1">
      <c r="A423" s="96" t="str">
        <f>HYPERLINK("http://purl.obolibrary.org/obo/OBI_0001977","http://purl.obolibrary.org/obo/OBI_0001977")</f>
        <v>http://purl.obolibrary.org/obo/OBI_0001977</v>
      </c>
      <c r="B423" s="97" t="s">
        <v>1338</v>
      </c>
      <c r="C423" s="97" t="s">
        <v>2633</v>
      </c>
      <c r="D423" s="97" t="s">
        <v>4</v>
      </c>
      <c r="E423" s="97" t="s">
        <v>1309</v>
      </c>
      <c r="F423" s="97" t="s">
        <v>19</v>
      </c>
      <c r="G423" s="97" t="s">
        <v>2634</v>
      </c>
      <c r="H423" s="97"/>
      <c r="I423" s="97" t="s">
        <v>2634</v>
      </c>
      <c r="J423" s="97"/>
      <c r="K423" s="97"/>
      <c r="L423" s="97"/>
      <c r="M423" s="97" t="s">
        <v>2634</v>
      </c>
      <c r="N423" s="97"/>
    </row>
    <row r="424" ht="60.0" customHeight="1">
      <c r="A424" s="96" t="str">
        <f>HYPERLINK("http://purl.obolibrary.org/obo/OBI_0001978","http://purl.obolibrary.org/obo/OBI_0001978")</f>
        <v>http://purl.obolibrary.org/obo/OBI_0001978</v>
      </c>
      <c r="B424" s="97" t="s">
        <v>1332</v>
      </c>
      <c r="C424" s="97" t="s">
        <v>2635</v>
      </c>
      <c r="D424" s="97" t="s">
        <v>4</v>
      </c>
      <c r="E424" s="97" t="s">
        <v>1309</v>
      </c>
      <c r="F424" s="97" t="s">
        <v>67</v>
      </c>
      <c r="G424" s="97"/>
      <c r="H424" s="97"/>
      <c r="I424" s="97" t="s">
        <v>2636</v>
      </c>
      <c r="J424" s="97"/>
      <c r="K424" s="97"/>
      <c r="L424" s="97" t="s">
        <v>2637</v>
      </c>
      <c r="M424" s="97"/>
      <c r="N424" s="97" t="s">
        <v>2638</v>
      </c>
    </row>
    <row r="425" ht="60.0" customHeight="1">
      <c r="A425" s="96" t="str">
        <f>HYPERLINK("http://purl.obolibrary.org/obo/OBI_0001979","http://purl.obolibrary.org/obo/OBI_0001979")</f>
        <v>http://purl.obolibrary.org/obo/OBI_0001979</v>
      </c>
      <c r="B425" s="97" t="s">
        <v>2110</v>
      </c>
      <c r="C425" s="97" t="s">
        <v>2639</v>
      </c>
      <c r="D425" s="97" t="s">
        <v>4</v>
      </c>
      <c r="E425" s="97" t="s">
        <v>1309</v>
      </c>
      <c r="F425" s="97" t="s">
        <v>779</v>
      </c>
      <c r="G425" s="97"/>
      <c r="H425" s="97"/>
      <c r="I425" s="97"/>
      <c r="J425" s="97"/>
      <c r="K425" s="97"/>
      <c r="L425" s="97" t="s">
        <v>2113</v>
      </c>
      <c r="M425" s="97"/>
      <c r="N425" s="97"/>
    </row>
    <row r="426" ht="60.0" customHeight="1">
      <c r="A426" s="96" t="str">
        <f>HYPERLINK("http://purl.obolibrary.org/obo/OBI_0001980","http://purl.obolibrary.org/obo/OBI_0001980")</f>
        <v>http://purl.obolibrary.org/obo/OBI_0001980</v>
      </c>
      <c r="B426" s="97" t="s">
        <v>2640</v>
      </c>
      <c r="C426" s="97" t="s">
        <v>2641</v>
      </c>
      <c r="D426" s="97" t="s">
        <v>4</v>
      </c>
      <c r="E426" s="97" t="s">
        <v>1309</v>
      </c>
      <c r="F426" s="97" t="s">
        <v>19</v>
      </c>
      <c r="G426" s="97"/>
      <c r="H426" s="97"/>
      <c r="I426" s="97" t="s">
        <v>2642</v>
      </c>
      <c r="J426" s="97"/>
      <c r="K426" s="97"/>
      <c r="L426" s="97"/>
      <c r="M426" s="97" t="s">
        <v>2642</v>
      </c>
      <c r="N426" s="97"/>
    </row>
    <row r="427" ht="60.0" customHeight="1">
      <c r="A427" s="96" t="str">
        <f>HYPERLINK("http://purl.obolibrary.org/obo/OBI_0001981","http://purl.obolibrary.org/obo/OBI_0001981")</f>
        <v>http://purl.obolibrary.org/obo/OBI_0001981</v>
      </c>
      <c r="B427" s="97" t="s">
        <v>2643</v>
      </c>
      <c r="C427" s="97" t="s">
        <v>2644</v>
      </c>
      <c r="D427" s="97" t="s">
        <v>4</v>
      </c>
      <c r="E427" s="97" t="s">
        <v>1309</v>
      </c>
      <c r="F427" s="97" t="s">
        <v>2640</v>
      </c>
      <c r="G427" s="97"/>
      <c r="H427" s="97"/>
      <c r="I427" s="97"/>
      <c r="J427" s="97"/>
      <c r="K427" s="97"/>
      <c r="L427" s="97"/>
      <c r="M427" s="97"/>
      <c r="N427" s="97"/>
    </row>
    <row r="428" ht="60.0" customHeight="1">
      <c r="A428" s="96" t="str">
        <f>HYPERLINK("http://purl.obolibrary.org/obo/OBI_0001982","http://purl.obolibrary.org/obo/OBI_0001982")</f>
        <v>http://purl.obolibrary.org/obo/OBI_0001982</v>
      </c>
      <c r="B428" s="97" t="s">
        <v>2645</v>
      </c>
      <c r="C428" s="97" t="s">
        <v>2646</v>
      </c>
      <c r="D428" s="97" t="s">
        <v>4</v>
      </c>
      <c r="E428" s="97" t="s">
        <v>1309</v>
      </c>
      <c r="F428" s="97" t="s">
        <v>2640</v>
      </c>
      <c r="G428" s="97"/>
      <c r="H428" s="97"/>
      <c r="I428" s="97"/>
      <c r="J428" s="97"/>
      <c r="K428" s="97"/>
      <c r="L428" s="97"/>
      <c r="M428" s="97"/>
      <c r="N428" s="97"/>
    </row>
    <row r="429" ht="48.0" customHeight="1">
      <c r="A429" s="96" t="str">
        <f>HYPERLINK("http://purl.obolibrary.org/obo/OBI_0001983","http://purl.obolibrary.org/obo/OBI_0001983")</f>
        <v>http://purl.obolibrary.org/obo/OBI_0001983</v>
      </c>
      <c r="B429" s="97" t="s">
        <v>2647</v>
      </c>
      <c r="C429" s="97" t="s">
        <v>2648</v>
      </c>
      <c r="D429" s="97" t="s">
        <v>4</v>
      </c>
      <c r="E429" s="97" t="s">
        <v>1309</v>
      </c>
      <c r="F429" s="97" t="s">
        <v>2640</v>
      </c>
      <c r="G429" s="97"/>
      <c r="H429" s="97"/>
      <c r="I429" s="97"/>
      <c r="J429" s="97"/>
      <c r="K429" s="97"/>
      <c r="L429" s="97"/>
      <c r="M429" s="97"/>
      <c r="N429" s="97"/>
    </row>
    <row r="430" ht="60.0" customHeight="1">
      <c r="A430" s="96" t="str">
        <f>HYPERLINK("http://purl.obolibrary.org/obo/OBI_0001984","http://purl.obolibrary.org/obo/OBI_0001984")</f>
        <v>http://purl.obolibrary.org/obo/OBI_0001984</v>
      </c>
      <c r="B430" s="97" t="s">
        <v>2649</v>
      </c>
      <c r="C430" s="97" t="s">
        <v>2650</v>
      </c>
      <c r="D430" s="97" t="s">
        <v>4</v>
      </c>
      <c r="E430" s="97" t="s">
        <v>1309</v>
      </c>
      <c r="F430" s="97" t="s">
        <v>2640</v>
      </c>
      <c r="G430" s="97"/>
      <c r="H430" s="97"/>
      <c r="I430" s="97"/>
      <c r="J430" s="97"/>
      <c r="K430" s="97"/>
      <c r="L430" s="97"/>
      <c r="M430" s="97"/>
      <c r="N430" s="97"/>
    </row>
    <row r="431" ht="48.0" customHeight="1">
      <c r="A431" s="96" t="str">
        <f>HYPERLINK("http://purl.obolibrary.org/obo/OBI_0001985","http://purl.obolibrary.org/obo/OBI_0001985")</f>
        <v>http://purl.obolibrary.org/obo/OBI_0001985</v>
      </c>
      <c r="B431" s="97" t="s">
        <v>2651</v>
      </c>
      <c r="C431" s="97" t="s">
        <v>2652</v>
      </c>
      <c r="D431" s="97" t="s">
        <v>4</v>
      </c>
      <c r="E431" s="97" t="s">
        <v>1309</v>
      </c>
      <c r="F431" s="97" t="s">
        <v>67</v>
      </c>
      <c r="G431" s="97" t="s">
        <v>2653</v>
      </c>
      <c r="H431" s="97"/>
      <c r="I431" s="97" t="s">
        <v>2653</v>
      </c>
      <c r="J431" s="97"/>
      <c r="K431" s="97"/>
      <c r="L431" s="97"/>
      <c r="M431" s="97"/>
      <c r="N431" s="97"/>
    </row>
    <row r="432" ht="60.0" customHeight="1">
      <c r="A432" s="96" t="str">
        <f>HYPERLINK("http://purl.obolibrary.org/obo/OBI_0001986","http://purl.obolibrary.org/obo/OBI_0001986")</f>
        <v>http://purl.obolibrary.org/obo/OBI_0001986</v>
      </c>
      <c r="B432" s="97" t="s">
        <v>2654</v>
      </c>
      <c r="C432" s="97" t="s">
        <v>2655</v>
      </c>
      <c r="D432" s="97" t="s">
        <v>4</v>
      </c>
      <c r="E432" s="97" t="s">
        <v>1309</v>
      </c>
      <c r="F432" s="97" t="s">
        <v>2102</v>
      </c>
      <c r="G432" s="97" t="s">
        <v>2656</v>
      </c>
      <c r="H432" s="97"/>
      <c r="I432" s="97" t="s">
        <v>2656</v>
      </c>
      <c r="J432" s="97"/>
      <c r="K432" s="97"/>
      <c r="L432" s="97"/>
      <c r="M432" s="97" t="s">
        <v>2656</v>
      </c>
      <c r="N432" s="97"/>
    </row>
    <row r="433" ht="60.0" customHeight="1">
      <c r="A433" s="96" t="str">
        <f>HYPERLINK("http://purl.obolibrary.org/obo/OBI_0001987","http://purl.obolibrary.org/obo/OBI_0001987")</f>
        <v>http://purl.obolibrary.org/obo/OBI_0001987</v>
      </c>
      <c r="B433" s="97" t="s">
        <v>2657</v>
      </c>
      <c r="C433" s="97" t="s">
        <v>2658</v>
      </c>
      <c r="D433" s="97" t="s">
        <v>4</v>
      </c>
      <c r="E433" s="97" t="s">
        <v>22</v>
      </c>
      <c r="F433" s="97" t="s">
        <v>1974</v>
      </c>
      <c r="G433" s="97" t="s">
        <v>2659</v>
      </c>
      <c r="H433" s="97"/>
      <c r="I433" s="97"/>
      <c r="J433" s="97" t="s">
        <v>2659</v>
      </c>
      <c r="K433" s="97"/>
      <c r="L433" s="97"/>
      <c r="M433" s="97"/>
      <c r="N433" s="97"/>
    </row>
    <row r="434" ht="60.0" customHeight="1">
      <c r="A434" s="96" t="str">
        <f>HYPERLINK("http://purl.obolibrary.org/obo/OBI_0001988","http://purl.obolibrary.org/obo/OBI_0001988")</f>
        <v>http://purl.obolibrary.org/obo/OBI_0001988</v>
      </c>
      <c r="B434" s="97" t="s">
        <v>2660</v>
      </c>
      <c r="C434" s="97" t="s">
        <v>2661</v>
      </c>
      <c r="D434" s="97" t="s">
        <v>4</v>
      </c>
      <c r="E434" s="97" t="s">
        <v>22</v>
      </c>
      <c r="F434" s="97" t="s">
        <v>1974</v>
      </c>
      <c r="G434" s="97" t="s">
        <v>2662</v>
      </c>
      <c r="H434" s="97"/>
      <c r="I434" s="97"/>
      <c r="J434" s="97" t="s">
        <v>2662</v>
      </c>
      <c r="K434" s="97"/>
      <c r="L434" s="97"/>
      <c r="M434" s="97"/>
      <c r="N434" s="97"/>
    </row>
    <row r="435" ht="60.0" customHeight="1">
      <c r="A435" s="96" t="str">
        <f>HYPERLINK("http://purl.obolibrary.org/obo/OBI_0001989","http://purl.obolibrary.org/obo/OBI_0001989")</f>
        <v>http://purl.obolibrary.org/obo/OBI_0001989</v>
      </c>
      <c r="B435" s="97" t="s">
        <v>2002</v>
      </c>
      <c r="C435" s="97" t="s">
        <v>2663</v>
      </c>
      <c r="D435" s="97" t="s">
        <v>4</v>
      </c>
      <c r="E435" s="97" t="s">
        <v>22</v>
      </c>
      <c r="F435" s="97" t="s">
        <v>1959</v>
      </c>
      <c r="G435" s="97" t="s">
        <v>2664</v>
      </c>
      <c r="H435" s="97"/>
      <c r="I435" s="97" t="s">
        <v>2664</v>
      </c>
      <c r="J435" s="97" t="s">
        <v>2664</v>
      </c>
      <c r="K435" s="97"/>
      <c r="L435" s="97" t="s">
        <v>2664</v>
      </c>
      <c r="M435" s="97"/>
      <c r="N435" s="97"/>
    </row>
    <row r="436" ht="60.0" customHeight="1">
      <c r="A436" s="96" t="str">
        <f>HYPERLINK("http://purl.obolibrary.org/obo/OBI_0001990","http://purl.obolibrary.org/obo/OBI_0001990")</f>
        <v>http://purl.obolibrary.org/obo/OBI_0001990</v>
      </c>
      <c r="B436" s="97" t="s">
        <v>2665</v>
      </c>
      <c r="C436" s="97" t="s">
        <v>2666</v>
      </c>
      <c r="D436" s="97" t="s">
        <v>4</v>
      </c>
      <c r="E436" s="97" t="s">
        <v>22</v>
      </c>
      <c r="F436" s="97" t="s">
        <v>1974</v>
      </c>
      <c r="G436" s="97" t="s">
        <v>2667</v>
      </c>
      <c r="H436" s="97"/>
      <c r="I436" s="97"/>
      <c r="J436" s="97" t="s">
        <v>2667</v>
      </c>
      <c r="K436" s="97"/>
      <c r="L436" s="97"/>
      <c r="M436" s="97"/>
      <c r="N436" s="97"/>
    </row>
    <row r="437" ht="60.0" customHeight="1">
      <c r="A437" s="96" t="str">
        <f>HYPERLINK("http://purl.obolibrary.org/obo/OBI_0001991","http://purl.obolibrary.org/obo/OBI_0001991")</f>
        <v>http://purl.obolibrary.org/obo/OBI_0001991</v>
      </c>
      <c r="B437" s="97" t="s">
        <v>2668</v>
      </c>
      <c r="C437" s="97" t="s">
        <v>2669</v>
      </c>
      <c r="D437" s="97" t="s">
        <v>4</v>
      </c>
      <c r="E437" s="97" t="s">
        <v>22</v>
      </c>
      <c r="F437" s="97" t="s">
        <v>1974</v>
      </c>
      <c r="G437" s="97" t="s">
        <v>2670</v>
      </c>
      <c r="H437" s="97"/>
      <c r="I437" s="97"/>
      <c r="J437" s="97" t="s">
        <v>2670</v>
      </c>
      <c r="K437" s="97"/>
      <c r="L437" s="97"/>
      <c r="M437" s="97"/>
      <c r="N437" s="97"/>
    </row>
    <row r="438" ht="60.0" customHeight="1">
      <c r="A438" s="96" t="str">
        <f>HYPERLINK("http://purl.obolibrary.org/obo/OBI_0001992","http://purl.obolibrary.org/obo/OBI_0001992")</f>
        <v>http://purl.obolibrary.org/obo/OBI_0001992</v>
      </c>
      <c r="B438" s="97" t="s">
        <v>2063</v>
      </c>
      <c r="C438" s="97" t="s">
        <v>2671</v>
      </c>
      <c r="D438" s="97" t="s">
        <v>4</v>
      </c>
      <c r="E438" s="97" t="s">
        <v>22</v>
      </c>
      <c r="F438" s="97" t="s">
        <v>1974</v>
      </c>
      <c r="G438" s="97" t="s">
        <v>2672</v>
      </c>
      <c r="H438" s="97"/>
      <c r="I438" s="97"/>
      <c r="J438" s="97" t="s">
        <v>2672</v>
      </c>
      <c r="K438" s="97"/>
      <c r="L438" s="97"/>
      <c r="M438" s="97"/>
      <c r="N438" s="97"/>
    </row>
    <row r="439" ht="48.0" customHeight="1">
      <c r="A439" s="96" t="str">
        <f>HYPERLINK("http://purl.obolibrary.org/obo/OBI_0001993","http://purl.obolibrary.org/obo/OBI_0001993")</f>
        <v>http://purl.obolibrary.org/obo/OBI_0001993</v>
      </c>
      <c r="B439" s="97" t="s">
        <v>2673</v>
      </c>
      <c r="C439" s="97" t="s">
        <v>2674</v>
      </c>
      <c r="D439" s="97" t="s">
        <v>4</v>
      </c>
      <c r="E439" s="97" t="s">
        <v>22</v>
      </c>
      <c r="F439" s="97" t="s">
        <v>1974</v>
      </c>
      <c r="G439" s="97" t="s">
        <v>2675</v>
      </c>
      <c r="H439" s="97"/>
      <c r="I439" s="97"/>
      <c r="J439" s="97" t="s">
        <v>2675</v>
      </c>
      <c r="K439" s="97"/>
      <c r="L439" s="97"/>
      <c r="M439" s="97"/>
      <c r="N439" s="97"/>
    </row>
    <row r="440" ht="48.0" customHeight="1">
      <c r="A440" s="96" t="str">
        <f>HYPERLINK("http://purl.obolibrary.org/obo/OBI_0001994","http://purl.obolibrary.org/obo/OBI_0001994")</f>
        <v>http://purl.obolibrary.org/obo/OBI_0001994</v>
      </c>
      <c r="B440" s="97" t="s">
        <v>2676</v>
      </c>
      <c r="C440" s="97" t="s">
        <v>2677</v>
      </c>
      <c r="D440" s="97" t="s">
        <v>4</v>
      </c>
      <c r="E440" s="97" t="s">
        <v>22</v>
      </c>
      <c r="F440" s="97" t="s">
        <v>1974</v>
      </c>
      <c r="G440" s="97" t="s">
        <v>2678</v>
      </c>
      <c r="H440" s="97"/>
      <c r="I440" s="97"/>
      <c r="J440" s="97" t="s">
        <v>2678</v>
      </c>
      <c r="K440" s="97"/>
      <c r="L440" s="97"/>
      <c r="M440" s="97"/>
      <c r="N440" s="97"/>
    </row>
    <row r="441" ht="60.0" customHeight="1">
      <c r="A441" s="96" t="str">
        <f>HYPERLINK("http://purl.obolibrary.org/obo/OBI_0001995","http://purl.obolibrary.org/obo/OBI_0001995")</f>
        <v>http://purl.obolibrary.org/obo/OBI_0001995</v>
      </c>
      <c r="B441" s="97" t="s">
        <v>2679</v>
      </c>
      <c r="C441" s="97" t="s">
        <v>2680</v>
      </c>
      <c r="D441" s="97" t="s">
        <v>1402</v>
      </c>
      <c r="E441" s="97" t="s">
        <v>22</v>
      </c>
      <c r="F441" s="97" t="s">
        <v>2273</v>
      </c>
      <c r="G441" s="97" t="s">
        <v>2681</v>
      </c>
      <c r="H441" s="97"/>
      <c r="I441" s="97"/>
      <c r="J441" s="97" t="s">
        <v>2681</v>
      </c>
      <c r="K441" s="97"/>
      <c r="L441" s="97" t="s">
        <v>2681</v>
      </c>
      <c r="M441" s="97"/>
      <c r="N441" s="97"/>
    </row>
    <row r="442" ht="48.0" customHeight="1">
      <c r="A442" s="96" t="str">
        <f>HYPERLINK("http://purl.obolibrary.org/obo/OBI_0001996","http://purl.obolibrary.org/obo/OBI_0001996")</f>
        <v>http://purl.obolibrary.org/obo/OBI_0001996</v>
      </c>
      <c r="B442" s="97" t="s">
        <v>2682</v>
      </c>
      <c r="C442" s="97" t="s">
        <v>2683</v>
      </c>
      <c r="D442" s="97" t="s">
        <v>1402</v>
      </c>
      <c r="E442" s="97" t="s">
        <v>22</v>
      </c>
      <c r="F442" s="97" t="s">
        <v>2116</v>
      </c>
      <c r="G442" s="97" t="s">
        <v>2684</v>
      </c>
      <c r="H442" s="97"/>
      <c r="I442" s="97"/>
      <c r="J442" s="97" t="s">
        <v>2684</v>
      </c>
      <c r="K442" s="97"/>
      <c r="L442" s="97" t="s">
        <v>2684</v>
      </c>
      <c r="M442" s="97"/>
      <c r="N442" s="97"/>
    </row>
    <row r="443" ht="48.0" customHeight="1">
      <c r="A443" s="96" t="str">
        <f>HYPERLINK("http://purl.obolibrary.org/obo/OBI_0001997","http://purl.obolibrary.org/obo/OBI_0001997")</f>
        <v>http://purl.obolibrary.org/obo/OBI_0001997</v>
      </c>
      <c r="B443" s="97" t="s">
        <v>2685</v>
      </c>
      <c r="C443" s="97" t="s">
        <v>2686</v>
      </c>
      <c r="D443" s="97" t="s">
        <v>4</v>
      </c>
      <c r="E443" s="97" t="s">
        <v>22</v>
      </c>
      <c r="F443" s="97" t="s">
        <v>2140</v>
      </c>
      <c r="G443" s="97" t="s">
        <v>2687</v>
      </c>
      <c r="H443" s="97"/>
      <c r="I443" s="97"/>
      <c r="J443" s="97"/>
      <c r="K443" s="97"/>
      <c r="L443" s="97" t="s">
        <v>2687</v>
      </c>
      <c r="M443" s="97"/>
      <c r="N443" s="97"/>
    </row>
    <row r="444" ht="48.0" customHeight="1">
      <c r="A444" s="96" t="str">
        <f>HYPERLINK("http://purl.obolibrary.org/obo/OBI_0001998","http://purl.obolibrary.org/obo/OBI_0001998")</f>
        <v>http://purl.obolibrary.org/obo/OBI_0001998</v>
      </c>
      <c r="B444" s="97" t="s">
        <v>2688</v>
      </c>
      <c r="C444" s="97" t="s">
        <v>2689</v>
      </c>
      <c r="D444" s="97" t="s">
        <v>4</v>
      </c>
      <c r="E444" s="97" t="s">
        <v>22</v>
      </c>
      <c r="F444" s="97" t="s">
        <v>2162</v>
      </c>
      <c r="G444" s="97" t="s">
        <v>2690</v>
      </c>
      <c r="H444" s="97"/>
      <c r="I444" s="97"/>
      <c r="J444" s="97"/>
      <c r="K444" s="97"/>
      <c r="L444" s="97" t="s">
        <v>2690</v>
      </c>
      <c r="M444" s="97"/>
      <c r="N444" s="97"/>
    </row>
    <row r="445" ht="48.0" customHeight="1">
      <c r="A445" s="96" t="str">
        <f>HYPERLINK("http://purl.obolibrary.org/obo/OBI_0001999","http://purl.obolibrary.org/obo/OBI_0001999")</f>
        <v>http://purl.obolibrary.org/obo/OBI_0001999</v>
      </c>
      <c r="B445" s="97" t="s">
        <v>1615</v>
      </c>
      <c r="C445" s="97" t="s">
        <v>2691</v>
      </c>
      <c r="D445" s="97" t="s">
        <v>4</v>
      </c>
      <c r="E445" s="97" t="s">
        <v>22</v>
      </c>
      <c r="F445" s="97" t="s">
        <v>2692</v>
      </c>
      <c r="G445" s="97" t="s">
        <v>2693</v>
      </c>
      <c r="H445" s="97"/>
      <c r="I445" s="97"/>
      <c r="J445" s="97" t="s">
        <v>2693</v>
      </c>
      <c r="K445" s="97"/>
      <c r="L445" s="97" t="s">
        <v>2693</v>
      </c>
      <c r="M445" s="97"/>
      <c r="N445" s="97"/>
    </row>
    <row r="446" ht="36.0" customHeight="1">
      <c r="A446" s="96" t="str">
        <f>HYPERLINK("http://purl.obolibrary.org/obo/OBI_0002050","http://purl.obolibrary.org/obo/OBI_0002050")</f>
        <v>http://purl.obolibrary.org/obo/OBI_0002050</v>
      </c>
      <c r="B446" s="97" t="s">
        <v>2059</v>
      </c>
      <c r="C446" s="97" t="s">
        <v>2694</v>
      </c>
      <c r="D446" s="97" t="s">
        <v>4</v>
      </c>
      <c r="E446" s="97" t="s">
        <v>22</v>
      </c>
      <c r="F446" s="97" t="s">
        <v>2695</v>
      </c>
      <c r="G446" s="97" t="s">
        <v>2696</v>
      </c>
      <c r="H446" s="97"/>
      <c r="I446" s="97"/>
      <c r="J446" s="97" t="s">
        <v>2696</v>
      </c>
      <c r="K446" s="97"/>
      <c r="L446" s="97" t="s">
        <v>2696</v>
      </c>
      <c r="M446" s="97"/>
      <c r="N446" s="97"/>
    </row>
    <row r="447" ht="48.0" customHeight="1">
      <c r="A447" s="96" t="str">
        <f>HYPERLINK("http://purl.obolibrary.org/obo/OBI_0002051","http://purl.obolibrary.org/obo/OBI_0002051")</f>
        <v>http://purl.obolibrary.org/obo/OBI_0002051</v>
      </c>
      <c r="B447" s="97" t="s">
        <v>2697</v>
      </c>
      <c r="C447" s="97" t="s">
        <v>2698</v>
      </c>
      <c r="D447" s="97" t="s">
        <v>4</v>
      </c>
      <c r="E447" s="97" t="s">
        <v>22</v>
      </c>
      <c r="F447" s="97" t="s">
        <v>2235</v>
      </c>
      <c r="G447" s="97"/>
      <c r="H447" s="97"/>
      <c r="I447" s="97" t="s">
        <v>2699</v>
      </c>
      <c r="J447" s="97"/>
      <c r="K447" s="97"/>
      <c r="L447" s="97" t="s">
        <v>2236</v>
      </c>
      <c r="M447" s="97"/>
      <c r="N447" s="97"/>
    </row>
    <row r="448" ht="60.0" customHeight="1">
      <c r="A448" s="96" t="str">
        <f>HYPERLINK("http://purl.obolibrary.org/obo/OBI_0002052","http://purl.obolibrary.org/obo/OBI_0002052")</f>
        <v>http://purl.obolibrary.org/obo/OBI_0002052</v>
      </c>
      <c r="B448" s="97" t="s">
        <v>2700</v>
      </c>
      <c r="C448" s="97" t="s">
        <v>2701</v>
      </c>
      <c r="D448" s="97" t="s">
        <v>4</v>
      </c>
      <c r="E448" s="97" t="s">
        <v>22</v>
      </c>
      <c r="F448" s="97" t="s">
        <v>2235</v>
      </c>
      <c r="G448" s="97"/>
      <c r="H448" s="97"/>
      <c r="I448" s="97" t="s">
        <v>2702</v>
      </c>
      <c r="J448" s="97"/>
      <c r="K448" s="97"/>
      <c r="L448" s="97" t="s">
        <v>2236</v>
      </c>
      <c r="M448" s="97"/>
      <c r="N448" s="97"/>
    </row>
    <row r="449" ht="48.0" customHeight="1">
      <c r="A449" s="96" t="str">
        <f>HYPERLINK("http://purl.obolibrary.org/obo/OBI_0002053","http://purl.obolibrary.org/obo/OBI_0002053")</f>
        <v>http://purl.obolibrary.org/obo/OBI_0002053</v>
      </c>
      <c r="B449" s="97" t="s">
        <v>2703</v>
      </c>
      <c r="C449" s="97" t="s">
        <v>2704</v>
      </c>
      <c r="D449" s="97" t="s">
        <v>4</v>
      </c>
      <c r="E449" s="97" t="s">
        <v>22</v>
      </c>
      <c r="F449" s="97" t="s">
        <v>2140</v>
      </c>
      <c r="G449" s="97" t="s">
        <v>2705</v>
      </c>
      <c r="H449" s="97"/>
      <c r="I449" s="97"/>
      <c r="J449" s="97"/>
      <c r="K449" s="97"/>
      <c r="L449" s="97" t="s">
        <v>2705</v>
      </c>
      <c r="M449" s="97"/>
      <c r="N449" s="97"/>
    </row>
    <row r="450" ht="36.0" customHeight="1">
      <c r="A450" s="96" t="str">
        <f>HYPERLINK("http://purl.obolibrary.org/obo/OBI_0002054","http://purl.obolibrary.org/obo/OBI_0002054")</f>
        <v>http://purl.obolibrary.org/obo/OBI_0002054</v>
      </c>
      <c r="B450" s="97" t="s">
        <v>2706</v>
      </c>
      <c r="C450" s="97" t="s">
        <v>2707</v>
      </c>
      <c r="D450" s="97" t="s">
        <v>4</v>
      </c>
      <c r="E450" s="97" t="s">
        <v>22</v>
      </c>
      <c r="F450" s="97" t="s">
        <v>2116</v>
      </c>
      <c r="G450" s="97" t="s">
        <v>2708</v>
      </c>
      <c r="H450" s="97"/>
      <c r="I450" s="97"/>
      <c r="J450" s="97" t="s">
        <v>2708</v>
      </c>
      <c r="K450" s="97"/>
      <c r="L450" s="97" t="s">
        <v>2708</v>
      </c>
      <c r="M450" s="97"/>
      <c r="N450" s="97"/>
    </row>
    <row r="451" ht="48.0" customHeight="1">
      <c r="A451" s="96" t="str">
        <f>HYPERLINK("http://purl.obolibrary.org/obo/OBI_0002055","http://purl.obolibrary.org/obo/OBI_0002055")</f>
        <v>http://purl.obolibrary.org/obo/OBI_0002055</v>
      </c>
      <c r="B451" s="97" t="s">
        <v>1535</v>
      </c>
      <c r="C451" s="97" t="s">
        <v>2709</v>
      </c>
      <c r="D451" s="97" t="s">
        <v>4</v>
      </c>
      <c r="E451" s="97" t="s">
        <v>22</v>
      </c>
      <c r="F451" s="97" t="s">
        <v>2710</v>
      </c>
      <c r="G451" s="97" t="s">
        <v>2711</v>
      </c>
      <c r="H451" s="97"/>
      <c r="I451" s="97"/>
      <c r="J451" s="97" t="s">
        <v>2711</v>
      </c>
      <c r="K451" s="97"/>
      <c r="L451" s="97"/>
      <c r="M451" s="97"/>
      <c r="N451" s="97"/>
    </row>
    <row r="452" ht="48.0" customHeight="1">
      <c r="A452" s="96" t="str">
        <f>HYPERLINK("http://purl.obolibrary.org/obo/OBI_0002056","http://purl.obolibrary.org/obo/OBI_0002056")</f>
        <v>http://purl.obolibrary.org/obo/OBI_0002056</v>
      </c>
      <c r="B452" s="97" t="s">
        <v>2712</v>
      </c>
      <c r="C452" s="97" t="s">
        <v>2713</v>
      </c>
      <c r="D452" s="97" t="s">
        <v>4</v>
      </c>
      <c r="E452" s="97" t="s">
        <v>22</v>
      </c>
      <c r="F452" s="97" t="s">
        <v>1411</v>
      </c>
      <c r="G452" s="97" t="s">
        <v>2714</v>
      </c>
      <c r="H452" s="97"/>
      <c r="I452" s="97"/>
      <c r="J452" s="97" t="s">
        <v>2714</v>
      </c>
      <c r="K452" s="97"/>
      <c r="L452" s="97"/>
      <c r="M452" s="97"/>
      <c r="N452" s="97"/>
    </row>
    <row r="453" ht="36.0" customHeight="1">
      <c r="A453" s="96" t="str">
        <f>HYPERLINK("http://purl.obolibrary.org/obo/OBI_0002057","http://purl.obolibrary.org/obo/OBI_0002057")</f>
        <v>http://purl.obolibrary.org/obo/OBI_0002057</v>
      </c>
      <c r="B453" s="97" t="s">
        <v>2715</v>
      </c>
      <c r="C453" s="97" t="s">
        <v>2716</v>
      </c>
      <c r="D453" s="97" t="s">
        <v>4</v>
      </c>
      <c r="E453" s="97" t="s">
        <v>22</v>
      </c>
      <c r="F453" s="97" t="s">
        <v>1411</v>
      </c>
      <c r="G453" s="97" t="s">
        <v>2717</v>
      </c>
      <c r="H453" s="97"/>
      <c r="I453" s="97"/>
      <c r="J453" s="97" t="s">
        <v>2717</v>
      </c>
      <c r="K453" s="97"/>
      <c r="L453" s="97"/>
      <c r="M453" s="97"/>
      <c r="N453" s="97"/>
    </row>
    <row r="454" ht="48.0" customHeight="1">
      <c r="A454" s="96" t="str">
        <f>HYPERLINK("http://purl.obolibrary.org/obo/OBI_0002058","http://purl.obolibrary.org/obo/OBI_0002058")</f>
        <v>http://purl.obolibrary.org/obo/OBI_0002058</v>
      </c>
      <c r="B454" s="97" t="s">
        <v>2718</v>
      </c>
      <c r="C454" s="97" t="s">
        <v>2719</v>
      </c>
      <c r="D454" s="97" t="s">
        <v>4</v>
      </c>
      <c r="E454" s="97" t="s">
        <v>22</v>
      </c>
      <c r="F454" s="97" t="s">
        <v>1411</v>
      </c>
      <c r="G454" s="97" t="s">
        <v>2720</v>
      </c>
      <c r="H454" s="97"/>
      <c r="I454" s="97"/>
      <c r="J454" s="97" t="s">
        <v>2720</v>
      </c>
      <c r="K454" s="97"/>
      <c r="L454" s="97"/>
      <c r="M454" s="97"/>
      <c r="N454" s="97"/>
    </row>
    <row r="455" ht="60.0" customHeight="1">
      <c r="A455" s="96" t="str">
        <f>HYPERLINK("http://purl.obolibrary.org/obo/OBI_0002059","http://purl.obolibrary.org/obo/OBI_0002059")</f>
        <v>http://purl.obolibrary.org/obo/OBI_0002059</v>
      </c>
      <c r="B455" s="97" t="s">
        <v>1460</v>
      </c>
      <c r="C455" s="97" t="s">
        <v>2721</v>
      </c>
      <c r="D455" s="97" t="s">
        <v>4</v>
      </c>
      <c r="E455" s="97" t="s">
        <v>22</v>
      </c>
      <c r="F455" s="97" t="s">
        <v>2722</v>
      </c>
      <c r="G455" s="97"/>
      <c r="H455" s="97"/>
      <c r="I455" s="97"/>
      <c r="J455" s="97" t="s">
        <v>2723</v>
      </c>
      <c r="K455" s="97"/>
      <c r="L455" s="97"/>
      <c r="M455" s="97"/>
      <c r="N455" s="97"/>
    </row>
    <row r="456" ht="48.0" customHeight="1">
      <c r="A456" s="96" t="str">
        <f>HYPERLINK("http://purl.obolibrary.org/obo/OBI_0002060","http://purl.obolibrary.org/obo/OBI_0002060")</f>
        <v>http://purl.obolibrary.org/obo/OBI_0002060</v>
      </c>
      <c r="B456" s="97" t="s">
        <v>2724</v>
      </c>
      <c r="C456" s="97" t="s">
        <v>2725</v>
      </c>
      <c r="D456" s="97" t="s">
        <v>4</v>
      </c>
      <c r="E456" s="97" t="s">
        <v>22</v>
      </c>
      <c r="F456" s="97" t="s">
        <v>2712</v>
      </c>
      <c r="G456" s="97" t="s">
        <v>2726</v>
      </c>
      <c r="H456" s="97"/>
      <c r="I456" s="97"/>
      <c r="J456" s="97"/>
      <c r="K456" s="97"/>
      <c r="L456" s="97" t="s">
        <v>2726</v>
      </c>
      <c r="M456" s="97"/>
      <c r="N456" s="97"/>
    </row>
    <row r="457" ht="36.0" customHeight="1">
      <c r="A457" s="96" t="str">
        <f>HYPERLINK("http://purl.obolibrary.org/obo/OBI_0002061","http://purl.obolibrary.org/obo/OBI_0002061")</f>
        <v>http://purl.obolibrary.org/obo/OBI_0002061</v>
      </c>
      <c r="B457" s="97" t="s">
        <v>2727</v>
      </c>
      <c r="C457" s="97" t="s">
        <v>2728</v>
      </c>
      <c r="D457" s="97" t="s">
        <v>4</v>
      </c>
      <c r="E457" s="97" t="s">
        <v>22</v>
      </c>
      <c r="F457" s="97" t="s">
        <v>2402</v>
      </c>
      <c r="G457" s="97" t="s">
        <v>2729</v>
      </c>
      <c r="H457" s="97"/>
      <c r="I457" s="97"/>
      <c r="J457" s="97"/>
      <c r="K457" s="97"/>
      <c r="L457" s="97" t="s">
        <v>2729</v>
      </c>
      <c r="M457" s="97"/>
      <c r="N457" s="97"/>
    </row>
    <row r="458" ht="48.0" customHeight="1">
      <c r="A458" s="96" t="str">
        <f>HYPERLINK("http://purl.obolibrary.org/obo/OBI_0002062","http://purl.obolibrary.org/obo/OBI_0002062")</f>
        <v>http://purl.obolibrary.org/obo/OBI_0002062</v>
      </c>
      <c r="B458" s="97" t="s">
        <v>2730</v>
      </c>
      <c r="C458" s="97" t="s">
        <v>2731</v>
      </c>
      <c r="D458" s="97" t="s">
        <v>4</v>
      </c>
      <c r="E458" s="97" t="s">
        <v>22</v>
      </c>
      <c r="F458" s="97" t="s">
        <v>1748</v>
      </c>
      <c r="G458" s="97" t="s">
        <v>2732</v>
      </c>
      <c r="H458" s="97"/>
      <c r="I458" s="97"/>
      <c r="J458" s="97"/>
      <c r="K458" s="97"/>
      <c r="L458" s="97" t="s">
        <v>2732</v>
      </c>
      <c r="M458" s="97"/>
      <c r="N458" s="97"/>
    </row>
    <row r="459" ht="48.0" customHeight="1">
      <c r="A459" s="96" t="str">
        <f>HYPERLINK("http://purl.obolibrary.org/obo/OBI_0002063","http://purl.obolibrary.org/obo/OBI_0002063")</f>
        <v>http://purl.obolibrary.org/obo/OBI_0002063</v>
      </c>
      <c r="B459" s="97" t="s">
        <v>2733</v>
      </c>
      <c r="C459" s="97" t="s">
        <v>2734</v>
      </c>
      <c r="D459" s="97" t="s">
        <v>4</v>
      </c>
      <c r="E459" s="97" t="s">
        <v>22</v>
      </c>
      <c r="F459" s="97" t="s">
        <v>2189</v>
      </c>
      <c r="G459" s="97" t="s">
        <v>2735</v>
      </c>
      <c r="H459" s="97"/>
      <c r="I459" s="97"/>
      <c r="J459" s="97"/>
      <c r="K459" s="97"/>
      <c r="L459" s="97" t="s">
        <v>2735</v>
      </c>
      <c r="M459" s="97"/>
      <c r="N459" s="97"/>
    </row>
    <row r="460" ht="60.0" customHeight="1">
      <c r="A460" s="96" t="str">
        <f>HYPERLINK("http://purl.obolibrary.org/obo/OBI_0002064","http://purl.obolibrary.org/obo/OBI_0002064")</f>
        <v>http://purl.obolibrary.org/obo/OBI_0002064</v>
      </c>
      <c r="B460" s="97" t="s">
        <v>2736</v>
      </c>
      <c r="C460" s="97" t="s">
        <v>2737</v>
      </c>
      <c r="D460" s="97" t="s">
        <v>4</v>
      </c>
      <c r="E460" s="97" t="s">
        <v>22</v>
      </c>
      <c r="F460" s="97" t="s">
        <v>2189</v>
      </c>
      <c r="G460" s="97" t="s">
        <v>2738</v>
      </c>
      <c r="H460" s="97"/>
      <c r="I460" s="97"/>
      <c r="J460" s="97"/>
      <c r="K460" s="97"/>
      <c r="L460" s="97" t="s">
        <v>2738</v>
      </c>
      <c r="M460" s="97"/>
      <c r="N460" s="97"/>
    </row>
    <row r="461" ht="48.0" customHeight="1">
      <c r="A461" s="96" t="str">
        <f>HYPERLINK("http://purl.obolibrary.org/obo/OBI_0002065","http://purl.obolibrary.org/obo/OBI_0002065")</f>
        <v>http://purl.obolibrary.org/obo/OBI_0002065</v>
      </c>
      <c r="B461" s="97" t="s">
        <v>2739</v>
      </c>
      <c r="C461" s="97" t="s">
        <v>2740</v>
      </c>
      <c r="D461" s="97" t="s">
        <v>4</v>
      </c>
      <c r="E461" s="97" t="s">
        <v>22</v>
      </c>
      <c r="F461" s="97" t="s">
        <v>1630</v>
      </c>
      <c r="G461" s="97" t="s">
        <v>2741</v>
      </c>
      <c r="H461" s="97"/>
      <c r="I461" s="97"/>
      <c r="J461" s="97"/>
      <c r="K461" s="97"/>
      <c r="L461" s="97" t="s">
        <v>2741</v>
      </c>
      <c r="M461" s="97"/>
      <c r="N461" s="97"/>
    </row>
    <row r="462" ht="48.0" customHeight="1">
      <c r="A462" s="96" t="str">
        <f>HYPERLINK("http://purl.obolibrary.org/obo/OBI_0002066","http://purl.obolibrary.org/obo/OBI_0002066")</f>
        <v>http://purl.obolibrary.org/obo/OBI_0002066</v>
      </c>
      <c r="B462" s="97" t="s">
        <v>2742</v>
      </c>
      <c r="C462" s="97" t="s">
        <v>2743</v>
      </c>
      <c r="D462" s="97" t="s">
        <v>4</v>
      </c>
      <c r="E462" s="97" t="s">
        <v>22</v>
      </c>
      <c r="F462" s="97" t="s">
        <v>1630</v>
      </c>
      <c r="G462" s="97" t="s">
        <v>2744</v>
      </c>
      <c r="H462" s="97"/>
      <c r="I462" s="97"/>
      <c r="J462" s="97"/>
      <c r="K462" s="97"/>
      <c r="L462" s="97" t="s">
        <v>2744</v>
      </c>
      <c r="M462" s="97"/>
      <c r="N462" s="97"/>
    </row>
    <row r="463" ht="48.0" customHeight="1">
      <c r="A463" s="96" t="str">
        <f>HYPERLINK("http://purl.obolibrary.org/obo/OBI_0002067","http://purl.obolibrary.org/obo/OBI_0002067")</f>
        <v>http://purl.obolibrary.org/obo/OBI_0002067</v>
      </c>
      <c r="B463" s="97" t="s">
        <v>2745</v>
      </c>
      <c r="C463" s="97" t="s">
        <v>2746</v>
      </c>
      <c r="D463" s="97" t="s">
        <v>4</v>
      </c>
      <c r="E463" s="97" t="s">
        <v>22</v>
      </c>
      <c r="F463" s="97" t="s">
        <v>2715</v>
      </c>
      <c r="G463" s="97" t="s">
        <v>2747</v>
      </c>
      <c r="H463" s="97"/>
      <c r="I463" s="97"/>
      <c r="J463" s="97"/>
      <c r="K463" s="97"/>
      <c r="L463" s="97" t="s">
        <v>2747</v>
      </c>
      <c r="M463" s="97"/>
      <c r="N463" s="97"/>
    </row>
    <row r="464" ht="36.0" customHeight="1">
      <c r="A464" s="96" t="str">
        <f>HYPERLINK("http://purl.obolibrary.org/obo/OBI_0002068","http://purl.obolibrary.org/obo/OBI_0002068")</f>
        <v>http://purl.obolibrary.org/obo/OBI_0002068</v>
      </c>
      <c r="B464" s="97" t="s">
        <v>2748</v>
      </c>
      <c r="C464" s="97" t="s">
        <v>2749</v>
      </c>
      <c r="D464" s="97" t="s">
        <v>4</v>
      </c>
      <c r="E464" s="97" t="s">
        <v>22</v>
      </c>
      <c r="F464" s="97" t="s">
        <v>2718</v>
      </c>
      <c r="G464" s="97" t="s">
        <v>2750</v>
      </c>
      <c r="H464" s="97"/>
      <c r="I464" s="97"/>
      <c r="J464" s="97"/>
      <c r="K464" s="97"/>
      <c r="L464" s="97" t="s">
        <v>2750</v>
      </c>
      <c r="M464" s="97"/>
      <c r="N464" s="97"/>
    </row>
    <row r="465" ht="48.0" customHeight="1">
      <c r="A465" s="96" t="str">
        <f>HYPERLINK("http://purl.obolibrary.org/obo/OBI_0002069","http://purl.obolibrary.org/obo/OBI_0002069")</f>
        <v>http://purl.obolibrary.org/obo/OBI_0002069</v>
      </c>
      <c r="B465" s="97" t="s">
        <v>2751</v>
      </c>
      <c r="C465" s="97" t="s">
        <v>2752</v>
      </c>
      <c r="D465" s="97" t="s">
        <v>4</v>
      </c>
      <c r="E465" s="97" t="s">
        <v>22</v>
      </c>
      <c r="F465" s="97" t="s">
        <v>1428</v>
      </c>
      <c r="G465" s="97" t="s">
        <v>2753</v>
      </c>
      <c r="H465" s="97"/>
      <c r="I465" s="97"/>
      <c r="J465" s="97"/>
      <c r="K465" s="97"/>
      <c r="L465" s="97" t="s">
        <v>2753</v>
      </c>
      <c r="M465" s="97"/>
      <c r="N465" s="97"/>
    </row>
    <row r="466" ht="60.0" customHeight="1">
      <c r="A466" s="96" t="str">
        <f>HYPERLINK("http://purl.obolibrary.org/obo/OBI_0002070","http://purl.obolibrary.org/obo/OBI_0002070")</f>
        <v>http://purl.obolibrary.org/obo/OBI_0002070</v>
      </c>
      <c r="B466" s="97" t="s">
        <v>2754</v>
      </c>
      <c r="C466" s="97" t="s">
        <v>2755</v>
      </c>
      <c r="D466" s="97" t="s">
        <v>4</v>
      </c>
      <c r="E466" s="97" t="s">
        <v>22</v>
      </c>
      <c r="F466" s="97" t="s">
        <v>2756</v>
      </c>
      <c r="G466" s="97"/>
      <c r="H466" s="97"/>
      <c r="I466" s="97"/>
      <c r="J466" s="97"/>
      <c r="K466" s="97"/>
      <c r="L466" s="97"/>
      <c r="M466" s="97"/>
      <c r="N466" s="97"/>
    </row>
    <row r="467" ht="48.0" customHeight="1">
      <c r="A467" s="96" t="str">
        <f>HYPERLINK("http://purl.obolibrary.org/obo/OBI_0002071","http://purl.obolibrary.org/obo/OBI_0002071")</f>
        <v>http://purl.obolibrary.org/obo/OBI_0002071</v>
      </c>
      <c r="B467" s="97" t="s">
        <v>2757</v>
      </c>
      <c r="C467" s="97" t="s">
        <v>2758</v>
      </c>
      <c r="D467" s="97" t="s">
        <v>4</v>
      </c>
      <c r="E467" s="97" t="s">
        <v>22</v>
      </c>
      <c r="F467" s="97" t="s">
        <v>2756</v>
      </c>
      <c r="G467" s="97"/>
      <c r="H467" s="97"/>
      <c r="I467" s="97"/>
      <c r="J467" s="97"/>
      <c r="K467" s="97"/>
      <c r="L467" s="97"/>
      <c r="M467" s="97"/>
      <c r="N467" s="97"/>
    </row>
    <row r="468" ht="48.0" customHeight="1">
      <c r="A468" s="96" t="str">
        <f>HYPERLINK("http://purl.obolibrary.org/obo/OBI_0002072","http://purl.obolibrary.org/obo/OBI_0002072")</f>
        <v>http://purl.obolibrary.org/obo/OBI_0002072</v>
      </c>
      <c r="B468" s="97" t="s">
        <v>1968</v>
      </c>
      <c r="C468" s="97" t="s">
        <v>2759</v>
      </c>
      <c r="D468" s="97" t="s">
        <v>4</v>
      </c>
      <c r="E468" s="97" t="s">
        <v>22</v>
      </c>
      <c r="F468" s="97" t="s">
        <v>2760</v>
      </c>
      <c r="G468" s="97"/>
      <c r="H468" s="97"/>
      <c r="I468" s="97"/>
      <c r="J468" s="97"/>
      <c r="K468" s="97"/>
      <c r="L468" s="97"/>
      <c r="M468" s="97"/>
      <c r="N468" s="97"/>
    </row>
    <row r="469" ht="60.0" customHeight="1">
      <c r="A469" s="96" t="str">
        <f>HYPERLINK("http://purl.obolibrary.org/obo/OBI_0002073","http://purl.obolibrary.org/obo/OBI_0002073")</f>
        <v>http://purl.obolibrary.org/obo/OBI_0002073</v>
      </c>
      <c r="B469" s="97" t="s">
        <v>1837</v>
      </c>
      <c r="C469" s="97" t="s">
        <v>2761</v>
      </c>
      <c r="D469" s="97" t="s">
        <v>4</v>
      </c>
      <c r="E469" s="97" t="s">
        <v>22</v>
      </c>
      <c r="F469" s="97" t="s">
        <v>1634</v>
      </c>
      <c r="G469" s="97" t="s">
        <v>2762</v>
      </c>
      <c r="H469" s="97"/>
      <c r="I469" s="97"/>
      <c r="J469" s="97"/>
      <c r="K469" s="97"/>
      <c r="L469" s="97" t="s">
        <v>2762</v>
      </c>
      <c r="M469" s="97"/>
      <c r="N469" s="97"/>
    </row>
    <row r="470" ht="60.0" customHeight="1">
      <c r="A470" s="96" t="str">
        <f>HYPERLINK("http://purl.obolibrary.org/obo/OBI_0002074","http://purl.obolibrary.org/obo/OBI_0002074")</f>
        <v>http://purl.obolibrary.org/obo/OBI_0002074</v>
      </c>
      <c r="B470" s="97" t="s">
        <v>2763</v>
      </c>
      <c r="C470" s="97" t="s">
        <v>2764</v>
      </c>
      <c r="D470" s="97" t="s">
        <v>2221</v>
      </c>
      <c r="E470" s="97" t="s">
        <v>22</v>
      </c>
      <c r="F470" s="97" t="s">
        <v>1535</v>
      </c>
      <c r="G470" s="97"/>
      <c r="H470" s="97"/>
      <c r="I470" s="97"/>
      <c r="J470" s="97"/>
      <c r="K470" s="97"/>
      <c r="L470" s="97"/>
      <c r="M470" s="97"/>
      <c r="N470" s="97"/>
    </row>
    <row r="471" ht="84.0" customHeight="1">
      <c r="A471" s="96" t="str">
        <f>HYPERLINK("http://purl.obolibrary.org/obo/OBI_0002075","http://purl.obolibrary.org/obo/OBI_0002075")</f>
        <v>http://purl.obolibrary.org/obo/OBI_0002075</v>
      </c>
      <c r="B471" s="97" t="s">
        <v>2765</v>
      </c>
      <c r="C471" s="97" t="s">
        <v>2766</v>
      </c>
      <c r="D471" s="97" t="s">
        <v>4</v>
      </c>
      <c r="E471" s="97" t="s">
        <v>22</v>
      </c>
      <c r="F471" s="97" t="s">
        <v>2767</v>
      </c>
      <c r="G471" s="97" t="s">
        <v>2768</v>
      </c>
      <c r="H471" s="97"/>
      <c r="I471" s="97"/>
      <c r="J471" s="97" t="s">
        <v>2768</v>
      </c>
      <c r="K471" s="97"/>
      <c r="L471" s="97"/>
      <c r="M471" s="97"/>
      <c r="N471" s="97"/>
    </row>
    <row r="472" ht="60.0" customHeight="1">
      <c r="A472" s="96" t="str">
        <f>HYPERLINK("http://purl.obolibrary.org/obo/OBI_0600031","http://purl.obolibrary.org/obo/OBI_0600031")</f>
        <v>http://purl.obolibrary.org/obo/OBI_0600031</v>
      </c>
      <c r="B472" s="97" t="s">
        <v>2769</v>
      </c>
      <c r="C472" s="97" t="s">
        <v>2770</v>
      </c>
      <c r="D472" s="97" t="s">
        <v>4</v>
      </c>
      <c r="E472" s="97" t="s">
        <v>1309</v>
      </c>
      <c r="F472" s="97" t="s">
        <v>1338</v>
      </c>
      <c r="G472" s="97"/>
      <c r="H472" s="97"/>
      <c r="I472" s="97" t="s">
        <v>2771</v>
      </c>
      <c r="J472" s="97"/>
      <c r="K472" s="97"/>
      <c r="L472" s="97"/>
      <c r="M472" s="97" t="s">
        <v>2772</v>
      </c>
      <c r="N472" s="97"/>
    </row>
    <row r="473" ht="48.0" customHeight="1">
      <c r="A473" s="96" t="str">
        <f>HYPERLINK("http://purl.obolibrary.org/obo/OBI_0600045","http://purl.obolibrary.org/obo/OBI_0600045")</f>
        <v>http://purl.obolibrary.org/obo/OBI_0600045</v>
      </c>
      <c r="B473" s="97" t="s">
        <v>1310</v>
      </c>
      <c r="C473" s="97" t="s">
        <v>2773</v>
      </c>
      <c r="D473" s="97" t="s">
        <v>4</v>
      </c>
      <c r="E473" s="97" t="s">
        <v>1309</v>
      </c>
      <c r="F473" s="97" t="s">
        <v>19</v>
      </c>
      <c r="G473" s="97" t="s">
        <v>2774</v>
      </c>
      <c r="H473" s="97"/>
      <c r="I473" s="97"/>
      <c r="J473" s="97" t="s">
        <v>2774</v>
      </c>
      <c r="K473" s="97"/>
      <c r="L473" s="97"/>
      <c r="M473" s="97"/>
      <c r="N473" s="97"/>
    </row>
    <row r="474" ht="60.0" customHeight="1">
      <c r="A474" s="96" t="str">
        <f>HYPERLINK("http://purl.obolibrary.org/obo/OBI_1110013","http://purl.obolibrary.org/obo/OBI_1110013")</f>
        <v>http://purl.obolibrary.org/obo/OBI_1110013</v>
      </c>
      <c r="B474" s="97" t="s">
        <v>2775</v>
      </c>
      <c r="C474" s="97" t="s">
        <v>2776</v>
      </c>
      <c r="D474" s="97" t="s">
        <v>1402</v>
      </c>
      <c r="E474" s="97" t="s">
        <v>22</v>
      </c>
      <c r="F474" s="97" t="s">
        <v>1432</v>
      </c>
      <c r="G474" s="97" t="s">
        <v>2777</v>
      </c>
      <c r="H474" s="97"/>
      <c r="I474" s="97"/>
      <c r="J474" s="97"/>
      <c r="K474" s="97"/>
      <c r="L474" s="97" t="s">
        <v>2777</v>
      </c>
      <c r="M474" s="97"/>
      <c r="N474" s="97"/>
    </row>
    <row r="475" ht="48.0" customHeight="1">
      <c r="A475" s="96" t="str">
        <f>HYPERLINK("http://purl.obolibrary.org/obo/OBI_1110037","http://purl.obolibrary.org/obo/OBI_1110037")</f>
        <v>http://purl.obolibrary.org/obo/OBI_1110037</v>
      </c>
      <c r="B475" s="97" t="s">
        <v>2710</v>
      </c>
      <c r="C475" s="97" t="s">
        <v>2778</v>
      </c>
      <c r="D475" s="97" t="s">
        <v>4</v>
      </c>
      <c r="E475" s="97" t="s">
        <v>22</v>
      </c>
      <c r="F475" s="97" t="s">
        <v>2779</v>
      </c>
      <c r="G475" s="97" t="s">
        <v>2780</v>
      </c>
      <c r="H475" s="97"/>
      <c r="I475" s="97"/>
      <c r="J475" s="97" t="s">
        <v>2780</v>
      </c>
      <c r="K475" s="97"/>
      <c r="L475" s="97"/>
      <c r="M475" s="97"/>
      <c r="N475" s="97"/>
    </row>
    <row r="476" ht="48.0" customHeight="1">
      <c r="A476" s="96" t="str">
        <f>HYPERLINK("http://purl.obolibrary.org/obo/OBI_1110059","http://purl.obolibrary.org/obo/OBI_1110059")</f>
        <v>http://purl.obolibrary.org/obo/OBI_1110059</v>
      </c>
      <c r="B476" s="97" t="s">
        <v>2781</v>
      </c>
      <c r="C476" s="97" t="s">
        <v>2782</v>
      </c>
      <c r="D476" s="97" t="s">
        <v>1402</v>
      </c>
      <c r="E476" s="97" t="s">
        <v>22</v>
      </c>
      <c r="F476" s="97" t="s">
        <v>1626</v>
      </c>
      <c r="G476" s="97" t="s">
        <v>2783</v>
      </c>
      <c r="H476" s="97"/>
      <c r="I476" s="97"/>
      <c r="J476" s="97"/>
      <c r="K476" s="97"/>
      <c r="L476" s="97" t="s">
        <v>2783</v>
      </c>
      <c r="M476" s="97"/>
      <c r="N476" s="97"/>
    </row>
    <row r="477" ht="36.0" customHeight="1">
      <c r="A477" s="96" t="str">
        <f>HYPERLINK("http://purl.obolibrary.org/obo/OBI_1110124","http://purl.obolibrary.org/obo/OBI_1110124")</f>
        <v>http://purl.obolibrary.org/obo/OBI_1110124</v>
      </c>
      <c r="B477" s="97" t="s">
        <v>2784</v>
      </c>
      <c r="C477" s="97" t="s">
        <v>2785</v>
      </c>
      <c r="D477" s="97" t="s">
        <v>1402</v>
      </c>
      <c r="E477" s="97" t="s">
        <v>22</v>
      </c>
      <c r="F477" s="97" t="s">
        <v>2786</v>
      </c>
      <c r="G477" s="97" t="s">
        <v>2787</v>
      </c>
      <c r="H477" s="97"/>
      <c r="I477" s="97"/>
      <c r="J477" s="97" t="s">
        <v>2787</v>
      </c>
      <c r="K477" s="97"/>
      <c r="L477" s="97"/>
      <c r="M477" s="97"/>
      <c r="N477" s="97"/>
    </row>
    <row r="478" ht="84.0" customHeight="1">
      <c r="A478" s="96" t="str">
        <f>HYPERLINK("http://purl.obolibrary.org/obo/OBI_1110125","http://purl.obolibrary.org/obo/OBI_1110125")</f>
        <v>http://purl.obolibrary.org/obo/OBI_1110125</v>
      </c>
      <c r="B478" s="97" t="s">
        <v>1833</v>
      </c>
      <c r="C478" s="97" t="s">
        <v>2788</v>
      </c>
      <c r="D478" s="97" t="s">
        <v>4</v>
      </c>
      <c r="E478" s="97" t="s">
        <v>22</v>
      </c>
      <c r="F478" s="97" t="s">
        <v>2765</v>
      </c>
      <c r="G478" s="97" t="s">
        <v>2789</v>
      </c>
      <c r="H478" s="97"/>
      <c r="I478" s="97" t="s">
        <v>2789</v>
      </c>
      <c r="J478" s="97" t="s">
        <v>2789</v>
      </c>
      <c r="K478" s="97"/>
      <c r="L478" s="97" t="s">
        <v>2789</v>
      </c>
      <c r="M478" s="97"/>
      <c r="N478" s="97"/>
    </row>
    <row r="479" ht="48.0" customHeight="1">
      <c r="A479" s="96" t="str">
        <f>HYPERLINK("http://purl.obolibrary.org/obo/OBI_1110126","http://purl.obolibrary.org/obo/OBI_1110126")</f>
        <v>http://purl.obolibrary.org/obo/OBI_1110126</v>
      </c>
      <c r="B479" s="97" t="s">
        <v>2760</v>
      </c>
      <c r="C479" s="97" t="s">
        <v>2790</v>
      </c>
      <c r="D479" s="97" t="s">
        <v>4</v>
      </c>
      <c r="E479" s="97" t="s">
        <v>22</v>
      </c>
      <c r="F479" s="97" t="s">
        <v>2765</v>
      </c>
      <c r="G479" s="97" t="s">
        <v>2791</v>
      </c>
      <c r="H479" s="97"/>
      <c r="I479" s="97"/>
      <c r="J479" s="97" t="s">
        <v>2791</v>
      </c>
      <c r="K479" s="97"/>
      <c r="L479" s="97"/>
      <c r="M479" s="97"/>
      <c r="N479" s="97"/>
    </row>
    <row r="480" ht="60.0" customHeight="1">
      <c r="A480" s="96" t="str">
        <f>HYPERLINK("http://purl.obolibrary.org/obo/OBI_1110127","http://purl.obolibrary.org/obo/OBI_1110127")</f>
        <v>http://purl.obolibrary.org/obo/OBI_1110127</v>
      </c>
      <c r="B480" s="97" t="s">
        <v>2257</v>
      </c>
      <c r="C480" s="97" t="s">
        <v>2792</v>
      </c>
      <c r="D480" s="97" t="s">
        <v>4</v>
      </c>
      <c r="E480" s="97" t="s">
        <v>22</v>
      </c>
      <c r="F480" s="97" t="s">
        <v>2779</v>
      </c>
      <c r="G480" s="97" t="s">
        <v>2793</v>
      </c>
      <c r="H480" s="97"/>
      <c r="I480" s="97"/>
      <c r="J480" s="97" t="s">
        <v>2793</v>
      </c>
      <c r="K480" s="97"/>
      <c r="L480" s="97"/>
      <c r="M480" s="97"/>
      <c r="N480" s="97"/>
    </row>
    <row r="481" ht="48.0" customHeight="1">
      <c r="A481" s="96" t="str">
        <f>HYPERLINK("http://purl.obolibrary.org/obo/OBI_1110128","http://purl.obolibrary.org/obo/OBI_1110128")</f>
        <v>http://purl.obolibrary.org/obo/OBI_1110128</v>
      </c>
      <c r="B481" s="97" t="s">
        <v>2779</v>
      </c>
      <c r="C481" s="97" t="s">
        <v>2794</v>
      </c>
      <c r="D481" s="97" t="s">
        <v>4</v>
      </c>
      <c r="E481" s="97" t="s">
        <v>22</v>
      </c>
      <c r="F481" s="97" t="s">
        <v>19</v>
      </c>
      <c r="G481" s="97"/>
      <c r="H481" s="97"/>
      <c r="I481" s="97"/>
      <c r="J481" s="97"/>
      <c r="K481" s="97"/>
      <c r="L481" s="97"/>
      <c r="M481" s="97"/>
      <c r="N481" s="97"/>
    </row>
    <row r="482" ht="36.0" customHeight="1">
      <c r="A482" s="96" t="str">
        <f>HYPERLINK("http://purl.obolibrary.org/obo/OBI_1110129","http://purl.obolibrary.org/obo/OBI_1110129")</f>
        <v>http://purl.obolibrary.org/obo/OBI_1110129</v>
      </c>
      <c r="B482" s="97" t="s">
        <v>1411</v>
      </c>
      <c r="C482" s="97" t="s">
        <v>2795</v>
      </c>
      <c r="D482" s="97" t="s">
        <v>4</v>
      </c>
      <c r="E482" s="97" t="s">
        <v>22</v>
      </c>
      <c r="F482" s="97" t="s">
        <v>1535</v>
      </c>
      <c r="G482" s="97"/>
      <c r="H482" s="97"/>
      <c r="I482" s="97"/>
      <c r="J482" s="97" t="s">
        <v>2796</v>
      </c>
      <c r="K482" s="97"/>
      <c r="L482" s="97"/>
      <c r="M482" s="97"/>
      <c r="N482" s="97"/>
    </row>
    <row r="483" ht="48.0" customHeight="1">
      <c r="A483" s="96" t="str">
        <f>HYPERLINK("http://purl.obolibrary.org/obo/OBI_1110130","http://purl.obolibrary.org/obo/OBI_1110130")</f>
        <v>http://purl.obolibrary.org/obo/OBI_1110130</v>
      </c>
      <c r="B483" s="97" t="s">
        <v>1748</v>
      </c>
      <c r="C483" s="97" t="s">
        <v>2797</v>
      </c>
      <c r="D483" s="97" t="s">
        <v>4</v>
      </c>
      <c r="E483" s="97" t="s">
        <v>22</v>
      </c>
      <c r="F483" s="97" t="s">
        <v>1535</v>
      </c>
      <c r="G483" s="97" t="s">
        <v>2798</v>
      </c>
      <c r="H483" s="97"/>
      <c r="I483" s="97"/>
      <c r="J483" s="97" t="s">
        <v>2798</v>
      </c>
      <c r="K483" s="97"/>
      <c r="L483" s="97" t="s">
        <v>2798</v>
      </c>
      <c r="M483" s="97"/>
      <c r="N483" s="97"/>
    </row>
    <row r="484" ht="72.0" customHeight="1">
      <c r="A484" s="96" t="str">
        <f>HYPERLINK("http://purl.obolibrary.org/obo/OBI_1110131","http://purl.obolibrary.org/obo/OBI_1110131")</f>
        <v>http://purl.obolibrary.org/obo/OBI_1110131</v>
      </c>
      <c r="B484" s="97" t="s">
        <v>2756</v>
      </c>
      <c r="C484" s="97" t="s">
        <v>2799</v>
      </c>
      <c r="D484" s="97" t="s">
        <v>1402</v>
      </c>
      <c r="E484" s="97" t="s">
        <v>22</v>
      </c>
      <c r="F484" s="97" t="s">
        <v>1535</v>
      </c>
      <c r="G484" s="97" t="s">
        <v>2800</v>
      </c>
      <c r="H484" s="97"/>
      <c r="I484" s="97"/>
      <c r="J484" s="97" t="s">
        <v>2800</v>
      </c>
      <c r="K484" s="97"/>
      <c r="L484" s="97" t="s">
        <v>2800</v>
      </c>
      <c r="M484" s="97"/>
      <c r="N484" s="97"/>
    </row>
    <row r="485" ht="72.0" customHeight="1">
      <c r="A485" s="96" t="str">
        <f>HYPERLINK("http://purl.obolibrary.org/obo/OBI_1110150","http://purl.obolibrary.org/obo/OBI_1110150")</f>
        <v>http://purl.obolibrary.org/obo/OBI_1110150</v>
      </c>
      <c r="B485" s="97" t="s">
        <v>2801</v>
      </c>
      <c r="C485" s="97" t="s">
        <v>2802</v>
      </c>
      <c r="D485" s="97" t="s">
        <v>4</v>
      </c>
      <c r="E485" s="97" t="s">
        <v>22</v>
      </c>
      <c r="F485" s="97" t="s">
        <v>2730</v>
      </c>
      <c r="G485" s="97" t="s">
        <v>2803</v>
      </c>
      <c r="H485" s="97"/>
      <c r="I485" s="97"/>
      <c r="J485" s="97"/>
      <c r="K485" s="97"/>
      <c r="L485" s="97" t="s">
        <v>2803</v>
      </c>
      <c r="M485" s="97"/>
      <c r="N485" s="97"/>
    </row>
    <row r="486" ht="48.0" customHeight="1">
      <c r="A486" s="96" t="str">
        <f>HYPERLINK("http://purl.obolibrary.org/obo/OBI_1110151","http://purl.obolibrary.org/obo/OBI_1110151")</f>
        <v>http://purl.obolibrary.org/obo/OBI_1110151</v>
      </c>
      <c r="B486" s="97" t="s">
        <v>2804</v>
      </c>
      <c r="C486" s="97" t="s">
        <v>2805</v>
      </c>
      <c r="D486" s="97" t="s">
        <v>1402</v>
      </c>
      <c r="E486" s="97" t="s">
        <v>22</v>
      </c>
      <c r="F486" s="97" t="s">
        <v>1626</v>
      </c>
      <c r="G486" s="97" t="s">
        <v>2806</v>
      </c>
      <c r="H486" s="97"/>
      <c r="I486" s="97"/>
      <c r="J486" s="97"/>
      <c r="K486" s="97"/>
      <c r="L486" s="97" t="s">
        <v>2806</v>
      </c>
      <c r="M486" s="97"/>
      <c r="N486" s="97"/>
    </row>
    <row r="487" ht="48.0" customHeight="1">
      <c r="A487" s="96" t="str">
        <f>HYPERLINK("http://purl.obolibrary.org/obo/OBI_1110152","http://purl.obolibrary.org/obo/OBI_1110152")</f>
        <v>http://purl.obolibrary.org/obo/OBI_1110152</v>
      </c>
      <c r="B487" s="97" t="s">
        <v>2807</v>
      </c>
      <c r="C487" s="97" t="s">
        <v>2808</v>
      </c>
      <c r="D487" s="97" t="s">
        <v>1402</v>
      </c>
      <c r="E487" s="97" t="s">
        <v>22</v>
      </c>
      <c r="F487" s="97" t="s">
        <v>1432</v>
      </c>
      <c r="G487" s="97" t="s">
        <v>2809</v>
      </c>
      <c r="H487" s="97"/>
      <c r="I487" s="97"/>
      <c r="J487" s="97"/>
      <c r="K487" s="97"/>
      <c r="L487" s="97" t="s">
        <v>2809</v>
      </c>
      <c r="M487" s="97"/>
      <c r="N487" s="97"/>
    </row>
    <row r="488" ht="60.0" customHeight="1">
      <c r="A488" s="96" t="str">
        <f>HYPERLINK("http://purl.obolibrary.org/obo/OBI_1110153","http://purl.obolibrary.org/obo/OBI_1110153")</f>
        <v>http://purl.obolibrary.org/obo/OBI_1110153</v>
      </c>
      <c r="B488" s="97" t="s">
        <v>2810</v>
      </c>
      <c r="C488" s="97" t="s">
        <v>2811</v>
      </c>
      <c r="D488" s="97" t="s">
        <v>1402</v>
      </c>
      <c r="E488" s="97" t="s">
        <v>22</v>
      </c>
      <c r="F488" s="97" t="s">
        <v>1487</v>
      </c>
      <c r="G488" s="97" t="s">
        <v>2812</v>
      </c>
      <c r="H488" s="97"/>
      <c r="I488" s="97"/>
      <c r="J488" s="97"/>
      <c r="K488" s="97"/>
      <c r="L488" s="97" t="s">
        <v>2812</v>
      </c>
      <c r="M488" s="97"/>
      <c r="N488" s="97"/>
    </row>
    <row r="489" ht="72.0" customHeight="1">
      <c r="A489" s="96" t="str">
        <f>HYPERLINK("http://purl.obolibrary.org/obo/OBI_1110154","http://purl.obolibrary.org/obo/OBI_1110154")</f>
        <v>http://purl.obolibrary.org/obo/OBI_1110154</v>
      </c>
      <c r="B489" s="97" t="s">
        <v>2813</v>
      </c>
      <c r="C489" s="97" t="s">
        <v>2814</v>
      </c>
      <c r="D489" s="97" t="s">
        <v>1402</v>
      </c>
      <c r="E489" s="97" t="s">
        <v>22</v>
      </c>
      <c r="F489" s="97" t="s">
        <v>1462</v>
      </c>
      <c r="G489" s="97" t="s">
        <v>2815</v>
      </c>
      <c r="H489" s="97"/>
      <c r="I489" s="97"/>
      <c r="J489" s="97"/>
      <c r="K489" s="97"/>
      <c r="L489" s="97" t="s">
        <v>2815</v>
      </c>
      <c r="M489" s="97"/>
      <c r="N489" s="97"/>
    </row>
    <row r="490" ht="48.0" customHeight="1">
      <c r="A490" s="96" t="str">
        <f>HYPERLINK("http://purl.obolibrary.org/obo/OBI_1110155","http://purl.obolibrary.org/obo/OBI_1110155")</f>
        <v>http://purl.obolibrary.org/obo/OBI_1110155</v>
      </c>
      <c r="B490" s="97" t="s">
        <v>2816</v>
      </c>
      <c r="C490" s="97" t="s">
        <v>2817</v>
      </c>
      <c r="D490" s="97" t="s">
        <v>1402</v>
      </c>
      <c r="E490" s="97" t="s">
        <v>22</v>
      </c>
      <c r="F490" s="97" t="s">
        <v>2818</v>
      </c>
      <c r="G490" s="97" t="s">
        <v>2819</v>
      </c>
      <c r="H490" s="97"/>
      <c r="I490" s="97"/>
      <c r="J490" s="97"/>
      <c r="K490" s="97"/>
      <c r="L490" s="97" t="s">
        <v>2819</v>
      </c>
      <c r="M490" s="97"/>
      <c r="N490" s="97"/>
    </row>
    <row r="491" ht="48.0" customHeight="1">
      <c r="A491" s="96" t="str">
        <f>HYPERLINK("http://purl.obolibrary.org/obo/OBI_1110156","http://purl.obolibrary.org/obo/OBI_1110156")</f>
        <v>http://purl.obolibrary.org/obo/OBI_1110156</v>
      </c>
      <c r="B491" s="97" t="s">
        <v>2820</v>
      </c>
      <c r="C491" s="97" t="s">
        <v>2821</v>
      </c>
      <c r="D491" s="97" t="s">
        <v>1402</v>
      </c>
      <c r="E491" s="97" t="s">
        <v>22</v>
      </c>
      <c r="F491" s="97" t="s">
        <v>1420</v>
      </c>
      <c r="G491" s="97" t="s">
        <v>2822</v>
      </c>
      <c r="H491" s="97"/>
      <c r="I491" s="97"/>
      <c r="J491" s="97"/>
      <c r="K491" s="97"/>
      <c r="L491" s="97" t="s">
        <v>2822</v>
      </c>
      <c r="M491" s="97"/>
      <c r="N491" s="97"/>
    </row>
    <row r="492" ht="48.0" customHeight="1">
      <c r="A492" s="96" t="str">
        <f>HYPERLINK("http://purl.obolibrary.org/obo/OBI_1110157","http://purl.obolibrary.org/obo/OBI_1110157")</f>
        <v>http://purl.obolibrary.org/obo/OBI_1110157</v>
      </c>
      <c r="B492" s="97" t="s">
        <v>2823</v>
      </c>
      <c r="C492" s="97" t="s">
        <v>2824</v>
      </c>
      <c r="D492" s="97" t="s">
        <v>1402</v>
      </c>
      <c r="E492" s="97" t="s">
        <v>22</v>
      </c>
      <c r="F492" s="97" t="s">
        <v>1418</v>
      </c>
      <c r="G492" s="97" t="s">
        <v>2825</v>
      </c>
      <c r="H492" s="97"/>
      <c r="I492" s="97"/>
      <c r="J492" s="97"/>
      <c r="K492" s="97"/>
      <c r="L492" s="97" t="s">
        <v>2825</v>
      </c>
      <c r="M492" s="97"/>
      <c r="N492" s="97"/>
    </row>
    <row r="493" ht="48.0" customHeight="1">
      <c r="A493" s="96" t="str">
        <f>HYPERLINK("http://purl.obolibrary.org/obo/OBI_1110158","http://purl.obolibrary.org/obo/OBI_1110158")</f>
        <v>http://purl.obolibrary.org/obo/OBI_1110158</v>
      </c>
      <c r="B493" s="97" t="s">
        <v>2826</v>
      </c>
      <c r="C493" s="97" t="s">
        <v>2827</v>
      </c>
      <c r="D493" s="97" t="s">
        <v>1402</v>
      </c>
      <c r="E493" s="97" t="s">
        <v>22</v>
      </c>
      <c r="F493" s="97" t="s">
        <v>1453</v>
      </c>
      <c r="G493" s="97" t="s">
        <v>2828</v>
      </c>
      <c r="H493" s="97"/>
      <c r="I493" s="97"/>
      <c r="J493" s="97"/>
      <c r="K493" s="97"/>
      <c r="L493" s="97" t="s">
        <v>2828</v>
      </c>
      <c r="M493" s="97"/>
      <c r="N493" s="97"/>
    </row>
    <row r="494" ht="72.0" customHeight="1">
      <c r="A494" s="96" t="str">
        <f>HYPERLINK("http://purl.obolibrary.org/obo/OBI_1110159","http://purl.obolibrary.org/obo/OBI_1110159")</f>
        <v>http://purl.obolibrary.org/obo/OBI_1110159</v>
      </c>
      <c r="B494" s="97" t="s">
        <v>2829</v>
      </c>
      <c r="C494" s="97" t="s">
        <v>2830</v>
      </c>
      <c r="D494" s="97" t="s">
        <v>1402</v>
      </c>
      <c r="E494" s="97" t="s">
        <v>22</v>
      </c>
      <c r="F494" s="97" t="s">
        <v>1508</v>
      </c>
      <c r="G494" s="97" t="s">
        <v>2831</v>
      </c>
      <c r="H494" s="97"/>
      <c r="I494" s="97"/>
      <c r="J494" s="97"/>
      <c r="K494" s="97"/>
      <c r="L494" s="97" t="s">
        <v>2831</v>
      </c>
      <c r="M494" s="97"/>
      <c r="N494" s="97"/>
    </row>
    <row r="495" ht="48.0" customHeight="1">
      <c r="A495" s="96" t="str">
        <f>HYPERLINK("http://purl.obolibrary.org/obo/OBI_1110160","http://purl.obolibrary.org/obo/OBI_1110160")</f>
        <v>http://purl.obolibrary.org/obo/OBI_1110160</v>
      </c>
      <c r="B495" s="97" t="s">
        <v>2832</v>
      </c>
      <c r="C495" s="97" t="s">
        <v>2833</v>
      </c>
      <c r="D495" s="97" t="s">
        <v>1402</v>
      </c>
      <c r="E495" s="97" t="s">
        <v>22</v>
      </c>
      <c r="F495" s="97" t="s">
        <v>1531</v>
      </c>
      <c r="G495" s="97" t="s">
        <v>2834</v>
      </c>
      <c r="H495" s="97"/>
      <c r="I495" s="97"/>
      <c r="J495" s="97"/>
      <c r="K495" s="97"/>
      <c r="L495" s="97" t="s">
        <v>2834</v>
      </c>
      <c r="M495" s="97"/>
      <c r="N495" s="97"/>
    </row>
    <row r="496" ht="60.0" customHeight="1">
      <c r="A496" s="96" t="str">
        <f>HYPERLINK("http://purl.obolibrary.org/obo/OBI_1110161","http://purl.obolibrary.org/obo/OBI_1110161")</f>
        <v>http://purl.obolibrary.org/obo/OBI_1110161</v>
      </c>
      <c r="B496" s="97" t="s">
        <v>2835</v>
      </c>
      <c r="C496" s="97" t="s">
        <v>2836</v>
      </c>
      <c r="D496" s="97" t="s">
        <v>1402</v>
      </c>
      <c r="E496" s="97" t="s">
        <v>22</v>
      </c>
      <c r="F496" s="97" t="s">
        <v>1449</v>
      </c>
      <c r="G496" s="97" t="s">
        <v>2837</v>
      </c>
      <c r="H496" s="97"/>
      <c r="I496" s="97"/>
      <c r="J496" s="97"/>
      <c r="K496" s="97"/>
      <c r="L496" s="97" t="s">
        <v>2837</v>
      </c>
      <c r="M496" s="97"/>
      <c r="N496" s="97"/>
    </row>
    <row r="497" ht="48.0" customHeight="1">
      <c r="A497" s="96" t="str">
        <f>HYPERLINK("http://purl.obolibrary.org/obo/OBI_1110162","http://purl.obolibrary.org/obo/OBI_1110162")</f>
        <v>http://purl.obolibrary.org/obo/OBI_1110162</v>
      </c>
      <c r="B497" s="97" t="s">
        <v>2838</v>
      </c>
      <c r="C497" s="97" t="s">
        <v>2839</v>
      </c>
      <c r="D497" s="97" t="s">
        <v>1402</v>
      </c>
      <c r="E497" s="97" t="s">
        <v>22</v>
      </c>
      <c r="F497" s="97" t="s">
        <v>1577</v>
      </c>
      <c r="G497" s="97" t="s">
        <v>2840</v>
      </c>
      <c r="H497" s="97"/>
      <c r="I497" s="97"/>
      <c r="J497" s="97"/>
      <c r="K497" s="97"/>
      <c r="L497" s="97" t="s">
        <v>2840</v>
      </c>
      <c r="M497" s="97"/>
      <c r="N497" s="97"/>
    </row>
    <row r="498" ht="48.0" customHeight="1">
      <c r="A498" s="96" t="str">
        <f>HYPERLINK("http://purl.obolibrary.org/obo/OBI_1110163","http://purl.obolibrary.org/obo/OBI_1110163")</f>
        <v>http://purl.obolibrary.org/obo/OBI_1110163</v>
      </c>
      <c r="B498" s="97" t="s">
        <v>2841</v>
      </c>
      <c r="C498" s="97" t="s">
        <v>2842</v>
      </c>
      <c r="D498" s="97" t="s">
        <v>1402</v>
      </c>
      <c r="E498" s="97" t="s">
        <v>22</v>
      </c>
      <c r="F498" s="97" t="s">
        <v>1722</v>
      </c>
      <c r="G498" s="97" t="s">
        <v>2843</v>
      </c>
      <c r="H498" s="97"/>
      <c r="I498" s="97"/>
      <c r="J498" s="97"/>
      <c r="K498" s="97"/>
      <c r="L498" s="97" t="s">
        <v>2843</v>
      </c>
      <c r="M498" s="97"/>
      <c r="N498" s="97"/>
    </row>
    <row r="499" ht="48.0" customHeight="1">
      <c r="A499" s="96" t="str">
        <f>HYPERLINK("http://purl.obolibrary.org/obo/OBI_1110167","http://purl.obolibrary.org/obo/OBI_1110167")</f>
        <v>http://purl.obolibrary.org/obo/OBI_1110167</v>
      </c>
      <c r="B499" s="97" t="s">
        <v>2844</v>
      </c>
      <c r="C499" s="97" t="s">
        <v>2845</v>
      </c>
      <c r="D499" s="97" t="s">
        <v>1402</v>
      </c>
      <c r="E499" s="97" t="s">
        <v>22</v>
      </c>
      <c r="F499" s="97" t="s">
        <v>1487</v>
      </c>
      <c r="G499" s="97" t="s">
        <v>2846</v>
      </c>
      <c r="H499" s="97"/>
      <c r="I499" s="97"/>
      <c r="J499" s="97"/>
      <c r="K499" s="97"/>
      <c r="L499" s="97" t="s">
        <v>2846</v>
      </c>
      <c r="M499" s="97"/>
      <c r="N499" s="97"/>
    </row>
    <row r="500" ht="48.0" customHeight="1">
      <c r="A500" s="96" t="str">
        <f>HYPERLINK("http://purl.obolibrary.org/obo/OBI_1110168","http://purl.obolibrary.org/obo/OBI_1110168")</f>
        <v>http://purl.obolibrary.org/obo/OBI_1110168</v>
      </c>
      <c r="B500" s="97" t="s">
        <v>2847</v>
      </c>
      <c r="C500" s="97" t="s">
        <v>2848</v>
      </c>
      <c r="D500" s="97" t="s">
        <v>4</v>
      </c>
      <c r="E500" s="97" t="s">
        <v>22</v>
      </c>
      <c r="F500" s="97" t="s">
        <v>2849</v>
      </c>
      <c r="G500" s="97" t="s">
        <v>2850</v>
      </c>
      <c r="H500" s="97"/>
      <c r="I500" s="97"/>
      <c r="J500" s="97"/>
      <c r="K500" s="97"/>
      <c r="L500" s="97" t="s">
        <v>2850</v>
      </c>
      <c r="M500" s="97"/>
      <c r="N500" s="97"/>
    </row>
    <row r="501" ht="48.0" customHeight="1">
      <c r="A501" s="96" t="str">
        <f>HYPERLINK("http://purl.obolibrary.org/obo/OBI_1110170","http://purl.obolibrary.org/obo/OBI_1110170")</f>
        <v>http://purl.obolibrary.org/obo/OBI_1110170</v>
      </c>
      <c r="B501" s="97" t="s">
        <v>2851</v>
      </c>
      <c r="C501" s="97" t="s">
        <v>2852</v>
      </c>
      <c r="D501" s="97" t="s">
        <v>1402</v>
      </c>
      <c r="E501" s="97" t="s">
        <v>22</v>
      </c>
      <c r="F501" s="97" t="s">
        <v>1420</v>
      </c>
      <c r="G501" s="97" t="s">
        <v>2853</v>
      </c>
      <c r="H501" s="97"/>
      <c r="I501" s="97"/>
      <c r="J501" s="97"/>
      <c r="K501" s="97"/>
      <c r="L501" s="97" t="s">
        <v>2853</v>
      </c>
      <c r="M501" s="97"/>
      <c r="N501" s="97"/>
    </row>
    <row r="502" ht="48.0" customHeight="1">
      <c r="A502" s="96" t="str">
        <f>HYPERLINK("http://purl.obolibrary.org/obo/OBI_1110171","http://purl.obolibrary.org/obo/OBI_1110171")</f>
        <v>http://purl.obolibrary.org/obo/OBI_1110171</v>
      </c>
      <c r="B502" s="97" t="s">
        <v>2854</v>
      </c>
      <c r="C502" s="97" t="s">
        <v>2855</v>
      </c>
      <c r="D502" s="97" t="s">
        <v>1402</v>
      </c>
      <c r="E502" s="97" t="s">
        <v>22</v>
      </c>
      <c r="F502" s="97" t="s">
        <v>1508</v>
      </c>
      <c r="G502" s="97" t="s">
        <v>2856</v>
      </c>
      <c r="H502" s="97"/>
      <c r="I502" s="97"/>
      <c r="J502" s="97"/>
      <c r="K502" s="97"/>
      <c r="L502" s="97" t="s">
        <v>2856</v>
      </c>
      <c r="M502" s="97"/>
      <c r="N502" s="97"/>
    </row>
    <row r="503" ht="48.0" customHeight="1">
      <c r="A503" s="96" t="str">
        <f>HYPERLINK("http://purl.obolibrary.org/obo/OBI_1110172","http://purl.obolibrary.org/obo/OBI_1110172")</f>
        <v>http://purl.obolibrary.org/obo/OBI_1110172</v>
      </c>
      <c r="B503" s="97" t="s">
        <v>2857</v>
      </c>
      <c r="C503" s="97" t="s">
        <v>2858</v>
      </c>
      <c r="D503" s="97" t="s">
        <v>1402</v>
      </c>
      <c r="E503" s="97" t="s">
        <v>22</v>
      </c>
      <c r="F503" s="97" t="s">
        <v>1626</v>
      </c>
      <c r="G503" s="97" t="s">
        <v>2859</v>
      </c>
      <c r="H503" s="97"/>
      <c r="I503" s="97"/>
      <c r="J503" s="97"/>
      <c r="K503" s="97"/>
      <c r="L503" s="97" t="s">
        <v>2859</v>
      </c>
      <c r="M503" s="97"/>
      <c r="N503" s="97"/>
    </row>
    <row r="504" ht="48.0" customHeight="1">
      <c r="A504" s="96" t="str">
        <f>HYPERLINK("http://purl.obolibrary.org/obo/OBI_1110173","http://purl.obolibrary.org/obo/OBI_1110173")</f>
        <v>http://purl.obolibrary.org/obo/OBI_1110173</v>
      </c>
      <c r="B504" s="97" t="s">
        <v>2860</v>
      </c>
      <c r="C504" s="97" t="s">
        <v>2861</v>
      </c>
      <c r="D504" s="97" t="s">
        <v>1402</v>
      </c>
      <c r="E504" s="97" t="s">
        <v>22</v>
      </c>
      <c r="F504" s="97" t="s">
        <v>1432</v>
      </c>
      <c r="G504" s="97" t="s">
        <v>2862</v>
      </c>
      <c r="H504" s="97"/>
      <c r="I504" s="97"/>
      <c r="J504" s="97"/>
      <c r="K504" s="97"/>
      <c r="L504" s="97" t="s">
        <v>2862</v>
      </c>
      <c r="M504" s="97"/>
      <c r="N504" s="97"/>
    </row>
    <row r="505" ht="48.0" customHeight="1">
      <c r="A505" s="96" t="str">
        <f>HYPERLINK("http://purl.obolibrary.org/obo/OBI_1110174","http://purl.obolibrary.org/obo/OBI_1110174")</f>
        <v>http://purl.obolibrary.org/obo/OBI_1110174</v>
      </c>
      <c r="B505" s="97" t="s">
        <v>2863</v>
      </c>
      <c r="C505" s="97" t="s">
        <v>2864</v>
      </c>
      <c r="D505" s="97" t="s">
        <v>1402</v>
      </c>
      <c r="E505" s="97" t="s">
        <v>22</v>
      </c>
      <c r="F505" s="97" t="s">
        <v>2865</v>
      </c>
      <c r="G505" s="97" t="s">
        <v>2866</v>
      </c>
      <c r="H505" s="97"/>
      <c r="I505" s="97"/>
      <c r="J505" s="97"/>
      <c r="K505" s="97"/>
      <c r="L505" s="97" t="s">
        <v>2866</v>
      </c>
      <c r="M505" s="97"/>
      <c r="N505" s="97"/>
    </row>
    <row r="506" ht="48.0" customHeight="1">
      <c r="A506" s="96" t="str">
        <f>HYPERLINK("http://purl.obolibrary.org/obo/OBI_1110175","http://purl.obolibrary.org/obo/OBI_1110175")</f>
        <v>http://purl.obolibrary.org/obo/OBI_1110175</v>
      </c>
      <c r="B506" s="97" t="s">
        <v>2867</v>
      </c>
      <c r="C506" s="97" t="s">
        <v>2868</v>
      </c>
      <c r="D506" s="97" t="s">
        <v>1402</v>
      </c>
      <c r="E506" s="97" t="s">
        <v>22</v>
      </c>
      <c r="F506" s="97" t="s">
        <v>1487</v>
      </c>
      <c r="G506" s="97" t="s">
        <v>2869</v>
      </c>
      <c r="H506" s="97"/>
      <c r="I506" s="97"/>
      <c r="J506" s="97"/>
      <c r="K506" s="97"/>
      <c r="L506" s="97" t="s">
        <v>2869</v>
      </c>
      <c r="M506" s="97"/>
      <c r="N506" s="97"/>
    </row>
    <row r="507" ht="36.0" customHeight="1">
      <c r="A507" s="96" t="str">
        <f>HYPERLINK("http://purl.obolibrary.org/obo/OBI_1110177","http://purl.obolibrary.org/obo/OBI_1110177")</f>
        <v>http://purl.obolibrary.org/obo/OBI_1110177</v>
      </c>
      <c r="B507" s="97" t="s">
        <v>2870</v>
      </c>
      <c r="C507" s="97" t="s">
        <v>2871</v>
      </c>
      <c r="D507" s="97" t="s">
        <v>1402</v>
      </c>
      <c r="E507" s="97" t="s">
        <v>22</v>
      </c>
      <c r="F507" s="97" t="s">
        <v>1420</v>
      </c>
      <c r="G507" s="97" t="s">
        <v>2872</v>
      </c>
      <c r="H507" s="97"/>
      <c r="I507" s="97"/>
      <c r="J507" s="97"/>
      <c r="K507" s="97"/>
      <c r="L507" s="97" t="s">
        <v>2872</v>
      </c>
      <c r="M507" s="97"/>
      <c r="N507" s="97"/>
    </row>
    <row r="508" ht="84.0" customHeight="1">
      <c r="A508" s="96" t="str">
        <f>HYPERLINK("http://purl.obolibrary.org/obo/OBI_1110178","http://purl.obolibrary.org/obo/OBI_1110178")</f>
        <v>http://purl.obolibrary.org/obo/OBI_1110178</v>
      </c>
      <c r="B508" s="97" t="s">
        <v>2873</v>
      </c>
      <c r="C508" s="97" t="s">
        <v>2874</v>
      </c>
      <c r="D508" s="97" t="s">
        <v>1402</v>
      </c>
      <c r="E508" s="97" t="s">
        <v>22</v>
      </c>
      <c r="F508" s="97" t="s">
        <v>1577</v>
      </c>
      <c r="G508" s="97" t="s">
        <v>2875</v>
      </c>
      <c r="H508" s="97"/>
      <c r="I508" s="97"/>
      <c r="J508" s="97"/>
      <c r="K508" s="97"/>
      <c r="L508" s="97" t="s">
        <v>2875</v>
      </c>
      <c r="M508" s="97"/>
      <c r="N508" s="97"/>
    </row>
    <row r="509" ht="36.0" customHeight="1">
      <c r="A509" s="96" t="str">
        <f>HYPERLINK("http://purl.obolibrary.org/obo/OBI_1110179","http://purl.obolibrary.org/obo/OBI_1110179")</f>
        <v>http://purl.obolibrary.org/obo/OBI_1110179</v>
      </c>
      <c r="B509" s="97" t="s">
        <v>2876</v>
      </c>
      <c r="C509" s="97" t="s">
        <v>2877</v>
      </c>
      <c r="D509" s="97" t="s">
        <v>1402</v>
      </c>
      <c r="E509" s="97" t="s">
        <v>22</v>
      </c>
      <c r="F509" s="97" t="s">
        <v>1620</v>
      </c>
      <c r="G509" s="97" t="s">
        <v>2878</v>
      </c>
      <c r="H509" s="97"/>
      <c r="I509" s="97" t="s">
        <v>2878</v>
      </c>
      <c r="J509" s="97"/>
      <c r="K509" s="97"/>
      <c r="L509" s="97" t="s">
        <v>2878</v>
      </c>
      <c r="M509" s="97"/>
      <c r="N509" s="97"/>
    </row>
    <row r="510" ht="36.0" customHeight="1">
      <c r="A510" s="96" t="str">
        <f>HYPERLINK("http://purl.obolibrary.org/obo/OBI_1110180","http://purl.obolibrary.org/obo/OBI_1110180")</f>
        <v>http://purl.obolibrary.org/obo/OBI_1110180</v>
      </c>
      <c r="B510" s="97" t="s">
        <v>2879</v>
      </c>
      <c r="C510" s="97" t="s">
        <v>2880</v>
      </c>
      <c r="D510" s="97" t="s">
        <v>4</v>
      </c>
      <c r="E510" s="97" t="s">
        <v>22</v>
      </c>
      <c r="F510" s="97" t="s">
        <v>2757</v>
      </c>
      <c r="G510" s="97" t="s">
        <v>2881</v>
      </c>
      <c r="H510" s="97"/>
      <c r="I510" s="97"/>
      <c r="J510" s="97"/>
      <c r="K510" s="97"/>
      <c r="L510" s="97" t="s">
        <v>2881</v>
      </c>
      <c r="M510" s="97"/>
      <c r="N510" s="97"/>
    </row>
    <row r="511" ht="36.0" customHeight="1">
      <c r="A511" s="96" t="str">
        <f>HYPERLINK("http://purl.obolibrary.org/obo/OBI_1110181","http://purl.obolibrary.org/obo/OBI_1110181")</f>
        <v>http://purl.obolibrary.org/obo/OBI_1110181</v>
      </c>
      <c r="B511" s="97" t="s">
        <v>2882</v>
      </c>
      <c r="C511" s="97" t="s">
        <v>2883</v>
      </c>
      <c r="D511" s="97" t="s">
        <v>4</v>
      </c>
      <c r="E511" s="97" t="s">
        <v>22</v>
      </c>
      <c r="F511" s="97" t="s">
        <v>2757</v>
      </c>
      <c r="G511" s="97" t="s">
        <v>2884</v>
      </c>
      <c r="H511" s="97"/>
      <c r="I511" s="97"/>
      <c r="J511" s="97"/>
      <c r="K511" s="97"/>
      <c r="L511" s="97" t="s">
        <v>2884</v>
      </c>
      <c r="M511" s="97"/>
      <c r="N511" s="97"/>
    </row>
    <row r="512" ht="84.0" customHeight="1">
      <c r="A512" s="96" t="str">
        <f>HYPERLINK("http://purl.obolibrary.org/obo/OBI_1110207","http://purl.obolibrary.org/obo/OBI_1110207")</f>
        <v>http://purl.obolibrary.org/obo/OBI_1110207</v>
      </c>
      <c r="B512" s="97" t="s">
        <v>2885</v>
      </c>
      <c r="C512" s="97" t="s">
        <v>2886</v>
      </c>
      <c r="D512" s="97" t="s">
        <v>572</v>
      </c>
      <c r="E512" s="97" t="s">
        <v>22</v>
      </c>
      <c r="F512" s="97" t="s">
        <v>19</v>
      </c>
      <c r="G512" s="97" t="s">
        <v>2887</v>
      </c>
      <c r="H512" s="97"/>
      <c r="I512" s="97"/>
      <c r="J512" s="97" t="s">
        <v>2887</v>
      </c>
      <c r="K512" s="97"/>
      <c r="L512" s="97"/>
      <c r="M512" s="97"/>
      <c r="N512" s="97"/>
    </row>
    <row r="513" ht="108.0" customHeight="1">
      <c r="A513" s="96" t="str">
        <f>HYPERLINK("http://purl.obolibrary.org/obo/OBI_9999994","http://purl.obolibrary.org/obo/OBI_9999994")</f>
        <v>http://purl.obolibrary.org/obo/OBI_9999994</v>
      </c>
      <c r="B513" s="97" t="s">
        <v>2888</v>
      </c>
      <c r="C513" s="97" t="s">
        <v>2889</v>
      </c>
      <c r="D513" s="97" t="s">
        <v>1308</v>
      </c>
      <c r="E513" s="97" t="s">
        <v>1309</v>
      </c>
      <c r="F513" s="97" t="s">
        <v>1345</v>
      </c>
      <c r="G513" s="97"/>
      <c r="H513" s="97"/>
      <c r="I513" s="97" t="s">
        <v>2890</v>
      </c>
      <c r="J513" s="97"/>
      <c r="K513" s="97"/>
      <c r="L513" s="97" t="s">
        <v>1324</v>
      </c>
      <c r="M513" s="97"/>
      <c r="N513" s="97"/>
    </row>
    <row r="514" ht="15.75" customHeight="1">
      <c r="A514" s="98"/>
      <c r="B514" s="98"/>
      <c r="C514" s="98"/>
      <c r="D514" s="98"/>
      <c r="E514" s="98"/>
      <c r="F514" s="98"/>
      <c r="G514" s="98"/>
      <c r="H514" s="98"/>
      <c r="I514" s="98"/>
      <c r="J514" s="98"/>
      <c r="K514" s="98"/>
      <c r="L514" s="98"/>
      <c r="M514" s="98"/>
      <c r="N514" s="98"/>
    </row>
    <row r="515" ht="15.75" customHeight="1">
      <c r="A515" s="98"/>
      <c r="B515" s="98"/>
      <c r="C515" s="98"/>
      <c r="D515" s="98"/>
      <c r="E515" s="98"/>
      <c r="F515" s="98"/>
      <c r="G515" s="98"/>
      <c r="H515" s="98"/>
      <c r="I515" s="98"/>
      <c r="J515" s="98"/>
      <c r="K515" s="98"/>
      <c r="L515" s="98"/>
      <c r="M515" s="98"/>
      <c r="N515" s="98"/>
    </row>
    <row r="516" ht="15.75" customHeight="1">
      <c r="A516" s="98"/>
      <c r="B516" s="98"/>
      <c r="C516" s="98"/>
      <c r="D516" s="98"/>
      <c r="E516" s="98"/>
      <c r="F516" s="98"/>
      <c r="G516" s="98"/>
      <c r="H516" s="98"/>
      <c r="I516" s="98"/>
      <c r="J516" s="98"/>
      <c r="K516" s="98"/>
      <c r="L516" s="98"/>
      <c r="M516" s="98"/>
      <c r="N516" s="98"/>
    </row>
    <row r="517" ht="15.75" customHeight="1">
      <c r="A517" s="98"/>
      <c r="B517" s="98"/>
      <c r="C517" s="98"/>
      <c r="D517" s="98"/>
      <c r="E517" s="98"/>
      <c r="F517" s="98"/>
      <c r="G517" s="98"/>
      <c r="H517" s="98"/>
      <c r="I517" s="98"/>
      <c r="J517" s="98"/>
      <c r="K517" s="98"/>
      <c r="L517" s="98"/>
      <c r="M517" s="98"/>
      <c r="N517" s="98"/>
    </row>
    <row r="518" ht="15.75" customHeight="1">
      <c r="A518" s="98"/>
      <c r="B518" s="98"/>
      <c r="C518" s="98"/>
      <c r="D518" s="98"/>
      <c r="E518" s="98"/>
      <c r="F518" s="98"/>
      <c r="G518" s="98"/>
      <c r="H518" s="98"/>
      <c r="I518" s="98"/>
      <c r="J518" s="98"/>
      <c r="K518" s="98"/>
      <c r="L518" s="98"/>
      <c r="M518" s="98"/>
      <c r="N518" s="98"/>
    </row>
    <row r="519" ht="15.75" customHeight="1">
      <c r="A519" s="98"/>
      <c r="B519" s="98"/>
      <c r="C519" s="98"/>
      <c r="D519" s="98"/>
      <c r="E519" s="98"/>
      <c r="F519" s="98"/>
      <c r="G519" s="98"/>
      <c r="H519" s="98"/>
      <c r="I519" s="98"/>
      <c r="J519" s="98"/>
      <c r="K519" s="98"/>
      <c r="L519" s="98"/>
      <c r="M519" s="98"/>
      <c r="N519" s="98"/>
    </row>
    <row r="520" ht="15.75" customHeight="1">
      <c r="A520" s="98"/>
      <c r="B520" s="98"/>
      <c r="C520" s="98"/>
      <c r="D520" s="98"/>
      <c r="E520" s="98"/>
      <c r="F520" s="98"/>
      <c r="G520" s="98"/>
      <c r="H520" s="98"/>
      <c r="I520" s="98"/>
      <c r="J520" s="98"/>
      <c r="K520" s="98"/>
      <c r="L520" s="98"/>
      <c r="M520" s="98"/>
      <c r="N520" s="98"/>
    </row>
    <row r="521" ht="15.75" customHeight="1">
      <c r="A521" s="98"/>
      <c r="B521" s="98"/>
      <c r="C521" s="98"/>
      <c r="D521" s="98"/>
      <c r="E521" s="98"/>
      <c r="F521" s="98"/>
      <c r="G521" s="98"/>
      <c r="H521" s="98"/>
      <c r="I521" s="98"/>
      <c r="J521" s="98"/>
      <c r="K521" s="98"/>
      <c r="L521" s="98"/>
      <c r="M521" s="98"/>
      <c r="N521" s="98"/>
    </row>
    <row r="522" ht="15.75" customHeight="1">
      <c r="A522" s="98"/>
      <c r="B522" s="98"/>
      <c r="C522" s="98"/>
      <c r="D522" s="98"/>
      <c r="E522" s="98"/>
      <c r="F522" s="98"/>
      <c r="G522" s="98"/>
      <c r="H522" s="98"/>
      <c r="I522" s="98"/>
      <c r="J522" s="98"/>
      <c r="K522" s="98"/>
      <c r="L522" s="98"/>
      <c r="M522" s="98"/>
      <c r="N522" s="98"/>
    </row>
    <row r="523" ht="15.75" customHeight="1">
      <c r="A523" s="98"/>
      <c r="B523" s="98"/>
      <c r="C523" s="98"/>
      <c r="D523" s="98"/>
      <c r="E523" s="98"/>
      <c r="F523" s="98"/>
      <c r="G523" s="98"/>
      <c r="H523" s="98"/>
      <c r="I523" s="98"/>
      <c r="J523" s="98"/>
      <c r="K523" s="98"/>
      <c r="L523" s="98"/>
      <c r="M523" s="98"/>
      <c r="N523" s="98"/>
    </row>
    <row r="524" ht="15.75" customHeight="1">
      <c r="A524" s="98"/>
      <c r="B524" s="98"/>
      <c r="C524" s="98"/>
      <c r="D524" s="98"/>
      <c r="E524" s="98"/>
      <c r="F524" s="98"/>
      <c r="G524" s="98"/>
      <c r="H524" s="98"/>
      <c r="I524" s="98"/>
      <c r="J524" s="98"/>
      <c r="K524" s="98"/>
      <c r="L524" s="98"/>
      <c r="M524" s="98"/>
      <c r="N524" s="98"/>
    </row>
    <row r="525" ht="15.75" customHeight="1">
      <c r="A525" s="98"/>
      <c r="B525" s="98"/>
      <c r="C525" s="98"/>
      <c r="D525" s="98"/>
      <c r="E525" s="98"/>
      <c r="F525" s="98"/>
      <c r="G525" s="98"/>
      <c r="H525" s="98"/>
      <c r="I525" s="98"/>
      <c r="J525" s="98"/>
      <c r="K525" s="98"/>
      <c r="L525" s="98"/>
      <c r="M525" s="98"/>
      <c r="N525" s="98"/>
    </row>
    <row r="526" ht="15.75" customHeight="1">
      <c r="A526" s="98"/>
      <c r="B526" s="98"/>
      <c r="C526" s="98"/>
      <c r="D526" s="98"/>
      <c r="E526" s="98"/>
      <c r="F526" s="98"/>
      <c r="G526" s="98"/>
      <c r="H526" s="98"/>
      <c r="I526" s="98"/>
      <c r="J526" s="98"/>
      <c r="K526" s="98"/>
      <c r="L526" s="98"/>
      <c r="M526" s="98"/>
      <c r="N526" s="98"/>
    </row>
    <row r="527" ht="15.75" customHeight="1">
      <c r="A527" s="98"/>
      <c r="B527" s="98"/>
      <c r="C527" s="98"/>
      <c r="D527" s="98"/>
      <c r="E527" s="98"/>
      <c r="F527" s="98"/>
      <c r="G527" s="98"/>
      <c r="H527" s="98"/>
      <c r="I527" s="98"/>
      <c r="J527" s="98"/>
      <c r="K527" s="98"/>
      <c r="L527" s="98"/>
      <c r="M527" s="98"/>
      <c r="N527" s="98"/>
    </row>
    <row r="528" ht="15.75" customHeight="1">
      <c r="A528" s="98"/>
      <c r="B528" s="98"/>
      <c r="C528" s="98"/>
      <c r="D528" s="98"/>
      <c r="E528" s="98"/>
      <c r="F528" s="98"/>
      <c r="G528" s="98"/>
      <c r="H528" s="98"/>
      <c r="I528" s="98"/>
      <c r="J528" s="98"/>
      <c r="K528" s="98"/>
      <c r="L528" s="98"/>
      <c r="M528" s="98"/>
      <c r="N528" s="98"/>
    </row>
    <row r="529" ht="15.75" customHeight="1">
      <c r="A529" s="98"/>
      <c r="B529" s="98"/>
      <c r="C529" s="98"/>
      <c r="D529" s="98"/>
      <c r="E529" s="98"/>
      <c r="F529" s="98"/>
      <c r="G529" s="98"/>
      <c r="H529" s="98"/>
      <c r="I529" s="98"/>
      <c r="J529" s="98"/>
      <c r="K529" s="98"/>
      <c r="L529" s="98"/>
      <c r="M529" s="98"/>
      <c r="N529" s="98"/>
    </row>
    <row r="530" ht="15.75" customHeight="1">
      <c r="A530" s="98"/>
      <c r="B530" s="98"/>
      <c r="C530" s="98"/>
      <c r="D530" s="98"/>
      <c r="E530" s="98"/>
      <c r="F530" s="98"/>
      <c r="G530" s="98"/>
      <c r="H530" s="98"/>
      <c r="I530" s="98"/>
      <c r="J530" s="98"/>
      <c r="K530" s="98"/>
      <c r="L530" s="98"/>
      <c r="M530" s="98"/>
      <c r="N530" s="98"/>
    </row>
    <row r="531" ht="15.75" customHeight="1">
      <c r="A531" s="98"/>
      <c r="B531" s="98"/>
      <c r="C531" s="98"/>
      <c r="D531" s="98"/>
      <c r="E531" s="98"/>
      <c r="F531" s="98"/>
      <c r="G531" s="98"/>
      <c r="H531" s="98"/>
      <c r="I531" s="98"/>
      <c r="J531" s="98"/>
      <c r="K531" s="98"/>
      <c r="L531" s="98"/>
      <c r="M531" s="98"/>
      <c r="N531" s="98"/>
    </row>
    <row r="532" ht="15.75" customHeight="1">
      <c r="A532" s="98"/>
      <c r="B532" s="98"/>
      <c r="C532" s="98"/>
      <c r="D532" s="98"/>
      <c r="E532" s="98"/>
      <c r="F532" s="98"/>
      <c r="G532" s="98"/>
      <c r="H532" s="98"/>
      <c r="I532" s="98"/>
      <c r="J532" s="98"/>
      <c r="K532" s="98"/>
      <c r="L532" s="98"/>
      <c r="M532" s="98"/>
      <c r="N532" s="98"/>
    </row>
    <row r="533" ht="15.75" customHeight="1">
      <c r="A533" s="98"/>
      <c r="B533" s="98"/>
      <c r="C533" s="98"/>
      <c r="D533" s="98"/>
      <c r="E533" s="98"/>
      <c r="F533" s="98"/>
      <c r="G533" s="98"/>
      <c r="H533" s="98"/>
      <c r="I533" s="98"/>
      <c r="J533" s="98"/>
      <c r="K533" s="98"/>
      <c r="L533" s="98"/>
      <c r="M533" s="98"/>
      <c r="N533" s="98"/>
    </row>
    <row r="534" ht="15.75" customHeight="1">
      <c r="A534" s="98"/>
      <c r="B534" s="98"/>
      <c r="C534" s="98"/>
      <c r="D534" s="98"/>
      <c r="E534" s="98"/>
      <c r="F534" s="98"/>
      <c r="G534" s="98"/>
      <c r="H534" s="98"/>
      <c r="I534" s="98"/>
      <c r="J534" s="98"/>
      <c r="K534" s="98"/>
      <c r="L534" s="98"/>
      <c r="M534" s="98"/>
      <c r="N534" s="98"/>
    </row>
    <row r="535" ht="15.75" customHeight="1">
      <c r="A535" s="98"/>
      <c r="B535" s="98"/>
      <c r="C535" s="98"/>
      <c r="D535" s="98"/>
      <c r="E535" s="98"/>
      <c r="F535" s="98"/>
      <c r="G535" s="98"/>
      <c r="H535" s="98"/>
      <c r="I535" s="98"/>
      <c r="J535" s="98"/>
      <c r="K535" s="98"/>
      <c r="L535" s="98"/>
      <c r="M535" s="98"/>
      <c r="N535" s="98"/>
    </row>
    <row r="536" ht="15.75" customHeight="1">
      <c r="A536" s="98"/>
      <c r="B536" s="98"/>
      <c r="C536" s="98"/>
      <c r="D536" s="98"/>
      <c r="E536" s="98"/>
      <c r="F536" s="98"/>
      <c r="G536" s="98"/>
      <c r="H536" s="98"/>
      <c r="I536" s="98"/>
      <c r="J536" s="98"/>
      <c r="K536" s="98"/>
      <c r="L536" s="98"/>
      <c r="M536" s="98"/>
      <c r="N536" s="98"/>
    </row>
    <row r="537" ht="15.75" customHeight="1">
      <c r="A537" s="98"/>
      <c r="B537" s="98"/>
      <c r="C537" s="98"/>
      <c r="D537" s="98"/>
      <c r="E537" s="98"/>
      <c r="F537" s="98"/>
      <c r="G537" s="98"/>
      <c r="H537" s="98"/>
      <c r="I537" s="98"/>
      <c r="J537" s="98"/>
      <c r="K537" s="98"/>
      <c r="L537" s="98"/>
      <c r="M537" s="98"/>
      <c r="N537" s="98"/>
    </row>
    <row r="538" ht="15.75" customHeight="1">
      <c r="A538" s="98"/>
      <c r="B538" s="98"/>
      <c r="C538" s="98"/>
      <c r="D538" s="98"/>
      <c r="E538" s="98"/>
      <c r="F538" s="98"/>
      <c r="G538" s="98"/>
      <c r="H538" s="98"/>
      <c r="I538" s="98"/>
      <c r="J538" s="98"/>
      <c r="K538" s="98"/>
      <c r="L538" s="98"/>
      <c r="M538" s="98"/>
      <c r="N538" s="98"/>
    </row>
    <row r="539" ht="15.75" customHeight="1">
      <c r="A539" s="98"/>
      <c r="B539" s="98"/>
      <c r="C539" s="98"/>
      <c r="D539" s="98"/>
      <c r="E539" s="98"/>
      <c r="F539" s="98"/>
      <c r="G539" s="98"/>
      <c r="H539" s="98"/>
      <c r="I539" s="98"/>
      <c r="J539" s="98"/>
      <c r="K539" s="98"/>
      <c r="L539" s="98"/>
      <c r="M539" s="98"/>
      <c r="N539" s="98"/>
    </row>
    <row r="540" ht="15.75" customHeight="1">
      <c r="A540" s="98"/>
      <c r="B540" s="98"/>
      <c r="C540" s="98"/>
      <c r="D540" s="98"/>
      <c r="E540" s="98"/>
      <c r="F540" s="98"/>
      <c r="G540" s="98"/>
      <c r="H540" s="98"/>
      <c r="I540" s="98"/>
      <c r="J540" s="98"/>
      <c r="K540" s="98"/>
      <c r="L540" s="98"/>
      <c r="M540" s="98"/>
      <c r="N540" s="98"/>
    </row>
    <row r="541" ht="15.75" customHeight="1">
      <c r="A541" s="98"/>
      <c r="B541" s="98"/>
      <c r="C541" s="98"/>
      <c r="D541" s="98"/>
      <c r="E541" s="98"/>
      <c r="F541" s="98"/>
      <c r="G541" s="98"/>
      <c r="H541" s="98"/>
      <c r="I541" s="98"/>
      <c r="J541" s="98"/>
      <c r="K541" s="98"/>
      <c r="L541" s="98"/>
      <c r="M541" s="98"/>
      <c r="N541" s="98"/>
    </row>
    <row r="542" ht="15.75" customHeight="1">
      <c r="A542" s="98"/>
      <c r="B542" s="98"/>
      <c r="C542" s="98"/>
      <c r="D542" s="98"/>
      <c r="E542" s="98"/>
      <c r="F542" s="98"/>
      <c r="G542" s="98"/>
      <c r="H542" s="98"/>
      <c r="I542" s="98"/>
      <c r="J542" s="98"/>
      <c r="K542" s="98"/>
      <c r="L542" s="98"/>
      <c r="M542" s="98"/>
      <c r="N542" s="98"/>
    </row>
    <row r="543" ht="15.75" customHeight="1">
      <c r="A543" s="98"/>
      <c r="B543" s="98"/>
      <c r="C543" s="98"/>
      <c r="D543" s="98"/>
      <c r="E543" s="98"/>
      <c r="F543" s="98"/>
      <c r="G543" s="98"/>
      <c r="H543" s="98"/>
      <c r="I543" s="98"/>
      <c r="J543" s="98"/>
      <c r="K543" s="98"/>
      <c r="L543" s="98"/>
      <c r="M543" s="98"/>
      <c r="N543" s="98"/>
    </row>
    <row r="544" ht="15.75" customHeight="1">
      <c r="A544" s="98"/>
      <c r="B544" s="98"/>
      <c r="C544" s="98"/>
      <c r="D544" s="98"/>
      <c r="E544" s="98"/>
      <c r="F544" s="98"/>
      <c r="G544" s="98"/>
      <c r="H544" s="98"/>
      <c r="I544" s="98"/>
      <c r="J544" s="98"/>
      <c r="K544" s="98"/>
      <c r="L544" s="98"/>
      <c r="M544" s="98"/>
      <c r="N544" s="98"/>
    </row>
    <row r="545" ht="15.75" customHeight="1">
      <c r="A545" s="98"/>
      <c r="B545" s="98"/>
      <c r="C545" s="98"/>
      <c r="D545" s="98"/>
      <c r="E545" s="98"/>
      <c r="F545" s="98"/>
      <c r="G545" s="98"/>
      <c r="H545" s="98"/>
      <c r="I545" s="98"/>
      <c r="J545" s="98"/>
      <c r="K545" s="98"/>
      <c r="L545" s="98"/>
      <c r="M545" s="98"/>
      <c r="N545" s="98"/>
    </row>
    <row r="546" ht="15.75" customHeight="1">
      <c r="A546" s="98"/>
      <c r="B546" s="98"/>
      <c r="C546" s="98"/>
      <c r="D546" s="98"/>
      <c r="E546" s="98"/>
      <c r="F546" s="98"/>
      <c r="G546" s="98"/>
      <c r="H546" s="98"/>
      <c r="I546" s="98"/>
      <c r="J546" s="98"/>
      <c r="K546" s="98"/>
      <c r="L546" s="98"/>
      <c r="M546" s="98"/>
      <c r="N546" s="98"/>
    </row>
    <row r="547" ht="15.75" customHeight="1">
      <c r="A547" s="98"/>
      <c r="B547" s="98"/>
      <c r="C547" s="98"/>
      <c r="D547" s="98"/>
      <c r="E547" s="98"/>
      <c r="F547" s="98"/>
      <c r="G547" s="98"/>
      <c r="H547" s="98"/>
      <c r="I547" s="98"/>
      <c r="J547" s="98"/>
      <c r="K547" s="98"/>
      <c r="L547" s="98"/>
      <c r="M547" s="98"/>
      <c r="N547" s="98"/>
    </row>
    <row r="548" ht="15.75" customHeight="1">
      <c r="A548" s="98"/>
      <c r="B548" s="98"/>
      <c r="C548" s="98"/>
      <c r="D548" s="98"/>
      <c r="E548" s="98"/>
      <c r="F548" s="98"/>
      <c r="G548" s="98"/>
      <c r="H548" s="98"/>
      <c r="I548" s="98"/>
      <c r="J548" s="98"/>
      <c r="K548" s="98"/>
      <c r="L548" s="98"/>
      <c r="M548" s="98"/>
      <c r="N548" s="98"/>
    </row>
    <row r="549" ht="15.75" customHeight="1">
      <c r="A549" s="98"/>
      <c r="B549" s="98"/>
      <c r="C549" s="98"/>
      <c r="D549" s="98"/>
      <c r="E549" s="98"/>
      <c r="F549" s="98"/>
      <c r="G549" s="98"/>
      <c r="H549" s="98"/>
      <c r="I549" s="98"/>
      <c r="J549" s="98"/>
      <c r="K549" s="98"/>
      <c r="L549" s="98"/>
      <c r="M549" s="98"/>
      <c r="N549" s="98"/>
    </row>
    <row r="550" ht="15.75" customHeight="1">
      <c r="A550" s="98"/>
      <c r="B550" s="98"/>
      <c r="C550" s="98"/>
      <c r="D550" s="98"/>
      <c r="E550" s="98"/>
      <c r="F550" s="98"/>
      <c r="G550" s="98"/>
      <c r="H550" s="98"/>
      <c r="I550" s="98"/>
      <c r="J550" s="98"/>
      <c r="K550" s="98"/>
      <c r="L550" s="98"/>
      <c r="M550" s="98"/>
      <c r="N550" s="98"/>
    </row>
    <row r="551" ht="15.75" customHeight="1">
      <c r="A551" s="98"/>
      <c r="B551" s="98"/>
      <c r="C551" s="98"/>
      <c r="D551" s="98"/>
      <c r="E551" s="98"/>
      <c r="F551" s="98"/>
      <c r="G551" s="98"/>
      <c r="H551" s="98"/>
      <c r="I551" s="98"/>
      <c r="J551" s="98"/>
      <c r="K551" s="98"/>
      <c r="L551" s="98"/>
      <c r="M551" s="98"/>
      <c r="N551" s="98"/>
    </row>
    <row r="552" ht="15.75" customHeight="1">
      <c r="A552" s="98"/>
      <c r="B552" s="98"/>
      <c r="C552" s="98"/>
      <c r="D552" s="98"/>
      <c r="E552" s="98"/>
      <c r="F552" s="98"/>
      <c r="G552" s="98"/>
      <c r="H552" s="98"/>
      <c r="I552" s="98"/>
      <c r="J552" s="98"/>
      <c r="K552" s="98"/>
      <c r="L552" s="98"/>
      <c r="M552" s="98"/>
      <c r="N552" s="98"/>
    </row>
    <row r="553" ht="15.75" customHeight="1">
      <c r="A553" s="98"/>
      <c r="B553" s="98"/>
      <c r="C553" s="98"/>
      <c r="D553" s="98"/>
      <c r="E553" s="98"/>
      <c r="F553" s="98"/>
      <c r="G553" s="98"/>
      <c r="H553" s="98"/>
      <c r="I553" s="98"/>
      <c r="J553" s="98"/>
      <c r="K553" s="98"/>
      <c r="L553" s="98"/>
      <c r="M553" s="98"/>
      <c r="N553" s="98"/>
    </row>
    <row r="554" ht="15.75" customHeight="1">
      <c r="A554" s="98"/>
      <c r="B554" s="98"/>
      <c r="C554" s="98"/>
      <c r="D554" s="98"/>
      <c r="E554" s="98"/>
      <c r="F554" s="98"/>
      <c r="G554" s="98"/>
      <c r="H554" s="98"/>
      <c r="I554" s="98"/>
      <c r="J554" s="98"/>
      <c r="K554" s="98"/>
      <c r="L554" s="98"/>
      <c r="M554" s="98"/>
      <c r="N554" s="98"/>
    </row>
    <row r="555" ht="15.75" customHeight="1">
      <c r="A555" s="98"/>
      <c r="B555" s="98"/>
      <c r="C555" s="98"/>
      <c r="D555" s="98"/>
      <c r="E555" s="98"/>
      <c r="F555" s="98"/>
      <c r="G555" s="98"/>
      <c r="H555" s="98"/>
      <c r="I555" s="98"/>
      <c r="J555" s="98"/>
      <c r="K555" s="98"/>
      <c r="L555" s="98"/>
      <c r="M555" s="98"/>
      <c r="N555" s="98"/>
    </row>
    <row r="556" ht="15.75" customHeight="1">
      <c r="A556" s="98"/>
      <c r="B556" s="98"/>
      <c r="C556" s="98"/>
      <c r="D556" s="98"/>
      <c r="E556" s="98"/>
      <c r="F556" s="98"/>
      <c r="G556" s="98"/>
      <c r="H556" s="98"/>
      <c r="I556" s="98"/>
      <c r="J556" s="98"/>
      <c r="K556" s="98"/>
      <c r="L556" s="98"/>
      <c r="M556" s="98"/>
      <c r="N556" s="98"/>
    </row>
    <row r="557" ht="15.75" customHeight="1">
      <c r="A557" s="98"/>
      <c r="B557" s="98"/>
      <c r="C557" s="98"/>
      <c r="D557" s="98"/>
      <c r="E557" s="98"/>
      <c r="F557" s="98"/>
      <c r="G557" s="98"/>
      <c r="H557" s="98"/>
      <c r="I557" s="98"/>
      <c r="J557" s="98"/>
      <c r="K557" s="98"/>
      <c r="L557" s="98"/>
      <c r="M557" s="98"/>
      <c r="N557" s="98"/>
    </row>
    <row r="558" ht="15.75" customHeight="1">
      <c r="A558" s="98"/>
      <c r="B558" s="98"/>
      <c r="C558" s="98"/>
      <c r="D558" s="98"/>
      <c r="E558" s="98"/>
      <c r="F558" s="98"/>
      <c r="G558" s="98"/>
      <c r="H558" s="98"/>
      <c r="I558" s="98"/>
      <c r="J558" s="98"/>
      <c r="K558" s="98"/>
      <c r="L558" s="98"/>
      <c r="M558" s="98"/>
      <c r="N558" s="98"/>
    </row>
    <row r="559" ht="15.75" customHeight="1">
      <c r="A559" s="98"/>
      <c r="B559" s="98"/>
      <c r="C559" s="98"/>
      <c r="D559" s="98"/>
      <c r="E559" s="98"/>
      <c r="F559" s="98"/>
      <c r="G559" s="98"/>
      <c r="H559" s="98"/>
      <c r="I559" s="98"/>
      <c r="J559" s="98"/>
      <c r="K559" s="98"/>
      <c r="L559" s="98"/>
      <c r="M559" s="98"/>
      <c r="N559" s="98"/>
    </row>
    <row r="560" ht="15.75" customHeight="1">
      <c r="A560" s="98"/>
      <c r="B560" s="98"/>
      <c r="C560" s="98"/>
      <c r="D560" s="98"/>
      <c r="E560" s="98"/>
      <c r="F560" s="98"/>
      <c r="G560" s="98"/>
      <c r="H560" s="98"/>
      <c r="I560" s="98"/>
      <c r="J560" s="98"/>
      <c r="K560" s="98"/>
      <c r="L560" s="98"/>
      <c r="M560" s="98"/>
      <c r="N560" s="98"/>
    </row>
    <row r="561" ht="15.75" customHeight="1">
      <c r="A561" s="98"/>
      <c r="B561" s="98"/>
      <c r="C561" s="98"/>
      <c r="D561" s="98"/>
      <c r="E561" s="98"/>
      <c r="F561" s="98"/>
      <c r="G561" s="98"/>
      <c r="H561" s="98"/>
      <c r="I561" s="98"/>
      <c r="J561" s="98"/>
      <c r="K561" s="98"/>
      <c r="L561" s="98"/>
      <c r="M561" s="98"/>
      <c r="N561" s="98"/>
    </row>
    <row r="562" ht="15.75" customHeight="1">
      <c r="A562" s="98"/>
      <c r="B562" s="98"/>
      <c r="C562" s="98"/>
      <c r="D562" s="98"/>
      <c r="E562" s="98"/>
      <c r="F562" s="98"/>
      <c r="G562" s="98"/>
      <c r="H562" s="98"/>
      <c r="I562" s="98"/>
      <c r="J562" s="98"/>
      <c r="K562" s="98"/>
      <c r="L562" s="98"/>
      <c r="M562" s="98"/>
      <c r="N562" s="98"/>
    </row>
    <row r="563" ht="15.75" customHeight="1">
      <c r="A563" s="98"/>
      <c r="B563" s="98"/>
      <c r="C563" s="98"/>
      <c r="D563" s="98"/>
      <c r="E563" s="98"/>
      <c r="F563" s="98"/>
      <c r="G563" s="98"/>
      <c r="H563" s="98"/>
      <c r="I563" s="98"/>
      <c r="J563" s="98"/>
      <c r="K563" s="98"/>
      <c r="L563" s="98"/>
      <c r="M563" s="98"/>
      <c r="N563" s="98"/>
    </row>
    <row r="564" ht="15.75" customHeight="1">
      <c r="A564" s="98"/>
      <c r="B564" s="98"/>
      <c r="C564" s="98"/>
      <c r="D564" s="98"/>
      <c r="E564" s="98"/>
      <c r="F564" s="98"/>
      <c r="G564" s="98"/>
      <c r="H564" s="98"/>
      <c r="I564" s="98"/>
      <c r="J564" s="98"/>
      <c r="K564" s="98"/>
      <c r="L564" s="98"/>
      <c r="M564" s="98"/>
      <c r="N564" s="98"/>
    </row>
    <row r="565" ht="15.75" customHeight="1">
      <c r="A565" s="98"/>
      <c r="B565" s="98"/>
      <c r="C565" s="98"/>
      <c r="D565" s="98"/>
      <c r="E565" s="98"/>
      <c r="F565" s="98"/>
      <c r="G565" s="98"/>
      <c r="H565" s="98"/>
      <c r="I565" s="98"/>
      <c r="J565" s="98"/>
      <c r="K565" s="98"/>
      <c r="L565" s="98"/>
      <c r="M565" s="98"/>
      <c r="N565" s="98"/>
    </row>
    <row r="566" ht="15.75" customHeight="1">
      <c r="A566" s="98"/>
      <c r="B566" s="98"/>
      <c r="C566" s="98"/>
      <c r="D566" s="98"/>
      <c r="E566" s="98"/>
      <c r="F566" s="98"/>
      <c r="G566" s="98"/>
      <c r="H566" s="98"/>
      <c r="I566" s="98"/>
      <c r="J566" s="98"/>
      <c r="K566" s="98"/>
      <c r="L566" s="98"/>
      <c r="M566" s="98"/>
      <c r="N566" s="98"/>
    </row>
    <row r="567" ht="15.75" customHeight="1">
      <c r="A567" s="98"/>
      <c r="B567" s="98"/>
      <c r="C567" s="98"/>
      <c r="D567" s="98"/>
      <c r="E567" s="98"/>
      <c r="F567" s="98"/>
      <c r="G567" s="98"/>
      <c r="H567" s="98"/>
      <c r="I567" s="98"/>
      <c r="J567" s="98"/>
      <c r="K567" s="98"/>
      <c r="L567" s="98"/>
      <c r="M567" s="98"/>
      <c r="N567" s="98"/>
    </row>
    <row r="568" ht="15.75" customHeight="1">
      <c r="A568" s="98"/>
      <c r="B568" s="98"/>
      <c r="C568" s="98"/>
      <c r="D568" s="98"/>
      <c r="E568" s="98"/>
      <c r="F568" s="98"/>
      <c r="G568" s="98"/>
      <c r="H568" s="98"/>
      <c r="I568" s="98"/>
      <c r="J568" s="98"/>
      <c r="K568" s="98"/>
      <c r="L568" s="98"/>
      <c r="M568" s="98"/>
      <c r="N568" s="98"/>
    </row>
    <row r="569" ht="15.75" customHeight="1">
      <c r="A569" s="98"/>
      <c r="B569" s="98"/>
      <c r="C569" s="98"/>
      <c r="D569" s="98"/>
      <c r="E569" s="98"/>
      <c r="F569" s="98"/>
      <c r="G569" s="98"/>
      <c r="H569" s="98"/>
      <c r="I569" s="98"/>
      <c r="J569" s="98"/>
      <c r="K569" s="98"/>
      <c r="L569" s="98"/>
      <c r="M569" s="98"/>
      <c r="N569" s="98"/>
    </row>
    <row r="570" ht="15.75" customHeight="1">
      <c r="A570" s="98"/>
      <c r="B570" s="98"/>
      <c r="C570" s="98"/>
      <c r="D570" s="98"/>
      <c r="E570" s="98"/>
      <c r="F570" s="98"/>
      <c r="G570" s="98"/>
      <c r="H570" s="98"/>
      <c r="I570" s="98"/>
      <c r="J570" s="98"/>
      <c r="K570" s="98"/>
      <c r="L570" s="98"/>
      <c r="M570" s="98"/>
      <c r="N570" s="98"/>
    </row>
    <row r="571" ht="15.75" customHeight="1">
      <c r="A571" s="98"/>
      <c r="B571" s="98"/>
      <c r="C571" s="98"/>
      <c r="D571" s="98"/>
      <c r="E571" s="98"/>
      <c r="F571" s="98"/>
      <c r="G571" s="98"/>
      <c r="H571" s="98"/>
      <c r="I571" s="98"/>
      <c r="J571" s="98"/>
      <c r="K571" s="98"/>
      <c r="L571" s="98"/>
      <c r="M571" s="98"/>
      <c r="N571" s="98"/>
    </row>
    <row r="572" ht="15.75" customHeight="1">
      <c r="A572" s="98"/>
      <c r="B572" s="98"/>
      <c r="C572" s="98"/>
      <c r="D572" s="98"/>
      <c r="E572" s="98"/>
      <c r="F572" s="98"/>
      <c r="G572" s="98"/>
      <c r="H572" s="98"/>
      <c r="I572" s="98"/>
      <c r="J572" s="98"/>
      <c r="K572" s="98"/>
      <c r="L572" s="98"/>
      <c r="M572" s="98"/>
      <c r="N572" s="98"/>
    </row>
    <row r="573" ht="15.75" customHeight="1">
      <c r="A573" s="98"/>
      <c r="B573" s="98"/>
      <c r="C573" s="98"/>
      <c r="D573" s="98"/>
      <c r="E573" s="98"/>
      <c r="F573" s="98"/>
      <c r="G573" s="98"/>
      <c r="H573" s="98"/>
      <c r="I573" s="98"/>
      <c r="J573" s="98"/>
      <c r="K573" s="98"/>
      <c r="L573" s="98"/>
      <c r="M573" s="98"/>
      <c r="N573" s="98"/>
    </row>
    <row r="574" ht="15.75" customHeight="1">
      <c r="A574" s="98"/>
      <c r="B574" s="98"/>
      <c r="C574" s="98"/>
      <c r="D574" s="98"/>
      <c r="E574" s="98"/>
      <c r="F574" s="98"/>
      <c r="G574" s="98"/>
      <c r="H574" s="98"/>
      <c r="I574" s="98"/>
      <c r="J574" s="98"/>
      <c r="K574" s="98"/>
      <c r="L574" s="98"/>
      <c r="M574" s="98"/>
      <c r="N574" s="98"/>
    </row>
    <row r="575" ht="15.75" customHeight="1">
      <c r="A575" s="98"/>
      <c r="B575" s="98"/>
      <c r="C575" s="98"/>
      <c r="D575" s="98"/>
      <c r="E575" s="98"/>
      <c r="F575" s="98"/>
      <c r="G575" s="98"/>
      <c r="H575" s="98"/>
      <c r="I575" s="98"/>
      <c r="J575" s="98"/>
      <c r="K575" s="98"/>
      <c r="L575" s="98"/>
      <c r="M575" s="98"/>
      <c r="N575" s="98"/>
    </row>
    <row r="576" ht="15.75" customHeight="1">
      <c r="A576" s="98"/>
      <c r="B576" s="98"/>
      <c r="C576" s="98"/>
      <c r="D576" s="98"/>
      <c r="E576" s="98"/>
      <c r="F576" s="98"/>
      <c r="G576" s="98"/>
      <c r="H576" s="98"/>
      <c r="I576" s="98"/>
      <c r="J576" s="98"/>
      <c r="K576" s="98"/>
      <c r="L576" s="98"/>
      <c r="M576" s="98"/>
      <c r="N576" s="98"/>
    </row>
    <row r="577" ht="15.75" customHeight="1">
      <c r="A577" s="98"/>
      <c r="B577" s="98"/>
      <c r="C577" s="98"/>
      <c r="D577" s="98"/>
      <c r="E577" s="98"/>
      <c r="F577" s="98"/>
      <c r="G577" s="98"/>
      <c r="H577" s="98"/>
      <c r="I577" s="98"/>
      <c r="J577" s="98"/>
      <c r="K577" s="98"/>
      <c r="L577" s="98"/>
      <c r="M577" s="98"/>
      <c r="N577" s="98"/>
    </row>
    <row r="578" ht="15.75" customHeight="1">
      <c r="A578" s="98"/>
      <c r="B578" s="98"/>
      <c r="C578" s="98"/>
      <c r="D578" s="98"/>
      <c r="E578" s="98"/>
      <c r="F578" s="98"/>
      <c r="G578" s="98"/>
      <c r="H578" s="98"/>
      <c r="I578" s="98"/>
      <c r="J578" s="98"/>
      <c r="K578" s="98"/>
      <c r="L578" s="98"/>
      <c r="M578" s="98"/>
      <c r="N578" s="98"/>
    </row>
    <row r="579" ht="15.75" customHeight="1">
      <c r="A579" s="98"/>
      <c r="B579" s="98"/>
      <c r="C579" s="98"/>
      <c r="D579" s="98"/>
      <c r="E579" s="98"/>
      <c r="F579" s="98"/>
      <c r="G579" s="98"/>
      <c r="H579" s="98"/>
      <c r="I579" s="98"/>
      <c r="J579" s="98"/>
      <c r="K579" s="98"/>
      <c r="L579" s="98"/>
      <c r="M579" s="98"/>
      <c r="N579" s="98"/>
    </row>
    <row r="580" ht="15.75" customHeight="1">
      <c r="A580" s="98"/>
      <c r="B580" s="98"/>
      <c r="C580" s="98"/>
      <c r="D580" s="98"/>
      <c r="E580" s="98"/>
      <c r="F580" s="98"/>
      <c r="G580" s="98"/>
      <c r="H580" s="98"/>
      <c r="I580" s="98"/>
      <c r="J580" s="98"/>
      <c r="K580" s="98"/>
      <c r="L580" s="98"/>
      <c r="M580" s="98"/>
      <c r="N580" s="98"/>
    </row>
    <row r="581" ht="15.75" customHeight="1">
      <c r="A581" s="98"/>
      <c r="B581" s="98"/>
      <c r="C581" s="98"/>
      <c r="D581" s="98"/>
      <c r="E581" s="98"/>
      <c r="F581" s="98"/>
      <c r="G581" s="98"/>
      <c r="H581" s="98"/>
      <c r="I581" s="98"/>
      <c r="J581" s="98"/>
      <c r="K581" s="98"/>
      <c r="L581" s="98"/>
      <c r="M581" s="98"/>
      <c r="N581" s="98"/>
    </row>
    <row r="582" ht="15.75" customHeight="1">
      <c r="A582" s="98"/>
      <c r="B582" s="98"/>
      <c r="C582" s="98"/>
      <c r="D582" s="98"/>
      <c r="E582" s="98"/>
      <c r="F582" s="98"/>
      <c r="G582" s="98"/>
      <c r="H582" s="98"/>
      <c r="I582" s="98"/>
      <c r="J582" s="98"/>
      <c r="K582" s="98"/>
      <c r="L582" s="98"/>
      <c r="M582" s="98"/>
      <c r="N582" s="98"/>
    </row>
    <row r="583" ht="15.75" customHeight="1">
      <c r="A583" s="98"/>
      <c r="B583" s="98"/>
      <c r="C583" s="98"/>
      <c r="D583" s="98"/>
      <c r="E583" s="98"/>
      <c r="F583" s="98"/>
      <c r="G583" s="98"/>
      <c r="H583" s="98"/>
      <c r="I583" s="98"/>
      <c r="J583" s="98"/>
      <c r="K583" s="98"/>
      <c r="L583" s="98"/>
      <c r="M583" s="98"/>
      <c r="N583" s="98"/>
    </row>
    <row r="584" ht="15.75" customHeight="1">
      <c r="A584" s="98"/>
      <c r="B584" s="98"/>
      <c r="C584" s="98"/>
      <c r="D584" s="98"/>
      <c r="E584" s="98"/>
      <c r="F584" s="98"/>
      <c r="G584" s="98"/>
      <c r="H584" s="98"/>
      <c r="I584" s="98"/>
      <c r="J584" s="98"/>
      <c r="K584" s="98"/>
      <c r="L584" s="98"/>
      <c r="M584" s="98"/>
      <c r="N584" s="98"/>
    </row>
    <row r="585" ht="15.75" customHeight="1">
      <c r="A585" s="98"/>
      <c r="B585" s="98"/>
      <c r="C585" s="98"/>
      <c r="D585" s="98"/>
      <c r="E585" s="98"/>
      <c r="F585" s="98"/>
      <c r="G585" s="98"/>
      <c r="H585" s="98"/>
      <c r="I585" s="98"/>
      <c r="J585" s="98"/>
      <c r="K585" s="98"/>
      <c r="L585" s="98"/>
      <c r="M585" s="98"/>
      <c r="N585" s="98"/>
    </row>
    <row r="586" ht="15.75" customHeight="1">
      <c r="A586" s="98"/>
      <c r="B586" s="98"/>
      <c r="C586" s="98"/>
      <c r="D586" s="98"/>
      <c r="E586" s="98"/>
      <c r="F586" s="98"/>
      <c r="G586" s="98"/>
      <c r="H586" s="98"/>
      <c r="I586" s="98"/>
      <c r="J586" s="98"/>
      <c r="K586" s="98"/>
      <c r="L586" s="98"/>
      <c r="M586" s="98"/>
      <c r="N586" s="98"/>
    </row>
    <row r="587" ht="15.75" customHeight="1">
      <c r="A587" s="98"/>
      <c r="B587" s="98"/>
      <c r="C587" s="98"/>
      <c r="D587" s="98"/>
      <c r="E587" s="98"/>
      <c r="F587" s="98"/>
      <c r="G587" s="98"/>
      <c r="H587" s="98"/>
      <c r="I587" s="98"/>
      <c r="J587" s="98"/>
      <c r="K587" s="98"/>
      <c r="L587" s="98"/>
      <c r="M587" s="98"/>
      <c r="N587" s="98"/>
    </row>
    <row r="588" ht="15.75" customHeight="1">
      <c r="A588" s="98"/>
      <c r="B588" s="98"/>
      <c r="C588" s="98"/>
      <c r="D588" s="98"/>
      <c r="E588" s="98"/>
      <c r="F588" s="98"/>
      <c r="G588" s="98"/>
      <c r="H588" s="98"/>
      <c r="I588" s="98"/>
      <c r="J588" s="98"/>
      <c r="K588" s="98"/>
      <c r="L588" s="98"/>
      <c r="M588" s="98"/>
      <c r="N588" s="98"/>
    </row>
    <row r="589" ht="15.75" customHeight="1">
      <c r="A589" s="98"/>
      <c r="B589" s="98"/>
      <c r="C589" s="98"/>
      <c r="D589" s="98"/>
      <c r="E589" s="98"/>
      <c r="F589" s="98"/>
      <c r="G589" s="98"/>
      <c r="H589" s="98"/>
      <c r="I589" s="98"/>
      <c r="J589" s="98"/>
      <c r="K589" s="98"/>
      <c r="L589" s="98"/>
      <c r="M589" s="98"/>
      <c r="N589" s="98"/>
    </row>
    <row r="590" ht="15.75" customHeight="1">
      <c r="A590" s="98"/>
      <c r="B590" s="98"/>
      <c r="C590" s="98"/>
      <c r="D590" s="98"/>
      <c r="E590" s="98"/>
      <c r="F590" s="98"/>
      <c r="G590" s="98"/>
      <c r="H590" s="98"/>
      <c r="I590" s="98"/>
      <c r="J590" s="98"/>
      <c r="K590" s="98"/>
      <c r="L590" s="98"/>
      <c r="M590" s="98"/>
      <c r="N590" s="98"/>
    </row>
    <row r="591" ht="15.75" customHeight="1">
      <c r="A591" s="98"/>
      <c r="B591" s="98"/>
      <c r="C591" s="98"/>
      <c r="D591" s="98"/>
      <c r="E591" s="98"/>
      <c r="F591" s="98"/>
      <c r="G591" s="98"/>
      <c r="H591" s="98"/>
      <c r="I591" s="98"/>
      <c r="J591" s="98"/>
      <c r="K591" s="98"/>
      <c r="L591" s="98"/>
      <c r="M591" s="98"/>
      <c r="N591" s="98"/>
    </row>
    <row r="592" ht="15.75" customHeight="1">
      <c r="A592" s="98"/>
      <c r="B592" s="98"/>
      <c r="C592" s="98"/>
      <c r="D592" s="98"/>
      <c r="E592" s="98"/>
      <c r="F592" s="98"/>
      <c r="G592" s="98"/>
      <c r="H592" s="98"/>
      <c r="I592" s="98"/>
      <c r="J592" s="98"/>
      <c r="K592" s="98"/>
      <c r="L592" s="98"/>
      <c r="M592" s="98"/>
      <c r="N592" s="98"/>
    </row>
    <row r="593" ht="15.75" customHeight="1">
      <c r="A593" s="98"/>
      <c r="B593" s="98"/>
      <c r="C593" s="98"/>
      <c r="D593" s="98"/>
      <c r="E593" s="98"/>
      <c r="F593" s="98"/>
      <c r="G593" s="98"/>
      <c r="H593" s="98"/>
      <c r="I593" s="98"/>
      <c r="J593" s="98"/>
      <c r="K593" s="98"/>
      <c r="L593" s="98"/>
      <c r="M593" s="98"/>
      <c r="N593" s="98"/>
    </row>
    <row r="594" ht="15.75" customHeight="1">
      <c r="A594" s="98"/>
      <c r="B594" s="98"/>
      <c r="C594" s="98"/>
      <c r="D594" s="98"/>
      <c r="E594" s="98"/>
      <c r="F594" s="98"/>
      <c r="G594" s="98"/>
      <c r="H594" s="98"/>
      <c r="I594" s="98"/>
      <c r="J594" s="98"/>
      <c r="K594" s="98"/>
      <c r="L594" s="98"/>
      <c r="M594" s="98"/>
      <c r="N594" s="98"/>
    </row>
    <row r="595" ht="15.75" customHeight="1">
      <c r="A595" s="98"/>
      <c r="B595" s="98"/>
      <c r="C595" s="98"/>
      <c r="D595" s="98"/>
      <c r="E595" s="98"/>
      <c r="F595" s="98"/>
      <c r="G595" s="98"/>
      <c r="H595" s="98"/>
      <c r="I595" s="98"/>
      <c r="J595" s="98"/>
      <c r="K595" s="98"/>
      <c r="L595" s="98"/>
      <c r="M595" s="98"/>
      <c r="N595" s="98"/>
    </row>
    <row r="596" ht="15.75" customHeight="1">
      <c r="A596" s="98"/>
      <c r="B596" s="98"/>
      <c r="C596" s="98"/>
      <c r="D596" s="98"/>
      <c r="E596" s="98"/>
      <c r="F596" s="98"/>
      <c r="G596" s="98"/>
      <c r="H596" s="98"/>
      <c r="I596" s="98"/>
      <c r="J596" s="98"/>
      <c r="K596" s="98"/>
      <c r="L596" s="98"/>
      <c r="M596" s="98"/>
      <c r="N596" s="98"/>
    </row>
    <row r="597" ht="15.75" customHeight="1">
      <c r="A597" s="98"/>
      <c r="B597" s="98"/>
      <c r="C597" s="98"/>
      <c r="D597" s="98"/>
      <c r="E597" s="98"/>
      <c r="F597" s="98"/>
      <c r="G597" s="98"/>
      <c r="H597" s="98"/>
      <c r="I597" s="98"/>
      <c r="J597" s="98"/>
      <c r="K597" s="98"/>
      <c r="L597" s="98"/>
      <c r="M597" s="98"/>
      <c r="N597" s="98"/>
    </row>
    <row r="598" ht="15.75" customHeight="1">
      <c r="A598" s="98"/>
      <c r="B598" s="98"/>
      <c r="C598" s="98"/>
      <c r="D598" s="98"/>
      <c r="E598" s="98"/>
      <c r="F598" s="98"/>
      <c r="G598" s="98"/>
      <c r="H598" s="98"/>
      <c r="I598" s="98"/>
      <c r="J598" s="98"/>
      <c r="K598" s="98"/>
      <c r="L598" s="98"/>
      <c r="M598" s="98"/>
      <c r="N598" s="98"/>
    </row>
    <row r="599" ht="15.75" customHeight="1">
      <c r="A599" s="98"/>
      <c r="B599" s="98"/>
      <c r="C599" s="98"/>
      <c r="D599" s="98"/>
      <c r="E599" s="98"/>
      <c r="F599" s="98"/>
      <c r="G599" s="98"/>
      <c r="H599" s="98"/>
      <c r="I599" s="98"/>
      <c r="J599" s="98"/>
      <c r="K599" s="98"/>
      <c r="L599" s="98"/>
      <c r="M599" s="98"/>
      <c r="N599" s="98"/>
    </row>
    <row r="600" ht="15.75" customHeight="1">
      <c r="A600" s="98"/>
      <c r="B600" s="98"/>
      <c r="C600" s="98"/>
      <c r="D600" s="98"/>
      <c r="E600" s="98"/>
      <c r="F600" s="98"/>
      <c r="G600" s="98"/>
      <c r="H600" s="98"/>
      <c r="I600" s="98"/>
      <c r="J600" s="98"/>
      <c r="K600" s="98"/>
      <c r="L600" s="98"/>
      <c r="M600" s="98"/>
      <c r="N600" s="98"/>
    </row>
    <row r="601" ht="15.75" customHeight="1">
      <c r="A601" s="98"/>
      <c r="B601" s="98"/>
      <c r="C601" s="98"/>
      <c r="D601" s="98"/>
      <c r="E601" s="98"/>
      <c r="F601" s="98"/>
      <c r="G601" s="98"/>
      <c r="H601" s="98"/>
      <c r="I601" s="98"/>
      <c r="J601" s="98"/>
      <c r="K601" s="98"/>
      <c r="L601" s="98"/>
      <c r="M601" s="98"/>
      <c r="N601" s="98"/>
    </row>
    <row r="602" ht="15.75" customHeight="1">
      <c r="A602" s="98"/>
      <c r="B602" s="98"/>
      <c r="C602" s="98"/>
      <c r="D602" s="98"/>
      <c r="E602" s="98"/>
      <c r="F602" s="98"/>
      <c r="G602" s="98"/>
      <c r="H602" s="98"/>
      <c r="I602" s="98"/>
      <c r="J602" s="98"/>
      <c r="K602" s="98"/>
      <c r="L602" s="98"/>
      <c r="M602" s="98"/>
      <c r="N602" s="98"/>
    </row>
    <row r="603" ht="15.75" customHeight="1">
      <c r="A603" s="98"/>
      <c r="B603" s="98"/>
      <c r="C603" s="98"/>
      <c r="D603" s="98"/>
      <c r="E603" s="98"/>
      <c r="F603" s="98"/>
      <c r="G603" s="98"/>
      <c r="H603" s="98"/>
      <c r="I603" s="98"/>
      <c r="J603" s="98"/>
      <c r="K603" s="98"/>
      <c r="L603" s="98"/>
      <c r="M603" s="98"/>
      <c r="N603" s="98"/>
    </row>
    <row r="604" ht="15.75" customHeight="1">
      <c r="A604" s="98"/>
      <c r="B604" s="98"/>
      <c r="C604" s="98"/>
      <c r="D604" s="98"/>
      <c r="E604" s="98"/>
      <c r="F604" s="98"/>
      <c r="G604" s="98"/>
      <c r="H604" s="98"/>
      <c r="I604" s="98"/>
      <c r="J604" s="98"/>
      <c r="K604" s="98"/>
      <c r="L604" s="98"/>
      <c r="M604" s="98"/>
      <c r="N604" s="98"/>
    </row>
    <row r="605" ht="15.75" customHeight="1">
      <c r="A605" s="98"/>
      <c r="B605" s="98"/>
      <c r="C605" s="98"/>
      <c r="D605" s="98"/>
      <c r="E605" s="98"/>
      <c r="F605" s="98"/>
      <c r="G605" s="98"/>
      <c r="H605" s="98"/>
      <c r="I605" s="98"/>
      <c r="J605" s="98"/>
      <c r="K605" s="98"/>
      <c r="L605" s="98"/>
      <c r="M605" s="98"/>
      <c r="N605" s="98"/>
    </row>
    <row r="606" ht="15.75" customHeight="1">
      <c r="A606" s="98"/>
      <c r="B606" s="98"/>
      <c r="C606" s="98"/>
      <c r="D606" s="98"/>
      <c r="E606" s="98"/>
      <c r="F606" s="98"/>
      <c r="G606" s="98"/>
      <c r="H606" s="98"/>
      <c r="I606" s="98"/>
      <c r="J606" s="98"/>
      <c r="K606" s="98"/>
      <c r="L606" s="98"/>
      <c r="M606" s="98"/>
      <c r="N606" s="98"/>
    </row>
    <row r="607" ht="15.75" customHeight="1">
      <c r="A607" s="98"/>
      <c r="B607" s="98"/>
      <c r="C607" s="98"/>
      <c r="D607" s="98"/>
      <c r="E607" s="98"/>
      <c r="F607" s="98"/>
      <c r="G607" s="98"/>
      <c r="H607" s="98"/>
      <c r="I607" s="98"/>
      <c r="J607" s="98"/>
      <c r="K607" s="98"/>
      <c r="L607" s="98"/>
      <c r="M607" s="98"/>
      <c r="N607" s="98"/>
    </row>
    <row r="608" ht="15.75" customHeight="1">
      <c r="A608" s="98"/>
      <c r="B608" s="98"/>
      <c r="C608" s="98"/>
      <c r="D608" s="98"/>
      <c r="E608" s="98"/>
      <c r="F608" s="98"/>
      <c r="G608" s="98"/>
      <c r="H608" s="98"/>
      <c r="I608" s="98"/>
      <c r="J608" s="98"/>
      <c r="K608" s="98"/>
      <c r="L608" s="98"/>
      <c r="M608" s="98"/>
      <c r="N608" s="98"/>
    </row>
    <row r="609" ht="15.75" customHeight="1">
      <c r="A609" s="98"/>
      <c r="B609" s="98"/>
      <c r="C609" s="98"/>
      <c r="D609" s="98"/>
      <c r="E609" s="98"/>
      <c r="F609" s="98"/>
      <c r="G609" s="98"/>
      <c r="H609" s="98"/>
      <c r="I609" s="98"/>
      <c r="J609" s="98"/>
      <c r="K609" s="98"/>
      <c r="L609" s="98"/>
      <c r="M609" s="98"/>
      <c r="N609" s="98"/>
    </row>
    <row r="610" ht="15.75" customHeight="1">
      <c r="A610" s="98"/>
      <c r="B610" s="98"/>
      <c r="C610" s="98"/>
      <c r="D610" s="98"/>
      <c r="E610" s="98"/>
      <c r="F610" s="98"/>
      <c r="G610" s="98"/>
      <c r="H610" s="98"/>
      <c r="I610" s="98"/>
      <c r="J610" s="98"/>
      <c r="K610" s="98"/>
      <c r="L610" s="98"/>
      <c r="M610" s="98"/>
      <c r="N610" s="98"/>
    </row>
    <row r="611" ht="15.75" customHeight="1">
      <c r="A611" s="98"/>
      <c r="B611" s="98"/>
      <c r="C611" s="98"/>
      <c r="D611" s="98"/>
      <c r="E611" s="98"/>
      <c r="F611" s="98"/>
      <c r="G611" s="98"/>
      <c r="H611" s="98"/>
      <c r="I611" s="98"/>
      <c r="J611" s="98"/>
      <c r="K611" s="98"/>
      <c r="L611" s="98"/>
      <c r="M611" s="98"/>
      <c r="N611" s="98"/>
    </row>
    <row r="612" ht="15.75" customHeight="1">
      <c r="A612" s="98"/>
      <c r="B612" s="98"/>
      <c r="C612" s="98"/>
      <c r="D612" s="98"/>
      <c r="E612" s="98"/>
      <c r="F612" s="98"/>
      <c r="G612" s="98"/>
      <c r="H612" s="98"/>
      <c r="I612" s="98"/>
      <c r="J612" s="98"/>
      <c r="K612" s="98"/>
      <c r="L612" s="98"/>
      <c r="M612" s="98"/>
      <c r="N612" s="98"/>
    </row>
    <row r="613" ht="15.75" customHeight="1">
      <c r="A613" s="98"/>
      <c r="B613" s="98"/>
      <c r="C613" s="98"/>
      <c r="D613" s="98"/>
      <c r="E613" s="98"/>
      <c r="F613" s="98"/>
      <c r="G613" s="98"/>
      <c r="H613" s="98"/>
      <c r="I613" s="98"/>
      <c r="J613" s="98"/>
      <c r="K613" s="98"/>
      <c r="L613" s="98"/>
      <c r="M613" s="98"/>
      <c r="N613" s="98"/>
    </row>
    <row r="614" ht="15.75" customHeight="1">
      <c r="A614" s="98"/>
      <c r="B614" s="98"/>
      <c r="C614" s="98"/>
      <c r="D614" s="98"/>
      <c r="E614" s="98"/>
      <c r="F614" s="98"/>
      <c r="G614" s="98"/>
      <c r="H614" s="98"/>
      <c r="I614" s="98"/>
      <c r="J614" s="98"/>
      <c r="K614" s="98"/>
      <c r="L614" s="98"/>
      <c r="M614" s="98"/>
      <c r="N614" s="98"/>
    </row>
    <row r="615" ht="15.75" customHeight="1">
      <c r="A615" s="98"/>
      <c r="B615" s="98"/>
      <c r="C615" s="98"/>
      <c r="D615" s="98"/>
      <c r="E615" s="98"/>
      <c r="F615" s="98"/>
      <c r="G615" s="98"/>
      <c r="H615" s="98"/>
      <c r="I615" s="98"/>
      <c r="J615" s="98"/>
      <c r="K615" s="98"/>
      <c r="L615" s="98"/>
      <c r="M615" s="98"/>
      <c r="N615" s="98"/>
    </row>
    <row r="616" ht="15.75" customHeight="1">
      <c r="A616" s="98"/>
      <c r="B616" s="98"/>
      <c r="C616" s="98"/>
      <c r="D616" s="98"/>
      <c r="E616" s="98"/>
      <c r="F616" s="98"/>
      <c r="G616" s="98"/>
      <c r="H616" s="98"/>
      <c r="I616" s="98"/>
      <c r="J616" s="98"/>
      <c r="K616" s="98"/>
      <c r="L616" s="98"/>
      <c r="M616" s="98"/>
      <c r="N616" s="98"/>
    </row>
    <row r="617" ht="15.75" customHeight="1">
      <c r="A617" s="98"/>
      <c r="B617" s="98"/>
      <c r="C617" s="98"/>
      <c r="D617" s="98"/>
      <c r="E617" s="98"/>
      <c r="F617" s="98"/>
      <c r="G617" s="98"/>
      <c r="H617" s="98"/>
      <c r="I617" s="98"/>
      <c r="J617" s="98"/>
      <c r="K617" s="98"/>
      <c r="L617" s="98"/>
      <c r="M617" s="98"/>
      <c r="N617" s="98"/>
    </row>
    <row r="618" ht="15.75" customHeight="1">
      <c r="A618" s="98"/>
      <c r="B618" s="98"/>
      <c r="C618" s="98"/>
      <c r="D618" s="98"/>
      <c r="E618" s="98"/>
      <c r="F618" s="98"/>
      <c r="G618" s="98"/>
      <c r="H618" s="98"/>
      <c r="I618" s="98"/>
      <c r="J618" s="98"/>
      <c r="K618" s="98"/>
      <c r="L618" s="98"/>
      <c r="M618" s="98"/>
      <c r="N618" s="98"/>
    </row>
    <row r="619" ht="15.75" customHeight="1">
      <c r="A619" s="98"/>
      <c r="B619" s="98"/>
      <c r="C619" s="98"/>
      <c r="D619" s="98"/>
      <c r="E619" s="98"/>
      <c r="F619" s="98"/>
      <c r="G619" s="98"/>
      <c r="H619" s="98"/>
      <c r="I619" s="98"/>
      <c r="J619" s="98"/>
      <c r="K619" s="98"/>
      <c r="L619" s="98"/>
      <c r="M619" s="98"/>
      <c r="N619" s="98"/>
    </row>
    <row r="620" ht="15.75" customHeight="1">
      <c r="A620" s="98"/>
      <c r="B620" s="98"/>
      <c r="C620" s="98"/>
      <c r="D620" s="98"/>
      <c r="E620" s="98"/>
      <c r="F620" s="98"/>
      <c r="G620" s="98"/>
      <c r="H620" s="98"/>
      <c r="I620" s="98"/>
      <c r="J620" s="98"/>
      <c r="K620" s="98"/>
      <c r="L620" s="98"/>
      <c r="M620" s="98"/>
      <c r="N620" s="98"/>
    </row>
    <row r="621" ht="15.75" customHeight="1">
      <c r="A621" s="98"/>
      <c r="B621" s="98"/>
      <c r="C621" s="98"/>
      <c r="D621" s="98"/>
      <c r="E621" s="98"/>
      <c r="F621" s="98"/>
      <c r="G621" s="98"/>
      <c r="H621" s="98"/>
      <c r="I621" s="98"/>
      <c r="J621" s="98"/>
      <c r="K621" s="98"/>
      <c r="L621" s="98"/>
      <c r="M621" s="98"/>
      <c r="N621" s="98"/>
    </row>
    <row r="622" ht="15.75" customHeight="1">
      <c r="A622" s="98"/>
      <c r="B622" s="98"/>
      <c r="C622" s="98"/>
      <c r="D622" s="98"/>
      <c r="E622" s="98"/>
      <c r="F622" s="98"/>
      <c r="G622" s="98"/>
      <c r="H622" s="98"/>
      <c r="I622" s="98"/>
      <c r="J622" s="98"/>
      <c r="K622" s="98"/>
      <c r="L622" s="98"/>
      <c r="M622" s="98"/>
      <c r="N622" s="98"/>
    </row>
    <row r="623" ht="15.75" customHeight="1">
      <c r="A623" s="98"/>
      <c r="B623" s="98"/>
      <c r="C623" s="98"/>
      <c r="D623" s="98"/>
      <c r="E623" s="98"/>
      <c r="F623" s="98"/>
      <c r="G623" s="98"/>
      <c r="H623" s="98"/>
      <c r="I623" s="98"/>
      <c r="J623" s="98"/>
      <c r="K623" s="98"/>
      <c r="L623" s="98"/>
      <c r="M623" s="98"/>
      <c r="N623" s="98"/>
    </row>
    <row r="624" ht="15.75" customHeight="1">
      <c r="A624" s="98"/>
      <c r="B624" s="98"/>
      <c r="C624" s="98"/>
      <c r="D624" s="98"/>
      <c r="E624" s="98"/>
      <c r="F624" s="98"/>
      <c r="G624" s="98"/>
      <c r="H624" s="98"/>
      <c r="I624" s="98"/>
      <c r="J624" s="98"/>
      <c r="K624" s="98"/>
      <c r="L624" s="98"/>
      <c r="M624" s="98"/>
      <c r="N624" s="98"/>
    </row>
    <row r="625" ht="15.75" customHeight="1">
      <c r="A625" s="98"/>
      <c r="B625" s="98"/>
      <c r="C625" s="98"/>
      <c r="D625" s="98"/>
      <c r="E625" s="98"/>
      <c r="F625" s="98"/>
      <c r="G625" s="98"/>
      <c r="H625" s="98"/>
      <c r="I625" s="98"/>
      <c r="J625" s="98"/>
      <c r="K625" s="98"/>
      <c r="L625" s="98"/>
      <c r="M625" s="98"/>
      <c r="N625" s="98"/>
    </row>
    <row r="626" ht="15.75" customHeight="1">
      <c r="A626" s="98"/>
      <c r="B626" s="98"/>
      <c r="C626" s="98"/>
      <c r="D626" s="98"/>
      <c r="E626" s="98"/>
      <c r="F626" s="98"/>
      <c r="G626" s="98"/>
      <c r="H626" s="98"/>
      <c r="I626" s="98"/>
      <c r="J626" s="98"/>
      <c r="K626" s="98"/>
      <c r="L626" s="98"/>
      <c r="M626" s="98"/>
      <c r="N626" s="98"/>
    </row>
    <row r="627" ht="15.75" customHeight="1">
      <c r="A627" s="98"/>
      <c r="B627" s="98"/>
      <c r="C627" s="98"/>
      <c r="D627" s="98"/>
      <c r="E627" s="98"/>
      <c r="F627" s="98"/>
      <c r="G627" s="98"/>
      <c r="H627" s="98"/>
      <c r="I627" s="98"/>
      <c r="J627" s="98"/>
      <c r="K627" s="98"/>
      <c r="L627" s="98"/>
      <c r="M627" s="98"/>
      <c r="N627" s="98"/>
    </row>
    <row r="628" ht="15.75" customHeight="1">
      <c r="A628" s="98"/>
      <c r="B628" s="98"/>
      <c r="C628" s="98"/>
      <c r="D628" s="98"/>
      <c r="E628" s="98"/>
      <c r="F628" s="98"/>
      <c r="G628" s="98"/>
      <c r="H628" s="98"/>
      <c r="I628" s="98"/>
      <c r="J628" s="98"/>
      <c r="K628" s="98"/>
      <c r="L628" s="98"/>
      <c r="M628" s="98"/>
      <c r="N628" s="98"/>
    </row>
    <row r="629" ht="15.75" customHeight="1">
      <c r="A629" s="98"/>
      <c r="B629" s="98"/>
      <c r="C629" s="98"/>
      <c r="D629" s="98"/>
      <c r="E629" s="98"/>
      <c r="F629" s="98"/>
      <c r="G629" s="98"/>
      <c r="H629" s="98"/>
      <c r="I629" s="98"/>
      <c r="J629" s="98"/>
      <c r="K629" s="98"/>
      <c r="L629" s="98"/>
      <c r="M629" s="98"/>
      <c r="N629" s="98"/>
    </row>
    <row r="630" ht="15.75" customHeight="1">
      <c r="A630" s="98"/>
      <c r="B630" s="98"/>
      <c r="C630" s="98"/>
      <c r="D630" s="98"/>
      <c r="E630" s="98"/>
      <c r="F630" s="98"/>
      <c r="G630" s="98"/>
      <c r="H630" s="98"/>
      <c r="I630" s="98"/>
      <c r="J630" s="98"/>
      <c r="K630" s="98"/>
      <c r="L630" s="98"/>
      <c r="M630" s="98"/>
      <c r="N630" s="98"/>
    </row>
    <row r="631" ht="15.75" customHeight="1">
      <c r="A631" s="98"/>
      <c r="B631" s="98"/>
      <c r="C631" s="98"/>
      <c r="D631" s="98"/>
      <c r="E631" s="98"/>
      <c r="F631" s="98"/>
      <c r="G631" s="98"/>
      <c r="H631" s="98"/>
      <c r="I631" s="98"/>
      <c r="J631" s="98"/>
      <c r="K631" s="98"/>
      <c r="L631" s="98"/>
      <c r="M631" s="98"/>
      <c r="N631" s="98"/>
    </row>
    <row r="632" ht="15.75" customHeight="1">
      <c r="A632" s="98"/>
      <c r="B632" s="98"/>
      <c r="C632" s="98"/>
      <c r="D632" s="98"/>
      <c r="E632" s="98"/>
      <c r="F632" s="98"/>
      <c r="G632" s="98"/>
      <c r="H632" s="98"/>
      <c r="I632" s="98"/>
      <c r="J632" s="98"/>
      <c r="K632" s="98"/>
      <c r="L632" s="98"/>
      <c r="M632" s="98"/>
      <c r="N632" s="98"/>
    </row>
    <row r="633" ht="15.75" customHeight="1">
      <c r="A633" s="98"/>
      <c r="B633" s="98"/>
      <c r="C633" s="98"/>
      <c r="D633" s="98"/>
      <c r="E633" s="98"/>
      <c r="F633" s="98"/>
      <c r="G633" s="98"/>
      <c r="H633" s="98"/>
      <c r="I633" s="98"/>
      <c r="J633" s="98"/>
      <c r="K633" s="98"/>
      <c r="L633" s="98"/>
      <c r="M633" s="98"/>
      <c r="N633" s="98"/>
    </row>
    <row r="634" ht="15.75" customHeight="1">
      <c r="A634" s="98"/>
      <c r="B634" s="98"/>
      <c r="C634" s="98"/>
      <c r="D634" s="98"/>
      <c r="E634" s="98"/>
      <c r="F634" s="98"/>
      <c r="G634" s="98"/>
      <c r="H634" s="98"/>
      <c r="I634" s="98"/>
      <c r="J634" s="98"/>
      <c r="K634" s="98"/>
      <c r="L634" s="98"/>
      <c r="M634" s="98"/>
      <c r="N634" s="98"/>
    </row>
    <row r="635" ht="15.75" customHeight="1">
      <c r="A635" s="98"/>
      <c r="B635" s="98"/>
      <c r="C635" s="98"/>
      <c r="D635" s="98"/>
      <c r="E635" s="98"/>
      <c r="F635" s="98"/>
      <c r="G635" s="98"/>
      <c r="H635" s="98"/>
      <c r="I635" s="98"/>
      <c r="J635" s="98"/>
      <c r="K635" s="98"/>
      <c r="L635" s="98"/>
      <c r="M635" s="98"/>
      <c r="N635" s="98"/>
    </row>
    <row r="636" ht="15.75" customHeight="1">
      <c r="A636" s="98"/>
      <c r="B636" s="98"/>
      <c r="C636" s="98"/>
      <c r="D636" s="98"/>
      <c r="E636" s="98"/>
      <c r="F636" s="98"/>
      <c r="G636" s="98"/>
      <c r="H636" s="98"/>
      <c r="I636" s="98"/>
      <c r="J636" s="98"/>
      <c r="K636" s="98"/>
      <c r="L636" s="98"/>
      <c r="M636" s="98"/>
      <c r="N636" s="98"/>
    </row>
    <row r="637" ht="15.75" customHeight="1">
      <c r="A637" s="98"/>
      <c r="B637" s="98"/>
      <c r="C637" s="98"/>
      <c r="D637" s="98"/>
      <c r="E637" s="98"/>
      <c r="F637" s="98"/>
      <c r="G637" s="98"/>
      <c r="H637" s="98"/>
      <c r="I637" s="98"/>
      <c r="J637" s="98"/>
      <c r="K637" s="98"/>
      <c r="L637" s="98"/>
      <c r="M637" s="98"/>
      <c r="N637" s="98"/>
    </row>
    <row r="638" ht="15.75" customHeight="1">
      <c r="A638" s="98"/>
      <c r="B638" s="98"/>
      <c r="C638" s="98"/>
      <c r="D638" s="98"/>
      <c r="E638" s="98"/>
      <c r="F638" s="98"/>
      <c r="G638" s="98"/>
      <c r="H638" s="98"/>
      <c r="I638" s="98"/>
      <c r="J638" s="98"/>
      <c r="K638" s="98"/>
      <c r="L638" s="98"/>
      <c r="M638" s="98"/>
      <c r="N638" s="98"/>
    </row>
    <row r="639" ht="15.75" customHeight="1">
      <c r="A639" s="98"/>
      <c r="B639" s="98"/>
      <c r="C639" s="98"/>
      <c r="D639" s="98"/>
      <c r="E639" s="98"/>
      <c r="F639" s="98"/>
      <c r="G639" s="98"/>
      <c r="H639" s="98"/>
      <c r="I639" s="98"/>
      <c r="J639" s="98"/>
      <c r="K639" s="98"/>
      <c r="L639" s="98"/>
      <c r="M639" s="98"/>
      <c r="N639" s="98"/>
    </row>
    <row r="640" ht="15.75" customHeight="1">
      <c r="A640" s="98"/>
      <c r="B640" s="98"/>
      <c r="C640" s="98"/>
      <c r="D640" s="98"/>
      <c r="E640" s="98"/>
      <c r="F640" s="98"/>
      <c r="G640" s="98"/>
      <c r="H640" s="98"/>
      <c r="I640" s="98"/>
      <c r="J640" s="98"/>
      <c r="K640" s="98"/>
      <c r="L640" s="98"/>
      <c r="M640" s="98"/>
      <c r="N640" s="98"/>
    </row>
    <row r="641" ht="15.75" customHeight="1">
      <c r="A641" s="98"/>
      <c r="B641" s="98"/>
      <c r="C641" s="98"/>
      <c r="D641" s="98"/>
      <c r="E641" s="98"/>
      <c r="F641" s="98"/>
      <c r="G641" s="98"/>
      <c r="H641" s="98"/>
      <c r="I641" s="98"/>
      <c r="J641" s="98"/>
      <c r="K641" s="98"/>
      <c r="L641" s="98"/>
      <c r="M641" s="98"/>
      <c r="N641" s="98"/>
    </row>
    <row r="642" ht="15.75" customHeight="1">
      <c r="A642" s="98"/>
      <c r="B642" s="98"/>
      <c r="C642" s="98"/>
      <c r="D642" s="98"/>
      <c r="E642" s="98"/>
      <c r="F642" s="98"/>
      <c r="G642" s="98"/>
      <c r="H642" s="98"/>
      <c r="I642" s="98"/>
      <c r="J642" s="98"/>
      <c r="K642" s="98"/>
      <c r="L642" s="98"/>
      <c r="M642" s="98"/>
      <c r="N642" s="98"/>
    </row>
    <row r="643" ht="15.75" customHeight="1">
      <c r="A643" s="98"/>
      <c r="B643" s="98"/>
      <c r="C643" s="98"/>
      <c r="D643" s="98"/>
      <c r="E643" s="98"/>
      <c r="F643" s="98"/>
      <c r="G643" s="98"/>
      <c r="H643" s="98"/>
      <c r="I643" s="98"/>
      <c r="J643" s="98"/>
      <c r="K643" s="98"/>
      <c r="L643" s="98"/>
      <c r="M643" s="98"/>
      <c r="N643" s="98"/>
    </row>
    <row r="644" ht="15.75" customHeight="1">
      <c r="A644" s="98"/>
      <c r="B644" s="98"/>
      <c r="C644" s="98"/>
      <c r="D644" s="98"/>
      <c r="E644" s="98"/>
      <c r="F644" s="98"/>
      <c r="G644" s="98"/>
      <c r="H644" s="98"/>
      <c r="I644" s="98"/>
      <c r="J644" s="98"/>
      <c r="K644" s="98"/>
      <c r="L644" s="98"/>
      <c r="M644" s="98"/>
      <c r="N644" s="98"/>
    </row>
    <row r="645" ht="15.75" customHeight="1">
      <c r="A645" s="98"/>
      <c r="B645" s="98"/>
      <c r="C645" s="98"/>
      <c r="D645" s="98"/>
      <c r="E645" s="98"/>
      <c r="F645" s="98"/>
      <c r="G645" s="98"/>
      <c r="H645" s="98"/>
      <c r="I645" s="98"/>
      <c r="J645" s="98"/>
      <c r="K645" s="98"/>
      <c r="L645" s="98"/>
      <c r="M645" s="98"/>
      <c r="N645" s="98"/>
    </row>
    <row r="646" ht="15.75" customHeight="1">
      <c r="A646" s="98"/>
      <c r="B646" s="98"/>
      <c r="C646" s="98"/>
      <c r="D646" s="98"/>
      <c r="E646" s="98"/>
      <c r="F646" s="98"/>
      <c r="G646" s="98"/>
      <c r="H646" s="98"/>
      <c r="I646" s="98"/>
      <c r="J646" s="98"/>
      <c r="K646" s="98"/>
      <c r="L646" s="98"/>
      <c r="M646" s="98"/>
      <c r="N646" s="98"/>
    </row>
    <row r="647" ht="15.75" customHeight="1">
      <c r="A647" s="98"/>
      <c r="B647" s="98"/>
      <c r="C647" s="98"/>
      <c r="D647" s="98"/>
      <c r="E647" s="98"/>
      <c r="F647" s="98"/>
      <c r="G647" s="98"/>
      <c r="H647" s="98"/>
      <c r="I647" s="98"/>
      <c r="J647" s="98"/>
      <c r="K647" s="98"/>
      <c r="L647" s="98"/>
      <c r="M647" s="98"/>
      <c r="N647" s="98"/>
    </row>
    <row r="648" ht="15.75" customHeight="1">
      <c r="A648" s="98"/>
      <c r="B648" s="98"/>
      <c r="C648" s="98"/>
      <c r="D648" s="98"/>
      <c r="E648" s="98"/>
      <c r="F648" s="98"/>
      <c r="G648" s="98"/>
      <c r="H648" s="98"/>
      <c r="I648" s="98"/>
      <c r="J648" s="98"/>
      <c r="K648" s="98"/>
      <c r="L648" s="98"/>
      <c r="M648" s="98"/>
      <c r="N648" s="98"/>
    </row>
    <row r="649" ht="15.75" customHeight="1">
      <c r="A649" s="98"/>
      <c r="B649" s="98"/>
      <c r="C649" s="98"/>
      <c r="D649" s="98"/>
      <c r="E649" s="98"/>
      <c r="F649" s="98"/>
      <c r="G649" s="98"/>
      <c r="H649" s="98"/>
      <c r="I649" s="98"/>
      <c r="J649" s="98"/>
      <c r="K649" s="98"/>
      <c r="L649" s="98"/>
      <c r="M649" s="98"/>
      <c r="N649" s="98"/>
    </row>
    <row r="650" ht="15.75" customHeight="1">
      <c r="A650" s="98"/>
      <c r="B650" s="98"/>
      <c r="C650" s="98"/>
      <c r="D650" s="98"/>
      <c r="E650" s="98"/>
      <c r="F650" s="98"/>
      <c r="G650" s="98"/>
      <c r="H650" s="98"/>
      <c r="I650" s="98"/>
      <c r="J650" s="98"/>
      <c r="K650" s="98"/>
      <c r="L650" s="98"/>
      <c r="M650" s="98"/>
      <c r="N650" s="98"/>
    </row>
    <row r="651" ht="15.75" customHeight="1">
      <c r="A651" s="98"/>
      <c r="B651" s="98"/>
      <c r="C651" s="98"/>
      <c r="D651" s="98"/>
      <c r="E651" s="98"/>
      <c r="F651" s="98"/>
      <c r="G651" s="98"/>
      <c r="H651" s="98"/>
      <c r="I651" s="98"/>
      <c r="J651" s="98"/>
      <c r="K651" s="98"/>
      <c r="L651" s="98"/>
      <c r="M651" s="98"/>
      <c r="N651" s="98"/>
    </row>
    <row r="652" ht="15.75" customHeight="1">
      <c r="A652" s="98"/>
      <c r="B652" s="98"/>
      <c r="C652" s="98"/>
      <c r="D652" s="98"/>
      <c r="E652" s="98"/>
      <c r="F652" s="98"/>
      <c r="G652" s="98"/>
      <c r="H652" s="98"/>
      <c r="I652" s="98"/>
      <c r="J652" s="98"/>
      <c r="K652" s="98"/>
      <c r="L652" s="98"/>
      <c r="M652" s="98"/>
      <c r="N652" s="98"/>
    </row>
    <row r="653" ht="15.75" customHeight="1">
      <c r="A653" s="98"/>
      <c r="B653" s="98"/>
      <c r="C653" s="98"/>
      <c r="D653" s="98"/>
      <c r="E653" s="98"/>
      <c r="F653" s="98"/>
      <c r="G653" s="98"/>
      <c r="H653" s="98"/>
      <c r="I653" s="98"/>
      <c r="J653" s="98"/>
      <c r="K653" s="98"/>
      <c r="L653" s="98"/>
      <c r="M653" s="98"/>
      <c r="N653" s="98"/>
    </row>
    <row r="654" ht="15.75" customHeight="1">
      <c r="A654" s="98"/>
      <c r="B654" s="98"/>
      <c r="C654" s="98"/>
      <c r="D654" s="98"/>
      <c r="E654" s="98"/>
      <c r="F654" s="98"/>
      <c r="G654" s="98"/>
      <c r="H654" s="98"/>
      <c r="I654" s="98"/>
      <c r="J654" s="98"/>
      <c r="K654" s="98"/>
      <c r="L654" s="98"/>
      <c r="M654" s="98"/>
      <c r="N654" s="98"/>
    </row>
    <row r="655" ht="15.75" customHeight="1">
      <c r="A655" s="98"/>
      <c r="B655" s="98"/>
      <c r="C655" s="98"/>
      <c r="D655" s="98"/>
      <c r="E655" s="98"/>
      <c r="F655" s="98"/>
      <c r="G655" s="98"/>
      <c r="H655" s="98"/>
      <c r="I655" s="98"/>
      <c r="J655" s="98"/>
      <c r="K655" s="98"/>
      <c r="L655" s="98"/>
      <c r="M655" s="98"/>
      <c r="N655" s="98"/>
    </row>
    <row r="656" ht="15.75" customHeight="1">
      <c r="A656" s="98"/>
      <c r="B656" s="98"/>
      <c r="C656" s="98"/>
      <c r="D656" s="98"/>
      <c r="E656" s="98"/>
      <c r="F656" s="98"/>
      <c r="G656" s="98"/>
      <c r="H656" s="98"/>
      <c r="I656" s="98"/>
      <c r="J656" s="98"/>
      <c r="K656" s="98"/>
      <c r="L656" s="98"/>
      <c r="M656" s="98"/>
      <c r="N656" s="98"/>
    </row>
    <row r="657" ht="15.75" customHeight="1">
      <c r="A657" s="98"/>
      <c r="B657" s="98"/>
      <c r="C657" s="98"/>
      <c r="D657" s="98"/>
      <c r="E657" s="98"/>
      <c r="F657" s="98"/>
      <c r="G657" s="98"/>
      <c r="H657" s="98"/>
      <c r="I657" s="98"/>
      <c r="J657" s="98"/>
      <c r="K657" s="98"/>
      <c r="L657" s="98"/>
      <c r="M657" s="98"/>
      <c r="N657" s="98"/>
    </row>
    <row r="658" ht="15.75" customHeight="1">
      <c r="A658" s="98"/>
      <c r="B658" s="98"/>
      <c r="C658" s="98"/>
      <c r="D658" s="98"/>
      <c r="E658" s="98"/>
      <c r="F658" s="98"/>
      <c r="G658" s="98"/>
      <c r="H658" s="98"/>
      <c r="I658" s="98"/>
      <c r="J658" s="98"/>
      <c r="K658" s="98"/>
      <c r="L658" s="98"/>
      <c r="M658" s="98"/>
      <c r="N658" s="98"/>
    </row>
    <row r="659" ht="15.75" customHeight="1">
      <c r="A659" s="98"/>
      <c r="B659" s="98"/>
      <c r="C659" s="98"/>
      <c r="D659" s="98"/>
      <c r="E659" s="98"/>
      <c r="F659" s="98"/>
      <c r="G659" s="98"/>
      <c r="H659" s="98"/>
      <c r="I659" s="98"/>
      <c r="J659" s="98"/>
      <c r="K659" s="98"/>
      <c r="L659" s="98"/>
      <c r="M659" s="98"/>
      <c r="N659" s="98"/>
    </row>
    <row r="660" ht="15.75" customHeight="1">
      <c r="A660" s="98"/>
      <c r="B660" s="98"/>
      <c r="C660" s="98"/>
      <c r="D660" s="98"/>
      <c r="E660" s="98"/>
      <c r="F660" s="98"/>
      <c r="G660" s="98"/>
      <c r="H660" s="98"/>
      <c r="I660" s="98"/>
      <c r="J660" s="98"/>
      <c r="K660" s="98"/>
      <c r="L660" s="98"/>
      <c r="M660" s="98"/>
      <c r="N660" s="98"/>
    </row>
    <row r="661" ht="15.75" customHeight="1">
      <c r="A661" s="98"/>
      <c r="B661" s="98"/>
      <c r="C661" s="98"/>
      <c r="D661" s="98"/>
      <c r="E661" s="98"/>
      <c r="F661" s="98"/>
      <c r="G661" s="98"/>
      <c r="H661" s="98"/>
      <c r="I661" s="98"/>
      <c r="J661" s="98"/>
      <c r="K661" s="98"/>
      <c r="L661" s="98"/>
      <c r="M661" s="98"/>
      <c r="N661" s="98"/>
    </row>
    <row r="662" ht="15.75" customHeight="1">
      <c r="A662" s="98"/>
      <c r="B662" s="98"/>
      <c r="C662" s="98"/>
      <c r="D662" s="98"/>
      <c r="E662" s="98"/>
      <c r="F662" s="98"/>
      <c r="G662" s="98"/>
      <c r="H662" s="98"/>
      <c r="I662" s="98"/>
      <c r="J662" s="98"/>
      <c r="K662" s="98"/>
      <c r="L662" s="98"/>
      <c r="M662" s="98"/>
      <c r="N662" s="98"/>
    </row>
    <row r="663" ht="15.75" customHeight="1">
      <c r="A663" s="98"/>
      <c r="B663" s="98"/>
      <c r="C663" s="98"/>
      <c r="D663" s="98"/>
      <c r="E663" s="98"/>
      <c r="F663" s="98"/>
      <c r="G663" s="98"/>
      <c r="H663" s="98"/>
      <c r="I663" s="98"/>
      <c r="J663" s="98"/>
      <c r="K663" s="98"/>
      <c r="L663" s="98"/>
      <c r="M663" s="98"/>
      <c r="N663" s="98"/>
    </row>
    <row r="664" ht="15.75" customHeight="1">
      <c r="A664" s="98"/>
      <c r="B664" s="98"/>
      <c r="C664" s="98"/>
      <c r="D664" s="98"/>
      <c r="E664" s="98"/>
      <c r="F664" s="98"/>
      <c r="G664" s="98"/>
      <c r="H664" s="98"/>
      <c r="I664" s="98"/>
      <c r="J664" s="98"/>
      <c r="K664" s="98"/>
      <c r="L664" s="98"/>
      <c r="M664" s="98"/>
      <c r="N664" s="98"/>
    </row>
    <row r="665" ht="15.75" customHeight="1">
      <c r="A665" s="98"/>
      <c r="B665" s="98"/>
      <c r="C665" s="98"/>
      <c r="D665" s="98"/>
      <c r="E665" s="98"/>
      <c r="F665" s="98"/>
      <c r="G665" s="98"/>
      <c r="H665" s="98"/>
      <c r="I665" s="98"/>
      <c r="J665" s="98"/>
      <c r="K665" s="98"/>
      <c r="L665" s="98"/>
      <c r="M665" s="98"/>
      <c r="N665" s="98"/>
    </row>
    <row r="666" ht="15.75" customHeight="1">
      <c r="A666" s="98"/>
      <c r="B666" s="98"/>
      <c r="C666" s="98"/>
      <c r="D666" s="98"/>
      <c r="E666" s="98"/>
      <c r="F666" s="98"/>
      <c r="G666" s="98"/>
      <c r="H666" s="98"/>
      <c r="I666" s="98"/>
      <c r="J666" s="98"/>
      <c r="K666" s="98"/>
      <c r="L666" s="98"/>
      <c r="M666" s="98"/>
      <c r="N666" s="98"/>
    </row>
    <row r="667" ht="15.75" customHeight="1">
      <c r="A667" s="98"/>
      <c r="B667" s="98"/>
      <c r="C667" s="98"/>
      <c r="D667" s="98"/>
      <c r="E667" s="98"/>
      <c r="F667" s="98"/>
      <c r="G667" s="98"/>
      <c r="H667" s="98"/>
      <c r="I667" s="98"/>
      <c r="J667" s="98"/>
      <c r="K667" s="98"/>
      <c r="L667" s="98"/>
      <c r="M667" s="98"/>
      <c r="N667" s="98"/>
    </row>
    <row r="668" ht="15.75" customHeight="1">
      <c r="A668" s="98"/>
      <c r="B668" s="98"/>
      <c r="C668" s="98"/>
      <c r="D668" s="98"/>
      <c r="E668" s="98"/>
      <c r="F668" s="98"/>
      <c r="G668" s="98"/>
      <c r="H668" s="98"/>
      <c r="I668" s="98"/>
      <c r="J668" s="98"/>
      <c r="K668" s="98"/>
      <c r="L668" s="98"/>
      <c r="M668" s="98"/>
      <c r="N668" s="98"/>
    </row>
    <row r="669" ht="15.75" customHeight="1">
      <c r="A669" s="98"/>
      <c r="B669" s="98"/>
      <c r="C669" s="98"/>
      <c r="D669" s="98"/>
      <c r="E669" s="98"/>
      <c r="F669" s="98"/>
      <c r="G669" s="98"/>
      <c r="H669" s="98"/>
      <c r="I669" s="98"/>
      <c r="J669" s="98"/>
      <c r="K669" s="98"/>
      <c r="L669" s="98"/>
      <c r="M669" s="98"/>
      <c r="N669" s="98"/>
    </row>
    <row r="670" ht="15.75" customHeight="1">
      <c r="A670" s="98"/>
      <c r="B670" s="98"/>
      <c r="C670" s="98"/>
      <c r="D670" s="98"/>
      <c r="E670" s="98"/>
      <c r="F670" s="98"/>
      <c r="G670" s="98"/>
      <c r="H670" s="98"/>
      <c r="I670" s="98"/>
      <c r="J670" s="98"/>
      <c r="K670" s="98"/>
      <c r="L670" s="98"/>
      <c r="M670" s="98"/>
      <c r="N670" s="98"/>
    </row>
    <row r="671" ht="15.75" customHeight="1">
      <c r="A671" s="98"/>
      <c r="B671" s="98"/>
      <c r="C671" s="98"/>
      <c r="D671" s="98"/>
      <c r="E671" s="98"/>
      <c r="F671" s="98"/>
      <c r="G671" s="98"/>
      <c r="H671" s="98"/>
      <c r="I671" s="98"/>
      <c r="J671" s="98"/>
      <c r="K671" s="98"/>
      <c r="L671" s="98"/>
      <c r="M671" s="98"/>
      <c r="N671" s="98"/>
    </row>
    <row r="672" ht="15.75" customHeight="1">
      <c r="A672" s="98"/>
      <c r="B672" s="98"/>
      <c r="C672" s="98"/>
      <c r="D672" s="98"/>
      <c r="E672" s="98"/>
      <c r="F672" s="98"/>
      <c r="G672" s="98"/>
      <c r="H672" s="98"/>
      <c r="I672" s="98"/>
      <c r="J672" s="98"/>
      <c r="K672" s="98"/>
      <c r="L672" s="98"/>
      <c r="M672" s="98"/>
      <c r="N672" s="98"/>
    </row>
    <row r="673" ht="15.75" customHeight="1">
      <c r="A673" s="98"/>
      <c r="B673" s="98"/>
      <c r="C673" s="98"/>
      <c r="D673" s="98"/>
      <c r="E673" s="98"/>
      <c r="F673" s="98"/>
      <c r="G673" s="98"/>
      <c r="H673" s="98"/>
      <c r="I673" s="98"/>
      <c r="J673" s="98"/>
      <c r="K673" s="98"/>
      <c r="L673" s="98"/>
      <c r="M673" s="98"/>
      <c r="N673" s="98"/>
    </row>
    <row r="674" ht="15.75" customHeight="1">
      <c r="A674" s="98"/>
      <c r="B674" s="98"/>
      <c r="C674" s="98"/>
      <c r="D674" s="98"/>
      <c r="E674" s="98"/>
      <c r="F674" s="98"/>
      <c r="G674" s="98"/>
      <c r="H674" s="98"/>
      <c r="I674" s="98"/>
      <c r="J674" s="98"/>
      <c r="K674" s="98"/>
      <c r="L674" s="98"/>
      <c r="M674" s="98"/>
      <c r="N674" s="98"/>
    </row>
    <row r="675" ht="15.75" customHeight="1">
      <c r="A675" s="98"/>
      <c r="B675" s="98"/>
      <c r="C675" s="98"/>
      <c r="D675" s="98"/>
      <c r="E675" s="98"/>
      <c r="F675" s="98"/>
      <c r="G675" s="98"/>
      <c r="H675" s="98"/>
      <c r="I675" s="98"/>
      <c r="J675" s="98"/>
      <c r="K675" s="98"/>
      <c r="L675" s="98"/>
      <c r="M675" s="98"/>
      <c r="N675" s="98"/>
    </row>
    <row r="676" ht="15.75" customHeight="1">
      <c r="A676" s="98"/>
      <c r="B676" s="98"/>
      <c r="C676" s="98"/>
      <c r="D676" s="98"/>
      <c r="E676" s="98"/>
      <c r="F676" s="98"/>
      <c r="G676" s="98"/>
      <c r="H676" s="98"/>
      <c r="I676" s="98"/>
      <c r="J676" s="98"/>
      <c r="K676" s="98"/>
      <c r="L676" s="98"/>
      <c r="M676" s="98"/>
      <c r="N676" s="98"/>
    </row>
    <row r="677" ht="15.75" customHeight="1">
      <c r="A677" s="98"/>
      <c r="B677" s="98"/>
      <c r="C677" s="98"/>
      <c r="D677" s="98"/>
      <c r="E677" s="98"/>
      <c r="F677" s="98"/>
      <c r="G677" s="98"/>
      <c r="H677" s="98"/>
      <c r="I677" s="98"/>
      <c r="J677" s="98"/>
      <c r="K677" s="98"/>
      <c r="L677" s="98"/>
      <c r="M677" s="98"/>
      <c r="N677" s="98"/>
    </row>
    <row r="678" ht="15.75" customHeight="1">
      <c r="A678" s="98"/>
      <c r="B678" s="98"/>
      <c r="C678" s="98"/>
      <c r="D678" s="98"/>
      <c r="E678" s="98"/>
      <c r="F678" s="98"/>
      <c r="G678" s="98"/>
      <c r="H678" s="98"/>
      <c r="I678" s="98"/>
      <c r="J678" s="98"/>
      <c r="K678" s="98"/>
      <c r="L678" s="98"/>
      <c r="M678" s="98"/>
      <c r="N678" s="98"/>
    </row>
    <row r="679" ht="15.75" customHeight="1">
      <c r="A679" s="98"/>
      <c r="B679" s="98"/>
      <c r="C679" s="98"/>
      <c r="D679" s="98"/>
      <c r="E679" s="98"/>
      <c r="F679" s="98"/>
      <c r="G679" s="98"/>
      <c r="H679" s="98"/>
      <c r="I679" s="98"/>
      <c r="J679" s="98"/>
      <c r="K679" s="98"/>
      <c r="L679" s="98"/>
      <c r="M679" s="98"/>
      <c r="N679" s="98"/>
    </row>
    <row r="680" ht="15.75" customHeight="1">
      <c r="A680" s="98"/>
      <c r="B680" s="98"/>
      <c r="C680" s="98"/>
      <c r="D680" s="98"/>
      <c r="E680" s="98"/>
      <c r="F680" s="98"/>
      <c r="G680" s="98"/>
      <c r="H680" s="98"/>
      <c r="I680" s="98"/>
      <c r="J680" s="98"/>
      <c r="K680" s="98"/>
      <c r="L680" s="98"/>
      <c r="M680" s="98"/>
      <c r="N680" s="98"/>
    </row>
    <row r="681" ht="15.75" customHeight="1">
      <c r="A681" s="98"/>
      <c r="B681" s="98"/>
      <c r="C681" s="98"/>
      <c r="D681" s="98"/>
      <c r="E681" s="98"/>
      <c r="F681" s="98"/>
      <c r="G681" s="98"/>
      <c r="H681" s="98"/>
      <c r="I681" s="98"/>
      <c r="J681" s="98"/>
      <c r="K681" s="98"/>
      <c r="L681" s="98"/>
      <c r="M681" s="98"/>
      <c r="N681" s="98"/>
    </row>
    <row r="682" ht="15.75" customHeight="1">
      <c r="A682" s="98"/>
      <c r="B682" s="98"/>
      <c r="C682" s="98"/>
      <c r="D682" s="98"/>
      <c r="E682" s="98"/>
      <c r="F682" s="98"/>
      <c r="G682" s="98"/>
      <c r="H682" s="98"/>
      <c r="I682" s="98"/>
      <c r="J682" s="98"/>
      <c r="K682" s="98"/>
      <c r="L682" s="98"/>
      <c r="M682" s="98"/>
      <c r="N682" s="98"/>
    </row>
    <row r="683" ht="15.75" customHeight="1">
      <c r="A683" s="98"/>
      <c r="B683" s="98"/>
      <c r="C683" s="98"/>
      <c r="D683" s="98"/>
      <c r="E683" s="98"/>
      <c r="F683" s="98"/>
      <c r="G683" s="98"/>
      <c r="H683" s="98"/>
      <c r="I683" s="98"/>
      <c r="J683" s="98"/>
      <c r="K683" s="98"/>
      <c r="L683" s="98"/>
      <c r="M683" s="98"/>
      <c r="N683" s="98"/>
    </row>
    <row r="684" ht="15.75" customHeight="1">
      <c r="A684" s="98"/>
      <c r="B684" s="98"/>
      <c r="C684" s="98"/>
      <c r="D684" s="98"/>
      <c r="E684" s="98"/>
      <c r="F684" s="98"/>
      <c r="G684" s="98"/>
      <c r="H684" s="98"/>
      <c r="I684" s="98"/>
      <c r="J684" s="98"/>
      <c r="K684" s="98"/>
      <c r="L684" s="98"/>
      <c r="M684" s="98"/>
      <c r="N684" s="98"/>
    </row>
    <row r="685" ht="15.75" customHeight="1">
      <c r="A685" s="98"/>
      <c r="B685" s="98"/>
      <c r="C685" s="98"/>
      <c r="D685" s="98"/>
      <c r="E685" s="98"/>
      <c r="F685" s="98"/>
      <c r="G685" s="98"/>
      <c r="H685" s="98"/>
      <c r="I685" s="98"/>
      <c r="J685" s="98"/>
      <c r="K685" s="98"/>
      <c r="L685" s="98"/>
      <c r="M685" s="98"/>
      <c r="N685" s="98"/>
    </row>
    <row r="686" ht="15.75" customHeight="1">
      <c r="A686" s="98"/>
      <c r="B686" s="98"/>
      <c r="C686" s="98"/>
      <c r="D686" s="98"/>
      <c r="E686" s="98"/>
      <c r="F686" s="98"/>
      <c r="G686" s="98"/>
      <c r="H686" s="98"/>
      <c r="I686" s="98"/>
      <c r="J686" s="98"/>
      <c r="K686" s="98"/>
      <c r="L686" s="98"/>
      <c r="M686" s="98"/>
      <c r="N686" s="98"/>
    </row>
    <row r="687" ht="15.75" customHeight="1">
      <c r="A687" s="98"/>
      <c r="B687" s="98"/>
      <c r="C687" s="98"/>
      <c r="D687" s="98"/>
      <c r="E687" s="98"/>
      <c r="F687" s="98"/>
      <c r="G687" s="98"/>
      <c r="H687" s="98"/>
      <c r="I687" s="98"/>
      <c r="J687" s="98"/>
      <c r="K687" s="98"/>
      <c r="L687" s="98"/>
      <c r="M687" s="98"/>
      <c r="N687" s="98"/>
    </row>
    <row r="688" ht="15.75" customHeight="1">
      <c r="A688" s="98"/>
      <c r="B688" s="98"/>
      <c r="C688" s="98"/>
      <c r="D688" s="98"/>
      <c r="E688" s="98"/>
      <c r="F688" s="98"/>
      <c r="G688" s="98"/>
      <c r="H688" s="98"/>
      <c r="I688" s="98"/>
      <c r="J688" s="98"/>
      <c r="K688" s="98"/>
      <c r="L688" s="98"/>
      <c r="M688" s="98"/>
      <c r="N688" s="98"/>
    </row>
    <row r="689" ht="15.75" customHeight="1">
      <c r="A689" s="98"/>
      <c r="B689" s="98"/>
      <c r="C689" s="98"/>
      <c r="D689" s="98"/>
      <c r="E689" s="98"/>
      <c r="F689" s="98"/>
      <c r="G689" s="98"/>
      <c r="H689" s="98"/>
      <c r="I689" s="98"/>
      <c r="J689" s="98"/>
      <c r="K689" s="98"/>
      <c r="L689" s="98"/>
      <c r="M689" s="98"/>
      <c r="N689" s="98"/>
    </row>
    <row r="690" ht="15.75" customHeight="1">
      <c r="A690" s="98"/>
      <c r="B690" s="98"/>
      <c r="C690" s="98"/>
      <c r="D690" s="98"/>
      <c r="E690" s="98"/>
      <c r="F690" s="98"/>
      <c r="G690" s="98"/>
      <c r="H690" s="98"/>
      <c r="I690" s="98"/>
      <c r="J690" s="98"/>
      <c r="K690" s="98"/>
      <c r="L690" s="98"/>
      <c r="M690" s="98"/>
      <c r="N690" s="98"/>
    </row>
    <row r="691" ht="15.75" customHeight="1">
      <c r="A691" s="98"/>
      <c r="B691" s="98"/>
      <c r="C691" s="98"/>
      <c r="D691" s="98"/>
      <c r="E691" s="98"/>
      <c r="F691" s="98"/>
      <c r="G691" s="98"/>
      <c r="H691" s="98"/>
      <c r="I691" s="98"/>
      <c r="J691" s="98"/>
      <c r="K691" s="98"/>
      <c r="L691" s="98"/>
      <c r="M691" s="98"/>
      <c r="N691" s="98"/>
    </row>
    <row r="692" ht="15.75" customHeight="1">
      <c r="A692" s="98"/>
      <c r="B692" s="98"/>
      <c r="C692" s="98"/>
      <c r="D692" s="98"/>
      <c r="E692" s="98"/>
      <c r="F692" s="98"/>
      <c r="G692" s="98"/>
      <c r="H692" s="98"/>
      <c r="I692" s="98"/>
      <c r="J692" s="98"/>
      <c r="K692" s="98"/>
      <c r="L692" s="98"/>
      <c r="M692" s="98"/>
      <c r="N692" s="98"/>
    </row>
    <row r="693" ht="15.75" customHeight="1">
      <c r="A693" s="98"/>
      <c r="B693" s="98"/>
      <c r="C693" s="98"/>
      <c r="D693" s="98"/>
      <c r="E693" s="98"/>
      <c r="F693" s="98"/>
      <c r="G693" s="98"/>
      <c r="H693" s="98"/>
      <c r="I693" s="98"/>
      <c r="J693" s="98"/>
      <c r="K693" s="98"/>
      <c r="L693" s="98"/>
      <c r="M693" s="98"/>
      <c r="N693" s="98"/>
    </row>
    <row r="694" ht="15.75" customHeight="1">
      <c r="A694" s="98"/>
      <c r="B694" s="98"/>
      <c r="C694" s="98"/>
      <c r="D694" s="98"/>
      <c r="E694" s="98"/>
      <c r="F694" s="98"/>
      <c r="G694" s="98"/>
      <c r="H694" s="98"/>
      <c r="I694" s="98"/>
      <c r="J694" s="98"/>
      <c r="K694" s="98"/>
      <c r="L694" s="98"/>
      <c r="M694" s="98"/>
      <c r="N694" s="98"/>
    </row>
    <row r="695" ht="15.75" customHeight="1">
      <c r="A695" s="98"/>
      <c r="B695" s="98"/>
      <c r="C695" s="98"/>
      <c r="D695" s="98"/>
      <c r="E695" s="98"/>
      <c r="F695" s="98"/>
      <c r="G695" s="98"/>
      <c r="H695" s="98"/>
      <c r="I695" s="98"/>
      <c r="J695" s="98"/>
      <c r="K695" s="98"/>
      <c r="L695" s="98"/>
      <c r="M695" s="98"/>
      <c r="N695" s="98"/>
    </row>
    <row r="696" ht="15.75" customHeight="1">
      <c r="A696" s="98"/>
      <c r="B696" s="98"/>
      <c r="C696" s="98"/>
      <c r="D696" s="98"/>
      <c r="E696" s="98"/>
      <c r="F696" s="98"/>
      <c r="G696" s="98"/>
      <c r="H696" s="98"/>
      <c r="I696" s="98"/>
      <c r="J696" s="98"/>
      <c r="K696" s="98"/>
      <c r="L696" s="98"/>
      <c r="M696" s="98"/>
      <c r="N696" s="98"/>
    </row>
    <row r="697" ht="15.75" customHeight="1">
      <c r="A697" s="98"/>
      <c r="B697" s="98"/>
      <c r="C697" s="98"/>
      <c r="D697" s="98"/>
      <c r="E697" s="98"/>
      <c r="F697" s="98"/>
      <c r="G697" s="98"/>
      <c r="H697" s="98"/>
      <c r="I697" s="98"/>
      <c r="J697" s="98"/>
      <c r="K697" s="98"/>
      <c r="L697" s="98"/>
      <c r="M697" s="98"/>
      <c r="N697" s="98"/>
    </row>
    <row r="698" ht="15.75" customHeight="1">
      <c r="A698" s="98"/>
      <c r="B698" s="98"/>
      <c r="C698" s="98"/>
      <c r="D698" s="98"/>
      <c r="E698" s="98"/>
      <c r="F698" s="98"/>
      <c r="G698" s="98"/>
      <c r="H698" s="98"/>
      <c r="I698" s="98"/>
      <c r="J698" s="98"/>
      <c r="K698" s="98"/>
      <c r="L698" s="98"/>
      <c r="M698" s="98"/>
      <c r="N698" s="98"/>
    </row>
    <row r="699" ht="15.75" customHeight="1">
      <c r="A699" s="98"/>
      <c r="B699" s="98"/>
      <c r="C699" s="98"/>
      <c r="D699" s="98"/>
      <c r="E699" s="98"/>
      <c r="F699" s="98"/>
      <c r="G699" s="98"/>
      <c r="H699" s="98"/>
      <c r="I699" s="98"/>
      <c r="J699" s="98"/>
      <c r="K699" s="98"/>
      <c r="L699" s="98"/>
      <c r="M699" s="98"/>
      <c r="N699" s="98"/>
    </row>
    <row r="700" ht="15.75" customHeight="1">
      <c r="A700" s="98"/>
      <c r="B700" s="98"/>
      <c r="C700" s="98"/>
      <c r="D700" s="98"/>
      <c r="E700" s="98"/>
      <c r="F700" s="98"/>
      <c r="G700" s="98"/>
      <c r="H700" s="98"/>
      <c r="I700" s="98"/>
      <c r="J700" s="98"/>
      <c r="K700" s="98"/>
      <c r="L700" s="98"/>
      <c r="M700" s="98"/>
      <c r="N700" s="98"/>
    </row>
    <row r="701" ht="15.75" customHeight="1">
      <c r="A701" s="98"/>
      <c r="B701" s="98"/>
      <c r="C701" s="98"/>
      <c r="D701" s="98"/>
      <c r="E701" s="98"/>
      <c r="F701" s="98"/>
      <c r="G701" s="98"/>
      <c r="H701" s="98"/>
      <c r="I701" s="98"/>
      <c r="J701" s="98"/>
      <c r="K701" s="98"/>
      <c r="L701" s="98"/>
      <c r="M701" s="98"/>
      <c r="N701" s="98"/>
    </row>
    <row r="702" ht="15.75" customHeight="1">
      <c r="A702" s="98"/>
      <c r="B702" s="98"/>
      <c r="C702" s="98"/>
      <c r="D702" s="98"/>
      <c r="E702" s="98"/>
      <c r="F702" s="98"/>
      <c r="G702" s="98"/>
      <c r="H702" s="98"/>
      <c r="I702" s="98"/>
      <c r="J702" s="98"/>
      <c r="K702" s="98"/>
      <c r="L702" s="98"/>
      <c r="M702" s="98"/>
      <c r="N702" s="98"/>
    </row>
    <row r="703" ht="15.75" customHeight="1">
      <c r="A703" s="98"/>
      <c r="B703" s="98"/>
      <c r="C703" s="98"/>
      <c r="D703" s="98"/>
      <c r="E703" s="98"/>
      <c r="F703" s="98"/>
      <c r="G703" s="98"/>
      <c r="H703" s="98"/>
      <c r="I703" s="98"/>
      <c r="J703" s="98"/>
      <c r="K703" s="98"/>
      <c r="L703" s="98"/>
      <c r="M703" s="98"/>
      <c r="N703" s="98"/>
    </row>
    <row r="704" ht="15.75" customHeight="1">
      <c r="A704" s="98"/>
      <c r="B704" s="98"/>
      <c r="C704" s="98"/>
      <c r="D704" s="98"/>
      <c r="E704" s="98"/>
      <c r="F704" s="98"/>
      <c r="G704" s="98"/>
      <c r="H704" s="98"/>
      <c r="I704" s="98"/>
      <c r="J704" s="98"/>
      <c r="K704" s="98"/>
      <c r="L704" s="98"/>
      <c r="M704" s="98"/>
      <c r="N704" s="98"/>
    </row>
    <row r="705" ht="15.75" customHeight="1">
      <c r="A705" s="98"/>
      <c r="B705" s="98"/>
      <c r="C705" s="98"/>
      <c r="D705" s="98"/>
      <c r="E705" s="98"/>
      <c r="F705" s="98"/>
      <c r="G705" s="98"/>
      <c r="H705" s="98"/>
      <c r="I705" s="98"/>
      <c r="J705" s="98"/>
      <c r="K705" s="98"/>
      <c r="L705" s="98"/>
      <c r="M705" s="98"/>
      <c r="N705" s="98"/>
    </row>
    <row r="706" ht="15.75" customHeight="1">
      <c r="A706" s="98"/>
      <c r="B706" s="98"/>
      <c r="C706" s="98"/>
      <c r="D706" s="98"/>
      <c r="E706" s="98"/>
      <c r="F706" s="98"/>
      <c r="G706" s="98"/>
      <c r="H706" s="98"/>
      <c r="I706" s="98"/>
      <c r="J706" s="98"/>
      <c r="K706" s="98"/>
      <c r="L706" s="98"/>
      <c r="M706" s="98"/>
      <c r="N706" s="98"/>
    </row>
    <row r="707" ht="15.75" customHeight="1">
      <c r="A707" s="98"/>
      <c r="B707" s="98"/>
      <c r="C707" s="98"/>
      <c r="D707" s="98"/>
      <c r="E707" s="98"/>
      <c r="F707" s="98"/>
      <c r="G707" s="98"/>
      <c r="H707" s="98"/>
      <c r="I707" s="98"/>
      <c r="J707" s="98"/>
      <c r="K707" s="98"/>
      <c r="L707" s="98"/>
      <c r="M707" s="98"/>
      <c r="N707" s="98"/>
    </row>
    <row r="708" ht="15.75" customHeight="1">
      <c r="A708" s="98"/>
      <c r="B708" s="98"/>
      <c r="C708" s="98"/>
      <c r="D708" s="98"/>
      <c r="E708" s="98"/>
      <c r="F708" s="98"/>
      <c r="G708" s="98"/>
      <c r="H708" s="98"/>
      <c r="I708" s="98"/>
      <c r="J708" s="98"/>
      <c r="K708" s="98"/>
      <c r="L708" s="98"/>
      <c r="M708" s="98"/>
      <c r="N708" s="98"/>
    </row>
    <row r="709" ht="15.75" customHeight="1">
      <c r="A709" s="98"/>
      <c r="B709" s="98"/>
      <c r="C709" s="98"/>
      <c r="D709" s="98"/>
      <c r="E709" s="98"/>
      <c r="F709" s="98"/>
      <c r="G709" s="98"/>
      <c r="H709" s="98"/>
      <c r="I709" s="98"/>
      <c r="J709" s="98"/>
      <c r="K709" s="98"/>
      <c r="L709" s="98"/>
      <c r="M709" s="98"/>
      <c r="N709" s="98"/>
    </row>
    <row r="710" ht="15.75" customHeight="1">
      <c r="A710" s="98"/>
      <c r="B710" s="98"/>
      <c r="C710" s="98"/>
      <c r="D710" s="98"/>
      <c r="E710" s="98"/>
      <c r="F710" s="98"/>
      <c r="G710" s="98"/>
      <c r="H710" s="98"/>
      <c r="I710" s="98"/>
      <c r="J710" s="98"/>
      <c r="K710" s="98"/>
      <c r="L710" s="98"/>
      <c r="M710" s="98"/>
      <c r="N710" s="98"/>
    </row>
    <row r="711" ht="15.75" customHeight="1">
      <c r="A711" s="98"/>
      <c r="B711" s="98"/>
      <c r="C711" s="98"/>
      <c r="D711" s="98"/>
      <c r="E711" s="98"/>
      <c r="F711" s="98"/>
      <c r="G711" s="98"/>
      <c r="H711" s="98"/>
      <c r="I711" s="98"/>
      <c r="J711" s="98"/>
      <c r="K711" s="98"/>
      <c r="L711" s="98"/>
      <c r="M711" s="98"/>
      <c r="N711" s="98"/>
    </row>
    <row r="712" ht="15.75" customHeight="1">
      <c r="A712" s="98"/>
      <c r="B712" s="98"/>
      <c r="C712" s="98"/>
      <c r="D712" s="98"/>
      <c r="E712" s="98"/>
      <c r="F712" s="98"/>
      <c r="G712" s="98"/>
      <c r="H712" s="98"/>
      <c r="I712" s="98"/>
      <c r="J712" s="98"/>
      <c r="K712" s="98"/>
      <c r="L712" s="98"/>
      <c r="M712" s="98"/>
      <c r="N712" s="98"/>
    </row>
    <row r="713" ht="15.75" customHeight="1">
      <c r="A713" s="98"/>
      <c r="B713" s="98"/>
      <c r="C713" s="98"/>
      <c r="D713" s="98"/>
      <c r="E713" s="98"/>
      <c r="F713" s="98"/>
      <c r="G713" s="98"/>
      <c r="H713" s="98"/>
      <c r="I713" s="98"/>
      <c r="J713" s="98"/>
      <c r="K713" s="98"/>
      <c r="L713" s="98"/>
      <c r="M713" s="98"/>
      <c r="N713" s="98"/>
    </row>
    <row r="714" ht="15.75" customHeight="1">
      <c r="A714" s="98"/>
      <c r="B714" s="98"/>
      <c r="C714" s="98"/>
      <c r="D714" s="98"/>
      <c r="E714" s="98"/>
      <c r="F714" s="98"/>
      <c r="G714" s="98"/>
      <c r="H714" s="98"/>
      <c r="I714" s="98"/>
      <c r="J714" s="98"/>
      <c r="K714" s="98"/>
      <c r="L714" s="98"/>
      <c r="M714" s="98"/>
      <c r="N714" s="98"/>
    </row>
    <row r="715" ht="15.75" customHeight="1">
      <c r="A715" s="98"/>
      <c r="B715" s="98"/>
      <c r="C715" s="98"/>
      <c r="D715" s="98"/>
      <c r="E715" s="98"/>
      <c r="F715" s="98"/>
      <c r="G715" s="98"/>
      <c r="H715" s="98"/>
      <c r="I715" s="98"/>
      <c r="J715" s="98"/>
      <c r="K715" s="98"/>
      <c r="L715" s="98"/>
      <c r="M715" s="98"/>
      <c r="N715" s="98"/>
    </row>
    <row r="716" ht="15.75" customHeight="1">
      <c r="A716" s="98"/>
      <c r="B716" s="98"/>
      <c r="C716" s="98"/>
      <c r="D716" s="98"/>
      <c r="E716" s="98"/>
      <c r="F716" s="98"/>
      <c r="G716" s="98"/>
      <c r="H716" s="98"/>
      <c r="I716" s="98"/>
      <c r="J716" s="98"/>
      <c r="K716" s="98"/>
      <c r="L716" s="98"/>
      <c r="M716" s="98"/>
      <c r="N716" s="98"/>
    </row>
    <row r="717" ht="15.75" customHeight="1">
      <c r="A717" s="98"/>
      <c r="B717" s="98"/>
      <c r="C717" s="98"/>
      <c r="D717" s="98"/>
      <c r="E717" s="98"/>
      <c r="F717" s="98"/>
      <c r="G717" s="98"/>
      <c r="H717" s="98"/>
      <c r="I717" s="98"/>
      <c r="J717" s="98"/>
      <c r="K717" s="98"/>
      <c r="L717" s="98"/>
      <c r="M717" s="98"/>
      <c r="N717" s="98"/>
    </row>
    <row r="718" ht="15.75" customHeight="1">
      <c r="A718" s="98"/>
      <c r="B718" s="98"/>
      <c r="C718" s="98"/>
      <c r="D718" s="98"/>
      <c r="E718" s="98"/>
      <c r="F718" s="98"/>
      <c r="G718" s="98"/>
      <c r="H718" s="98"/>
      <c r="I718" s="98"/>
      <c r="J718" s="98"/>
      <c r="K718" s="98"/>
      <c r="L718" s="98"/>
      <c r="M718" s="98"/>
      <c r="N718" s="98"/>
    </row>
    <row r="719" ht="15.75" customHeight="1">
      <c r="A719" s="98"/>
      <c r="B719" s="98"/>
      <c r="C719" s="98"/>
      <c r="D719" s="98"/>
      <c r="E719" s="98"/>
      <c r="F719" s="98"/>
      <c r="G719" s="98"/>
      <c r="H719" s="98"/>
      <c r="I719" s="98"/>
      <c r="J719" s="98"/>
      <c r="K719" s="98"/>
      <c r="L719" s="98"/>
      <c r="M719" s="98"/>
      <c r="N719" s="98"/>
    </row>
    <row r="720" ht="15.75" customHeight="1">
      <c r="A720" s="98"/>
      <c r="B720" s="98"/>
      <c r="C720" s="98"/>
      <c r="D720" s="98"/>
      <c r="E720" s="98"/>
      <c r="F720" s="98"/>
      <c r="G720" s="98"/>
      <c r="H720" s="98"/>
      <c r="I720" s="98"/>
      <c r="J720" s="98"/>
      <c r="K720" s="98"/>
      <c r="L720" s="98"/>
      <c r="M720" s="98"/>
      <c r="N720" s="98"/>
    </row>
    <row r="721" ht="15.75" customHeight="1">
      <c r="A721" s="98"/>
      <c r="B721" s="98"/>
      <c r="C721" s="98"/>
      <c r="D721" s="98"/>
      <c r="E721" s="98"/>
      <c r="F721" s="98"/>
      <c r="G721" s="98"/>
      <c r="H721" s="98"/>
      <c r="I721" s="98"/>
      <c r="J721" s="98"/>
      <c r="K721" s="98"/>
      <c r="L721" s="98"/>
      <c r="M721" s="98"/>
      <c r="N721" s="98"/>
    </row>
    <row r="722" ht="15.75" customHeight="1">
      <c r="A722" s="98"/>
      <c r="B722" s="98"/>
      <c r="C722" s="98"/>
      <c r="D722" s="98"/>
      <c r="E722" s="98"/>
      <c r="F722" s="98"/>
      <c r="G722" s="98"/>
      <c r="H722" s="98"/>
      <c r="I722" s="98"/>
      <c r="J722" s="98"/>
      <c r="K722" s="98"/>
      <c r="L722" s="98"/>
      <c r="M722" s="98"/>
      <c r="N722" s="98"/>
    </row>
    <row r="723" ht="15.75" customHeight="1">
      <c r="A723" s="98"/>
      <c r="B723" s="98"/>
      <c r="C723" s="98"/>
      <c r="D723" s="98"/>
      <c r="E723" s="98"/>
      <c r="F723" s="98"/>
      <c r="G723" s="98"/>
      <c r="H723" s="98"/>
      <c r="I723" s="98"/>
      <c r="J723" s="98"/>
      <c r="K723" s="98"/>
      <c r="L723" s="98"/>
      <c r="M723" s="98"/>
      <c r="N723" s="98"/>
    </row>
    <row r="724" ht="15.75" customHeight="1">
      <c r="A724" s="98"/>
      <c r="B724" s="98"/>
      <c r="C724" s="98"/>
      <c r="D724" s="98"/>
      <c r="E724" s="98"/>
      <c r="F724" s="98"/>
      <c r="G724" s="98"/>
      <c r="H724" s="98"/>
      <c r="I724" s="98"/>
      <c r="J724" s="98"/>
      <c r="K724" s="98"/>
      <c r="L724" s="98"/>
      <c r="M724" s="98"/>
      <c r="N724" s="98"/>
    </row>
    <row r="725" ht="15.75" customHeight="1">
      <c r="A725" s="98"/>
      <c r="B725" s="98"/>
      <c r="C725" s="98"/>
      <c r="D725" s="98"/>
      <c r="E725" s="98"/>
      <c r="F725" s="98"/>
      <c r="G725" s="98"/>
      <c r="H725" s="98"/>
      <c r="I725" s="98"/>
      <c r="J725" s="98"/>
      <c r="K725" s="98"/>
      <c r="L725" s="98"/>
      <c r="M725" s="98"/>
      <c r="N725" s="98"/>
    </row>
    <row r="726" ht="15.75" customHeight="1">
      <c r="A726" s="98"/>
      <c r="B726" s="98"/>
      <c r="C726" s="98"/>
      <c r="D726" s="98"/>
      <c r="E726" s="98"/>
      <c r="F726" s="98"/>
      <c r="G726" s="98"/>
      <c r="H726" s="98"/>
      <c r="I726" s="98"/>
      <c r="J726" s="98"/>
      <c r="K726" s="98"/>
      <c r="L726" s="98"/>
      <c r="M726" s="98"/>
      <c r="N726" s="98"/>
    </row>
    <row r="727" ht="15.75" customHeight="1">
      <c r="A727" s="98"/>
      <c r="B727" s="98"/>
      <c r="C727" s="98"/>
      <c r="D727" s="98"/>
      <c r="E727" s="98"/>
      <c r="F727" s="98"/>
      <c r="G727" s="98"/>
      <c r="H727" s="98"/>
      <c r="I727" s="98"/>
      <c r="J727" s="98"/>
      <c r="K727" s="98"/>
      <c r="L727" s="98"/>
      <c r="M727" s="98"/>
      <c r="N727" s="98"/>
    </row>
    <row r="728" ht="15.75" customHeight="1">
      <c r="A728" s="98"/>
      <c r="B728" s="98"/>
      <c r="C728" s="98"/>
      <c r="D728" s="98"/>
      <c r="E728" s="98"/>
      <c r="F728" s="98"/>
      <c r="G728" s="98"/>
      <c r="H728" s="98"/>
      <c r="I728" s="98"/>
      <c r="J728" s="98"/>
      <c r="K728" s="98"/>
      <c r="L728" s="98"/>
      <c r="M728" s="98"/>
      <c r="N728" s="98"/>
    </row>
    <row r="729" ht="15.75" customHeight="1">
      <c r="A729" s="98"/>
      <c r="B729" s="98"/>
      <c r="C729" s="98"/>
      <c r="D729" s="98"/>
      <c r="E729" s="98"/>
      <c r="F729" s="98"/>
      <c r="G729" s="98"/>
      <c r="H729" s="98"/>
      <c r="I729" s="98"/>
      <c r="J729" s="98"/>
      <c r="K729" s="98"/>
      <c r="L729" s="98"/>
      <c r="M729" s="98"/>
      <c r="N729" s="98"/>
    </row>
    <row r="730" ht="15.75" customHeight="1">
      <c r="A730" s="98"/>
      <c r="B730" s="98"/>
      <c r="C730" s="98"/>
      <c r="D730" s="98"/>
      <c r="E730" s="98"/>
      <c r="F730" s="98"/>
      <c r="G730" s="98"/>
      <c r="H730" s="98"/>
      <c r="I730" s="98"/>
      <c r="J730" s="98"/>
      <c r="K730" s="98"/>
      <c r="L730" s="98"/>
      <c r="M730" s="98"/>
      <c r="N730" s="98"/>
    </row>
    <row r="731" ht="15.75" customHeight="1">
      <c r="A731" s="98"/>
      <c r="B731" s="98"/>
      <c r="C731" s="98"/>
      <c r="D731" s="98"/>
      <c r="E731" s="98"/>
      <c r="F731" s="98"/>
      <c r="G731" s="98"/>
      <c r="H731" s="98"/>
      <c r="I731" s="98"/>
      <c r="J731" s="98"/>
      <c r="K731" s="98"/>
      <c r="L731" s="98"/>
      <c r="M731" s="98"/>
      <c r="N731" s="98"/>
    </row>
    <row r="732" ht="15.75" customHeight="1">
      <c r="A732" s="98"/>
      <c r="B732" s="98"/>
      <c r="C732" s="98"/>
      <c r="D732" s="98"/>
      <c r="E732" s="98"/>
      <c r="F732" s="98"/>
      <c r="G732" s="98"/>
      <c r="H732" s="98"/>
      <c r="I732" s="98"/>
      <c r="J732" s="98"/>
      <c r="K732" s="98"/>
      <c r="L732" s="98"/>
      <c r="M732" s="98"/>
      <c r="N732" s="98"/>
    </row>
    <row r="733" ht="15.75" customHeight="1">
      <c r="A733" s="98"/>
      <c r="B733" s="98"/>
      <c r="C733" s="98"/>
      <c r="D733" s="98"/>
      <c r="E733" s="98"/>
      <c r="F733" s="98"/>
      <c r="G733" s="98"/>
      <c r="H733" s="98"/>
      <c r="I733" s="98"/>
      <c r="J733" s="98"/>
      <c r="K733" s="98"/>
      <c r="L733" s="98"/>
      <c r="M733" s="98"/>
      <c r="N733" s="98"/>
    </row>
    <row r="734" ht="15.75" customHeight="1">
      <c r="A734" s="98"/>
      <c r="B734" s="98"/>
      <c r="C734" s="98"/>
      <c r="D734" s="98"/>
      <c r="E734" s="98"/>
      <c r="F734" s="98"/>
      <c r="G734" s="98"/>
      <c r="H734" s="98"/>
      <c r="I734" s="98"/>
      <c r="J734" s="98"/>
      <c r="K734" s="98"/>
      <c r="L734" s="98"/>
      <c r="M734" s="98"/>
      <c r="N734" s="98"/>
    </row>
    <row r="735" ht="15.75" customHeight="1">
      <c r="A735" s="98"/>
      <c r="B735" s="98"/>
      <c r="C735" s="98"/>
      <c r="D735" s="98"/>
      <c r="E735" s="98"/>
      <c r="F735" s="98"/>
      <c r="G735" s="98"/>
      <c r="H735" s="98"/>
      <c r="I735" s="98"/>
      <c r="J735" s="98"/>
      <c r="K735" s="98"/>
      <c r="L735" s="98"/>
      <c r="M735" s="98"/>
      <c r="N735" s="98"/>
    </row>
    <row r="736" ht="15.75" customHeight="1">
      <c r="A736" s="98"/>
      <c r="B736" s="98"/>
      <c r="C736" s="98"/>
      <c r="D736" s="98"/>
      <c r="E736" s="98"/>
      <c r="F736" s="98"/>
      <c r="G736" s="98"/>
      <c r="H736" s="98"/>
      <c r="I736" s="98"/>
      <c r="J736" s="98"/>
      <c r="K736" s="98"/>
      <c r="L736" s="98"/>
      <c r="M736" s="98"/>
      <c r="N736" s="98"/>
    </row>
    <row r="737" ht="15.75" customHeight="1">
      <c r="A737" s="98"/>
      <c r="B737" s="98"/>
      <c r="C737" s="98"/>
      <c r="D737" s="98"/>
      <c r="E737" s="98"/>
      <c r="F737" s="98"/>
      <c r="G737" s="98"/>
      <c r="H737" s="98"/>
      <c r="I737" s="98"/>
      <c r="J737" s="98"/>
      <c r="K737" s="98"/>
      <c r="L737" s="98"/>
      <c r="M737" s="98"/>
      <c r="N737" s="98"/>
    </row>
    <row r="738" ht="15.75" customHeight="1">
      <c r="A738" s="98"/>
      <c r="B738" s="98"/>
      <c r="C738" s="98"/>
      <c r="D738" s="98"/>
      <c r="E738" s="98"/>
      <c r="F738" s="98"/>
      <c r="G738" s="98"/>
      <c r="H738" s="98"/>
      <c r="I738" s="98"/>
      <c r="J738" s="98"/>
      <c r="K738" s="98"/>
      <c r="L738" s="98"/>
      <c r="M738" s="98"/>
      <c r="N738" s="98"/>
    </row>
    <row r="739" ht="15.75" customHeight="1">
      <c r="A739" s="98"/>
      <c r="B739" s="98"/>
      <c r="C739" s="98"/>
      <c r="D739" s="98"/>
      <c r="E739" s="98"/>
      <c r="F739" s="98"/>
      <c r="G739" s="98"/>
      <c r="H739" s="98"/>
      <c r="I739" s="98"/>
      <c r="J739" s="98"/>
      <c r="K739" s="98"/>
      <c r="L739" s="98"/>
      <c r="M739" s="98"/>
      <c r="N739" s="98"/>
    </row>
    <row r="740" ht="15.75" customHeight="1">
      <c r="A740" s="98"/>
      <c r="B740" s="98"/>
      <c r="C740" s="98"/>
      <c r="D740" s="98"/>
      <c r="E740" s="98"/>
      <c r="F740" s="98"/>
      <c r="G740" s="98"/>
      <c r="H740" s="98"/>
      <c r="I740" s="98"/>
      <c r="J740" s="98"/>
      <c r="K740" s="98"/>
      <c r="L740" s="98"/>
      <c r="M740" s="98"/>
      <c r="N740" s="98"/>
    </row>
    <row r="741" ht="15.75" customHeight="1">
      <c r="A741" s="98"/>
      <c r="B741" s="98"/>
      <c r="C741" s="98"/>
      <c r="D741" s="98"/>
      <c r="E741" s="98"/>
      <c r="F741" s="98"/>
      <c r="G741" s="98"/>
      <c r="H741" s="98"/>
      <c r="I741" s="98"/>
      <c r="J741" s="98"/>
      <c r="K741" s="98"/>
      <c r="L741" s="98"/>
      <c r="M741" s="98"/>
      <c r="N741" s="98"/>
    </row>
    <row r="742" ht="15.75" customHeight="1">
      <c r="A742" s="98"/>
      <c r="B742" s="98"/>
      <c r="C742" s="98"/>
      <c r="D742" s="98"/>
      <c r="E742" s="98"/>
      <c r="F742" s="98"/>
      <c r="G742" s="98"/>
      <c r="H742" s="98"/>
      <c r="I742" s="98"/>
      <c r="J742" s="98"/>
      <c r="K742" s="98"/>
      <c r="L742" s="98"/>
      <c r="M742" s="98"/>
      <c r="N742" s="98"/>
    </row>
    <row r="743" ht="15.75" customHeight="1">
      <c r="A743" s="98"/>
      <c r="B743" s="98"/>
      <c r="C743" s="98"/>
      <c r="D743" s="98"/>
      <c r="E743" s="98"/>
      <c r="F743" s="98"/>
      <c r="G743" s="98"/>
      <c r="H743" s="98"/>
      <c r="I743" s="98"/>
      <c r="J743" s="98"/>
      <c r="K743" s="98"/>
      <c r="L743" s="98"/>
      <c r="M743" s="98"/>
      <c r="N743" s="98"/>
    </row>
    <row r="744" ht="15.75" customHeight="1">
      <c r="A744" s="98"/>
      <c r="B744" s="98"/>
      <c r="C744" s="98"/>
      <c r="D744" s="98"/>
      <c r="E744" s="98"/>
      <c r="F744" s="98"/>
      <c r="G744" s="98"/>
      <c r="H744" s="98"/>
      <c r="I744" s="98"/>
      <c r="J744" s="98"/>
      <c r="K744" s="98"/>
      <c r="L744" s="98"/>
      <c r="M744" s="98"/>
      <c r="N744" s="98"/>
    </row>
    <row r="745" ht="15.75" customHeight="1">
      <c r="A745" s="98"/>
      <c r="B745" s="98"/>
      <c r="C745" s="98"/>
      <c r="D745" s="98"/>
      <c r="E745" s="98"/>
      <c r="F745" s="98"/>
      <c r="G745" s="98"/>
      <c r="H745" s="98"/>
      <c r="I745" s="98"/>
      <c r="J745" s="98"/>
      <c r="K745" s="98"/>
      <c r="L745" s="98"/>
      <c r="M745" s="98"/>
      <c r="N745" s="98"/>
    </row>
    <row r="746" ht="15.75" customHeight="1">
      <c r="A746" s="98"/>
      <c r="B746" s="98"/>
      <c r="C746" s="98"/>
      <c r="D746" s="98"/>
      <c r="E746" s="98"/>
      <c r="F746" s="98"/>
      <c r="G746" s="98"/>
      <c r="H746" s="98"/>
      <c r="I746" s="98"/>
      <c r="J746" s="98"/>
      <c r="K746" s="98"/>
      <c r="L746" s="98"/>
      <c r="M746" s="98"/>
      <c r="N746" s="98"/>
    </row>
    <row r="747" ht="15.75" customHeight="1">
      <c r="A747" s="98"/>
      <c r="B747" s="98"/>
      <c r="C747" s="98"/>
      <c r="D747" s="98"/>
      <c r="E747" s="98"/>
      <c r="F747" s="98"/>
      <c r="G747" s="98"/>
      <c r="H747" s="98"/>
      <c r="I747" s="98"/>
      <c r="J747" s="98"/>
      <c r="K747" s="98"/>
      <c r="L747" s="98"/>
      <c r="M747" s="98"/>
      <c r="N747" s="98"/>
    </row>
    <row r="748" ht="15.75" customHeight="1">
      <c r="A748" s="98"/>
      <c r="B748" s="98"/>
      <c r="C748" s="98"/>
      <c r="D748" s="98"/>
      <c r="E748" s="98"/>
      <c r="F748" s="98"/>
      <c r="G748" s="98"/>
      <c r="H748" s="98"/>
      <c r="I748" s="98"/>
      <c r="J748" s="98"/>
      <c r="K748" s="98"/>
      <c r="L748" s="98"/>
      <c r="M748" s="98"/>
      <c r="N748" s="98"/>
    </row>
    <row r="749" ht="15.75" customHeight="1">
      <c r="A749" s="98"/>
      <c r="B749" s="98"/>
      <c r="C749" s="98"/>
      <c r="D749" s="98"/>
      <c r="E749" s="98"/>
      <c r="F749" s="98"/>
      <c r="G749" s="98"/>
      <c r="H749" s="98"/>
      <c r="I749" s="98"/>
      <c r="J749" s="98"/>
      <c r="K749" s="98"/>
      <c r="L749" s="98"/>
      <c r="M749" s="98"/>
      <c r="N749" s="98"/>
    </row>
    <row r="750" ht="15.75" customHeight="1">
      <c r="A750" s="98"/>
      <c r="B750" s="98"/>
      <c r="C750" s="98"/>
      <c r="D750" s="98"/>
      <c r="E750" s="98"/>
      <c r="F750" s="98"/>
      <c r="G750" s="98"/>
      <c r="H750" s="98"/>
      <c r="I750" s="98"/>
      <c r="J750" s="98"/>
      <c r="K750" s="98"/>
      <c r="L750" s="98"/>
      <c r="M750" s="98"/>
      <c r="N750" s="98"/>
    </row>
    <row r="751" ht="15.75" customHeight="1">
      <c r="A751" s="98"/>
      <c r="B751" s="98"/>
      <c r="C751" s="98"/>
      <c r="D751" s="98"/>
      <c r="E751" s="98"/>
      <c r="F751" s="98"/>
      <c r="G751" s="98"/>
      <c r="H751" s="98"/>
      <c r="I751" s="98"/>
      <c r="J751" s="98"/>
      <c r="K751" s="98"/>
      <c r="L751" s="98"/>
      <c r="M751" s="98"/>
      <c r="N751" s="98"/>
    </row>
    <row r="752" ht="15.75" customHeight="1">
      <c r="A752" s="98"/>
      <c r="B752" s="98"/>
      <c r="C752" s="98"/>
      <c r="D752" s="98"/>
      <c r="E752" s="98"/>
      <c r="F752" s="98"/>
      <c r="G752" s="98"/>
      <c r="H752" s="98"/>
      <c r="I752" s="98"/>
      <c r="J752" s="98"/>
      <c r="K752" s="98"/>
      <c r="L752" s="98"/>
      <c r="M752" s="98"/>
      <c r="N752" s="98"/>
    </row>
    <row r="753" ht="15.75" customHeight="1">
      <c r="A753" s="98"/>
      <c r="B753" s="98"/>
      <c r="C753" s="98"/>
      <c r="D753" s="98"/>
      <c r="E753" s="98"/>
      <c r="F753" s="98"/>
      <c r="G753" s="98"/>
      <c r="H753" s="98"/>
      <c r="I753" s="98"/>
      <c r="J753" s="98"/>
      <c r="K753" s="98"/>
      <c r="L753" s="98"/>
      <c r="M753" s="98"/>
      <c r="N753" s="98"/>
    </row>
    <row r="754" ht="15.75" customHeight="1">
      <c r="A754" s="98"/>
      <c r="B754" s="98"/>
      <c r="C754" s="98"/>
      <c r="D754" s="98"/>
      <c r="E754" s="98"/>
      <c r="F754" s="98"/>
      <c r="G754" s="98"/>
      <c r="H754" s="98"/>
      <c r="I754" s="98"/>
      <c r="J754" s="98"/>
      <c r="K754" s="98"/>
      <c r="L754" s="98"/>
      <c r="M754" s="98"/>
      <c r="N754" s="98"/>
    </row>
    <row r="755" ht="15.75" customHeight="1">
      <c r="A755" s="98"/>
      <c r="B755" s="98"/>
      <c r="C755" s="98"/>
      <c r="D755" s="98"/>
      <c r="E755" s="98"/>
      <c r="F755" s="98"/>
      <c r="G755" s="98"/>
      <c r="H755" s="98"/>
      <c r="I755" s="98"/>
      <c r="J755" s="98"/>
      <c r="K755" s="98"/>
      <c r="L755" s="98"/>
      <c r="M755" s="98"/>
      <c r="N755" s="98"/>
    </row>
    <row r="756" ht="15.75" customHeight="1">
      <c r="A756" s="98"/>
      <c r="B756" s="98"/>
      <c r="C756" s="98"/>
      <c r="D756" s="98"/>
      <c r="E756" s="98"/>
      <c r="F756" s="98"/>
      <c r="G756" s="98"/>
      <c r="H756" s="98"/>
      <c r="I756" s="98"/>
      <c r="J756" s="98"/>
      <c r="K756" s="98"/>
      <c r="L756" s="98"/>
      <c r="M756" s="98"/>
      <c r="N756" s="98"/>
    </row>
    <row r="757" ht="15.75" customHeight="1">
      <c r="A757" s="98"/>
      <c r="B757" s="98"/>
      <c r="C757" s="98"/>
      <c r="D757" s="98"/>
      <c r="E757" s="98"/>
      <c r="F757" s="98"/>
      <c r="G757" s="98"/>
      <c r="H757" s="98"/>
      <c r="I757" s="98"/>
      <c r="J757" s="98"/>
      <c r="K757" s="98"/>
      <c r="L757" s="98"/>
      <c r="M757" s="98"/>
      <c r="N757" s="98"/>
    </row>
    <row r="758" ht="15.75" customHeight="1">
      <c r="A758" s="98"/>
      <c r="B758" s="98"/>
      <c r="C758" s="98"/>
      <c r="D758" s="98"/>
      <c r="E758" s="98"/>
      <c r="F758" s="98"/>
      <c r="G758" s="98"/>
      <c r="H758" s="98"/>
      <c r="I758" s="98"/>
      <c r="J758" s="98"/>
      <c r="K758" s="98"/>
      <c r="L758" s="98"/>
      <c r="M758" s="98"/>
      <c r="N758" s="98"/>
    </row>
    <row r="759" ht="15.75" customHeight="1">
      <c r="A759" s="98"/>
      <c r="B759" s="98"/>
      <c r="C759" s="98"/>
      <c r="D759" s="98"/>
      <c r="E759" s="98"/>
      <c r="F759" s="98"/>
      <c r="G759" s="98"/>
      <c r="H759" s="98"/>
      <c r="I759" s="98"/>
      <c r="J759" s="98"/>
      <c r="K759" s="98"/>
      <c r="L759" s="98"/>
      <c r="M759" s="98"/>
      <c r="N759" s="98"/>
    </row>
    <row r="760" ht="15.75" customHeight="1">
      <c r="A760" s="98"/>
      <c r="B760" s="98"/>
      <c r="C760" s="98"/>
      <c r="D760" s="98"/>
      <c r="E760" s="98"/>
      <c r="F760" s="98"/>
      <c r="G760" s="98"/>
      <c r="H760" s="98"/>
      <c r="I760" s="98"/>
      <c r="J760" s="98"/>
      <c r="K760" s="98"/>
      <c r="L760" s="98"/>
      <c r="M760" s="98"/>
      <c r="N760" s="98"/>
    </row>
    <row r="761" ht="15.75" customHeight="1">
      <c r="A761" s="98"/>
      <c r="B761" s="98"/>
      <c r="C761" s="98"/>
      <c r="D761" s="98"/>
      <c r="E761" s="98"/>
      <c r="F761" s="98"/>
      <c r="G761" s="98"/>
      <c r="H761" s="98"/>
      <c r="I761" s="98"/>
      <c r="J761" s="98"/>
      <c r="K761" s="98"/>
      <c r="L761" s="98"/>
      <c r="M761" s="98"/>
      <c r="N761" s="98"/>
    </row>
    <row r="762" ht="15.75" customHeight="1">
      <c r="A762" s="98"/>
      <c r="B762" s="98"/>
      <c r="C762" s="98"/>
      <c r="D762" s="98"/>
      <c r="E762" s="98"/>
      <c r="F762" s="98"/>
      <c r="G762" s="98"/>
      <c r="H762" s="98"/>
      <c r="I762" s="98"/>
      <c r="J762" s="98"/>
      <c r="K762" s="98"/>
      <c r="L762" s="98"/>
      <c r="M762" s="98"/>
      <c r="N762" s="98"/>
    </row>
    <row r="763" ht="15.75" customHeight="1">
      <c r="A763" s="98"/>
      <c r="B763" s="98"/>
      <c r="C763" s="98"/>
      <c r="D763" s="98"/>
      <c r="E763" s="98"/>
      <c r="F763" s="98"/>
      <c r="G763" s="98"/>
      <c r="H763" s="98"/>
      <c r="I763" s="98"/>
      <c r="J763" s="98"/>
      <c r="K763" s="98"/>
      <c r="L763" s="98"/>
      <c r="M763" s="98"/>
      <c r="N763" s="98"/>
    </row>
    <row r="764" ht="15.75" customHeight="1">
      <c r="A764" s="98"/>
      <c r="B764" s="98"/>
      <c r="C764" s="98"/>
      <c r="D764" s="98"/>
      <c r="E764" s="98"/>
      <c r="F764" s="98"/>
      <c r="G764" s="98"/>
      <c r="H764" s="98"/>
      <c r="I764" s="98"/>
      <c r="J764" s="98"/>
      <c r="K764" s="98"/>
      <c r="L764" s="98"/>
      <c r="M764" s="98"/>
      <c r="N764" s="98"/>
    </row>
    <row r="765" ht="15.75" customHeight="1">
      <c r="A765" s="98"/>
      <c r="B765" s="98"/>
      <c r="C765" s="98"/>
      <c r="D765" s="98"/>
      <c r="E765" s="98"/>
      <c r="F765" s="98"/>
      <c r="G765" s="98"/>
      <c r="H765" s="98"/>
      <c r="I765" s="98"/>
      <c r="J765" s="98"/>
      <c r="K765" s="98"/>
      <c r="L765" s="98"/>
      <c r="M765" s="98"/>
      <c r="N765" s="98"/>
    </row>
    <row r="766" ht="15.75" customHeight="1">
      <c r="A766" s="98"/>
      <c r="B766" s="98"/>
      <c r="C766" s="98"/>
      <c r="D766" s="98"/>
      <c r="E766" s="98"/>
      <c r="F766" s="98"/>
      <c r="G766" s="98"/>
      <c r="H766" s="98"/>
      <c r="I766" s="98"/>
      <c r="J766" s="98"/>
      <c r="K766" s="98"/>
      <c r="L766" s="98"/>
      <c r="M766" s="98"/>
      <c r="N766" s="98"/>
    </row>
    <row r="767" ht="15.75" customHeight="1">
      <c r="A767" s="98"/>
      <c r="B767" s="98"/>
      <c r="C767" s="98"/>
      <c r="D767" s="98"/>
      <c r="E767" s="98"/>
      <c r="F767" s="98"/>
      <c r="G767" s="98"/>
      <c r="H767" s="98"/>
      <c r="I767" s="98"/>
      <c r="J767" s="98"/>
      <c r="K767" s="98"/>
      <c r="L767" s="98"/>
      <c r="M767" s="98"/>
      <c r="N767" s="98"/>
    </row>
    <row r="768" ht="15.75" customHeight="1">
      <c r="A768" s="98"/>
      <c r="B768" s="98"/>
      <c r="C768" s="98"/>
      <c r="D768" s="98"/>
      <c r="E768" s="98"/>
      <c r="F768" s="98"/>
      <c r="G768" s="98"/>
      <c r="H768" s="98"/>
      <c r="I768" s="98"/>
      <c r="J768" s="98"/>
      <c r="K768" s="98"/>
      <c r="L768" s="98"/>
      <c r="M768" s="98"/>
      <c r="N768" s="98"/>
    </row>
    <row r="769" ht="15.75" customHeight="1">
      <c r="A769" s="98"/>
      <c r="B769" s="98"/>
      <c r="C769" s="98"/>
      <c r="D769" s="98"/>
      <c r="E769" s="98"/>
      <c r="F769" s="98"/>
      <c r="G769" s="98"/>
      <c r="H769" s="98"/>
      <c r="I769" s="98"/>
      <c r="J769" s="98"/>
      <c r="K769" s="98"/>
      <c r="L769" s="98"/>
      <c r="M769" s="98"/>
      <c r="N769" s="98"/>
    </row>
    <row r="770" ht="15.75" customHeight="1">
      <c r="A770" s="98"/>
      <c r="B770" s="98"/>
      <c r="C770" s="98"/>
      <c r="D770" s="98"/>
      <c r="E770" s="98"/>
      <c r="F770" s="98"/>
      <c r="G770" s="98"/>
      <c r="H770" s="98"/>
      <c r="I770" s="98"/>
      <c r="J770" s="98"/>
      <c r="K770" s="98"/>
      <c r="L770" s="98"/>
      <c r="M770" s="98"/>
      <c r="N770" s="98"/>
    </row>
    <row r="771" ht="15.75" customHeight="1">
      <c r="A771" s="98"/>
      <c r="B771" s="98"/>
      <c r="C771" s="98"/>
      <c r="D771" s="98"/>
      <c r="E771" s="98"/>
      <c r="F771" s="98"/>
      <c r="G771" s="98"/>
      <c r="H771" s="98"/>
      <c r="I771" s="98"/>
      <c r="J771" s="98"/>
      <c r="K771" s="98"/>
      <c r="L771" s="98"/>
      <c r="M771" s="98"/>
      <c r="N771" s="98"/>
    </row>
    <row r="772" ht="15.75" customHeight="1">
      <c r="A772" s="98"/>
      <c r="B772" s="98"/>
      <c r="C772" s="98"/>
      <c r="D772" s="98"/>
      <c r="E772" s="98"/>
      <c r="F772" s="98"/>
      <c r="G772" s="98"/>
      <c r="H772" s="98"/>
      <c r="I772" s="98"/>
      <c r="J772" s="98"/>
      <c r="K772" s="98"/>
      <c r="L772" s="98"/>
      <c r="M772" s="98"/>
      <c r="N772" s="98"/>
    </row>
    <row r="773" ht="15.75" customHeight="1">
      <c r="A773" s="98"/>
      <c r="B773" s="98"/>
      <c r="C773" s="98"/>
      <c r="D773" s="98"/>
      <c r="E773" s="98"/>
      <c r="F773" s="98"/>
      <c r="G773" s="98"/>
      <c r="H773" s="98"/>
      <c r="I773" s="98"/>
      <c r="J773" s="98"/>
      <c r="K773" s="98"/>
      <c r="L773" s="98"/>
      <c r="M773" s="98"/>
      <c r="N773" s="98"/>
    </row>
    <row r="774" ht="15.75" customHeight="1">
      <c r="A774" s="98"/>
      <c r="B774" s="98"/>
      <c r="C774" s="98"/>
      <c r="D774" s="98"/>
      <c r="E774" s="98"/>
      <c r="F774" s="98"/>
      <c r="G774" s="98"/>
      <c r="H774" s="98"/>
      <c r="I774" s="98"/>
      <c r="J774" s="98"/>
      <c r="K774" s="98"/>
      <c r="L774" s="98"/>
      <c r="M774" s="98"/>
      <c r="N774" s="98"/>
    </row>
    <row r="775" ht="15.75" customHeight="1">
      <c r="A775" s="98"/>
      <c r="B775" s="98"/>
      <c r="C775" s="98"/>
      <c r="D775" s="98"/>
      <c r="E775" s="98"/>
      <c r="F775" s="98"/>
      <c r="G775" s="98"/>
      <c r="H775" s="98"/>
      <c r="I775" s="98"/>
      <c r="J775" s="98"/>
      <c r="K775" s="98"/>
      <c r="L775" s="98"/>
      <c r="M775" s="98"/>
      <c r="N775" s="98"/>
    </row>
    <row r="776" ht="15.75" customHeight="1">
      <c r="A776" s="98"/>
      <c r="B776" s="98"/>
      <c r="C776" s="98"/>
      <c r="D776" s="98"/>
      <c r="E776" s="98"/>
      <c r="F776" s="98"/>
      <c r="G776" s="98"/>
      <c r="H776" s="98"/>
      <c r="I776" s="98"/>
      <c r="J776" s="98"/>
      <c r="K776" s="98"/>
      <c r="L776" s="98"/>
      <c r="M776" s="98"/>
      <c r="N776" s="98"/>
    </row>
    <row r="777" ht="15.75" customHeight="1">
      <c r="A777" s="98"/>
      <c r="B777" s="98"/>
      <c r="C777" s="98"/>
      <c r="D777" s="98"/>
      <c r="E777" s="98"/>
      <c r="F777" s="98"/>
      <c r="G777" s="98"/>
      <c r="H777" s="98"/>
      <c r="I777" s="98"/>
      <c r="J777" s="98"/>
      <c r="K777" s="98"/>
      <c r="L777" s="98"/>
      <c r="M777" s="98"/>
      <c r="N777" s="98"/>
    </row>
    <row r="778" ht="15.75" customHeight="1">
      <c r="A778" s="98"/>
      <c r="B778" s="98"/>
      <c r="C778" s="98"/>
      <c r="D778" s="98"/>
      <c r="E778" s="98"/>
      <c r="F778" s="98"/>
      <c r="G778" s="98"/>
      <c r="H778" s="98"/>
      <c r="I778" s="98"/>
      <c r="J778" s="98"/>
      <c r="K778" s="98"/>
      <c r="L778" s="98"/>
      <c r="M778" s="98"/>
      <c r="N778" s="98"/>
    </row>
    <row r="779" ht="15.75" customHeight="1">
      <c r="A779" s="98"/>
      <c r="B779" s="98"/>
      <c r="C779" s="98"/>
      <c r="D779" s="98"/>
      <c r="E779" s="98"/>
      <c r="F779" s="98"/>
      <c r="G779" s="98"/>
      <c r="H779" s="98"/>
      <c r="I779" s="98"/>
      <c r="J779" s="98"/>
      <c r="K779" s="98"/>
      <c r="L779" s="98"/>
      <c r="M779" s="98"/>
      <c r="N779" s="98"/>
    </row>
    <row r="780" ht="15.75" customHeight="1">
      <c r="A780" s="98"/>
      <c r="B780" s="98"/>
      <c r="C780" s="98"/>
      <c r="D780" s="98"/>
      <c r="E780" s="98"/>
      <c r="F780" s="98"/>
      <c r="G780" s="98"/>
      <c r="H780" s="98"/>
      <c r="I780" s="98"/>
      <c r="J780" s="98"/>
      <c r="K780" s="98"/>
      <c r="L780" s="98"/>
      <c r="M780" s="98"/>
      <c r="N780" s="98"/>
    </row>
    <row r="781" ht="15.75" customHeight="1">
      <c r="A781" s="98"/>
      <c r="B781" s="98"/>
      <c r="C781" s="98"/>
      <c r="D781" s="98"/>
      <c r="E781" s="98"/>
      <c r="F781" s="98"/>
      <c r="G781" s="98"/>
      <c r="H781" s="98"/>
      <c r="I781" s="98"/>
      <c r="J781" s="98"/>
      <c r="K781" s="98"/>
      <c r="L781" s="98"/>
      <c r="M781" s="98"/>
      <c r="N781" s="98"/>
    </row>
    <row r="782" ht="15.75" customHeight="1">
      <c r="A782" s="98"/>
      <c r="B782" s="98"/>
      <c r="C782" s="98"/>
      <c r="D782" s="98"/>
      <c r="E782" s="98"/>
      <c r="F782" s="98"/>
      <c r="G782" s="98"/>
      <c r="H782" s="98"/>
      <c r="I782" s="98"/>
      <c r="J782" s="98"/>
      <c r="K782" s="98"/>
      <c r="L782" s="98"/>
      <c r="M782" s="98"/>
      <c r="N782" s="98"/>
    </row>
    <row r="783" ht="15.75" customHeight="1">
      <c r="A783" s="98"/>
      <c r="B783" s="98"/>
      <c r="C783" s="98"/>
      <c r="D783" s="98"/>
      <c r="E783" s="98"/>
      <c r="F783" s="98"/>
      <c r="G783" s="98"/>
      <c r="H783" s="98"/>
      <c r="I783" s="98"/>
      <c r="J783" s="98"/>
      <c r="K783" s="98"/>
      <c r="L783" s="98"/>
      <c r="M783" s="98"/>
      <c r="N783" s="98"/>
    </row>
    <row r="784" ht="15.75" customHeight="1">
      <c r="A784" s="98"/>
      <c r="B784" s="98"/>
      <c r="C784" s="98"/>
      <c r="D784" s="98"/>
      <c r="E784" s="98"/>
      <c r="F784" s="98"/>
      <c r="G784" s="98"/>
      <c r="H784" s="98"/>
      <c r="I784" s="98"/>
      <c r="J784" s="98"/>
      <c r="K784" s="98"/>
      <c r="L784" s="98"/>
      <c r="M784" s="98"/>
      <c r="N784" s="98"/>
    </row>
    <row r="785" ht="15.75" customHeight="1">
      <c r="A785" s="98"/>
      <c r="B785" s="98"/>
      <c r="C785" s="98"/>
      <c r="D785" s="98"/>
      <c r="E785" s="98"/>
      <c r="F785" s="98"/>
      <c r="G785" s="98"/>
      <c r="H785" s="98"/>
      <c r="I785" s="98"/>
      <c r="J785" s="98"/>
      <c r="K785" s="98"/>
      <c r="L785" s="98"/>
      <c r="M785" s="98"/>
      <c r="N785" s="98"/>
    </row>
    <row r="786" ht="15.75" customHeight="1">
      <c r="A786" s="98"/>
      <c r="B786" s="98"/>
      <c r="C786" s="98"/>
      <c r="D786" s="98"/>
      <c r="E786" s="98"/>
      <c r="F786" s="98"/>
      <c r="G786" s="98"/>
      <c r="H786" s="98"/>
      <c r="I786" s="98"/>
      <c r="J786" s="98"/>
      <c r="K786" s="98"/>
      <c r="L786" s="98"/>
      <c r="M786" s="98"/>
      <c r="N786" s="98"/>
    </row>
    <row r="787" ht="15.75" customHeight="1">
      <c r="A787" s="98"/>
      <c r="B787" s="98"/>
      <c r="C787" s="98"/>
      <c r="D787" s="98"/>
      <c r="E787" s="98"/>
      <c r="F787" s="98"/>
      <c r="G787" s="98"/>
      <c r="H787" s="98"/>
      <c r="I787" s="98"/>
      <c r="J787" s="98"/>
      <c r="K787" s="98"/>
      <c r="L787" s="98"/>
      <c r="M787" s="98"/>
      <c r="N787" s="98"/>
    </row>
    <row r="788" ht="15.75" customHeight="1">
      <c r="A788" s="98"/>
      <c r="B788" s="98"/>
      <c r="C788" s="98"/>
      <c r="D788" s="98"/>
      <c r="E788" s="98"/>
      <c r="F788" s="98"/>
      <c r="G788" s="98"/>
      <c r="H788" s="98"/>
      <c r="I788" s="98"/>
      <c r="J788" s="98"/>
      <c r="K788" s="98"/>
      <c r="L788" s="98"/>
      <c r="M788" s="98"/>
      <c r="N788" s="98"/>
    </row>
    <row r="789" ht="15.75" customHeight="1">
      <c r="A789" s="98"/>
      <c r="B789" s="98"/>
      <c r="C789" s="98"/>
      <c r="D789" s="98"/>
      <c r="E789" s="98"/>
      <c r="F789" s="98"/>
      <c r="G789" s="98"/>
      <c r="H789" s="98"/>
      <c r="I789" s="98"/>
      <c r="J789" s="98"/>
      <c r="K789" s="98"/>
      <c r="L789" s="98"/>
      <c r="M789" s="98"/>
      <c r="N789" s="98"/>
    </row>
    <row r="790" ht="15.75" customHeight="1">
      <c r="A790" s="98"/>
      <c r="B790" s="98"/>
      <c r="C790" s="98"/>
      <c r="D790" s="98"/>
      <c r="E790" s="98"/>
      <c r="F790" s="98"/>
      <c r="G790" s="98"/>
      <c r="H790" s="98"/>
      <c r="I790" s="98"/>
      <c r="J790" s="98"/>
      <c r="K790" s="98"/>
      <c r="L790" s="98"/>
      <c r="M790" s="98"/>
      <c r="N790" s="98"/>
    </row>
    <row r="791" ht="15.75" customHeight="1">
      <c r="A791" s="98"/>
      <c r="B791" s="98"/>
      <c r="C791" s="98"/>
      <c r="D791" s="98"/>
      <c r="E791" s="98"/>
      <c r="F791" s="98"/>
      <c r="G791" s="98"/>
      <c r="H791" s="98"/>
      <c r="I791" s="98"/>
      <c r="J791" s="98"/>
      <c r="K791" s="98"/>
      <c r="L791" s="98"/>
      <c r="M791" s="98"/>
      <c r="N791" s="98"/>
    </row>
    <row r="792" ht="15.75" customHeight="1">
      <c r="A792" s="98"/>
      <c r="B792" s="98"/>
      <c r="C792" s="98"/>
      <c r="D792" s="98"/>
      <c r="E792" s="98"/>
      <c r="F792" s="98"/>
      <c r="G792" s="98"/>
      <c r="H792" s="98"/>
      <c r="I792" s="98"/>
      <c r="J792" s="98"/>
      <c r="K792" s="98"/>
      <c r="L792" s="98"/>
      <c r="M792" s="98"/>
      <c r="N792" s="98"/>
    </row>
    <row r="793" ht="15.75" customHeight="1">
      <c r="A793" s="98"/>
      <c r="B793" s="98"/>
      <c r="C793" s="98"/>
      <c r="D793" s="98"/>
      <c r="E793" s="98"/>
      <c r="F793" s="98"/>
      <c r="G793" s="98"/>
      <c r="H793" s="98"/>
      <c r="I793" s="98"/>
      <c r="J793" s="98"/>
      <c r="K793" s="98"/>
      <c r="L793" s="98"/>
      <c r="M793" s="98"/>
      <c r="N793" s="98"/>
    </row>
    <row r="794" ht="15.75" customHeight="1">
      <c r="A794" s="98"/>
      <c r="B794" s="98"/>
      <c r="C794" s="98"/>
      <c r="D794" s="98"/>
      <c r="E794" s="98"/>
      <c r="F794" s="98"/>
      <c r="G794" s="98"/>
      <c r="H794" s="98"/>
      <c r="I794" s="98"/>
      <c r="J794" s="98"/>
      <c r="K794" s="98"/>
      <c r="L794" s="98"/>
      <c r="M794" s="98"/>
      <c r="N794" s="98"/>
    </row>
    <row r="795" ht="15.75" customHeight="1">
      <c r="A795" s="98"/>
      <c r="B795" s="98"/>
      <c r="C795" s="98"/>
      <c r="D795" s="98"/>
      <c r="E795" s="98"/>
      <c r="F795" s="98"/>
      <c r="G795" s="98"/>
      <c r="H795" s="98"/>
      <c r="I795" s="98"/>
      <c r="J795" s="98"/>
      <c r="K795" s="98"/>
      <c r="L795" s="98"/>
      <c r="M795" s="98"/>
      <c r="N795" s="98"/>
    </row>
    <row r="796" ht="15.75" customHeight="1">
      <c r="A796" s="98"/>
      <c r="B796" s="98"/>
      <c r="C796" s="98"/>
      <c r="D796" s="98"/>
      <c r="E796" s="98"/>
      <c r="F796" s="98"/>
      <c r="G796" s="98"/>
      <c r="H796" s="98"/>
      <c r="I796" s="98"/>
      <c r="J796" s="98"/>
      <c r="K796" s="98"/>
      <c r="L796" s="98"/>
      <c r="M796" s="98"/>
      <c r="N796" s="98"/>
    </row>
    <row r="797" ht="15.75" customHeight="1">
      <c r="A797" s="98"/>
      <c r="B797" s="98"/>
      <c r="C797" s="98"/>
      <c r="D797" s="98"/>
      <c r="E797" s="98"/>
      <c r="F797" s="98"/>
      <c r="G797" s="98"/>
      <c r="H797" s="98"/>
      <c r="I797" s="98"/>
      <c r="J797" s="98"/>
      <c r="K797" s="98"/>
      <c r="L797" s="98"/>
      <c r="M797" s="98"/>
      <c r="N797" s="98"/>
    </row>
    <row r="798" ht="15.75" customHeight="1">
      <c r="A798" s="98"/>
      <c r="B798" s="98"/>
      <c r="C798" s="98"/>
      <c r="D798" s="98"/>
      <c r="E798" s="98"/>
      <c r="F798" s="98"/>
      <c r="G798" s="98"/>
      <c r="H798" s="98"/>
      <c r="I798" s="98"/>
      <c r="J798" s="98"/>
      <c r="K798" s="98"/>
      <c r="L798" s="98"/>
      <c r="M798" s="98"/>
      <c r="N798" s="98"/>
    </row>
    <row r="799" ht="15.75" customHeight="1">
      <c r="A799" s="98"/>
      <c r="B799" s="98"/>
      <c r="C799" s="98"/>
      <c r="D799" s="98"/>
      <c r="E799" s="98"/>
      <c r="F799" s="98"/>
      <c r="G799" s="98"/>
      <c r="H799" s="98"/>
      <c r="I799" s="98"/>
      <c r="J799" s="98"/>
      <c r="K799" s="98"/>
      <c r="L799" s="98"/>
      <c r="M799" s="98"/>
      <c r="N799" s="98"/>
    </row>
    <row r="800" ht="15.75" customHeight="1">
      <c r="A800" s="98"/>
      <c r="B800" s="98"/>
      <c r="C800" s="98"/>
      <c r="D800" s="98"/>
      <c r="E800" s="98"/>
      <c r="F800" s="98"/>
      <c r="G800" s="98"/>
      <c r="H800" s="98"/>
      <c r="I800" s="98"/>
      <c r="J800" s="98"/>
      <c r="K800" s="98"/>
      <c r="L800" s="98"/>
      <c r="M800" s="98"/>
      <c r="N800" s="98"/>
    </row>
    <row r="801" ht="15.75" customHeight="1">
      <c r="A801" s="98"/>
      <c r="B801" s="98"/>
      <c r="C801" s="98"/>
      <c r="D801" s="98"/>
      <c r="E801" s="98"/>
      <c r="F801" s="98"/>
      <c r="G801" s="98"/>
      <c r="H801" s="98"/>
      <c r="I801" s="98"/>
      <c r="J801" s="98"/>
      <c r="K801" s="98"/>
      <c r="L801" s="98"/>
      <c r="M801" s="98"/>
      <c r="N801" s="98"/>
    </row>
    <row r="802" ht="15.75" customHeight="1">
      <c r="A802" s="98"/>
      <c r="B802" s="98"/>
      <c r="C802" s="98"/>
      <c r="D802" s="98"/>
      <c r="E802" s="98"/>
      <c r="F802" s="98"/>
      <c r="G802" s="98"/>
      <c r="H802" s="98"/>
      <c r="I802" s="98"/>
      <c r="J802" s="98"/>
      <c r="K802" s="98"/>
      <c r="L802" s="98"/>
      <c r="M802" s="98"/>
      <c r="N802" s="98"/>
    </row>
    <row r="803" ht="15.75" customHeight="1">
      <c r="A803" s="98"/>
      <c r="B803" s="98"/>
      <c r="C803" s="98"/>
      <c r="D803" s="98"/>
      <c r="E803" s="98"/>
      <c r="F803" s="98"/>
      <c r="G803" s="98"/>
      <c r="H803" s="98"/>
      <c r="I803" s="98"/>
      <c r="J803" s="98"/>
      <c r="K803" s="98"/>
      <c r="L803" s="98"/>
      <c r="M803" s="98"/>
      <c r="N803" s="98"/>
    </row>
    <row r="804" ht="15.75" customHeight="1">
      <c r="A804" s="98"/>
      <c r="B804" s="98"/>
      <c r="C804" s="98"/>
      <c r="D804" s="98"/>
      <c r="E804" s="98"/>
      <c r="F804" s="98"/>
      <c r="G804" s="98"/>
      <c r="H804" s="98"/>
      <c r="I804" s="98"/>
      <c r="J804" s="98"/>
      <c r="K804" s="98"/>
      <c r="L804" s="98"/>
      <c r="M804" s="98"/>
      <c r="N804" s="98"/>
    </row>
    <row r="805" ht="15.75" customHeight="1">
      <c r="A805" s="98"/>
      <c r="B805" s="98"/>
      <c r="C805" s="98"/>
      <c r="D805" s="98"/>
      <c r="E805" s="98"/>
      <c r="F805" s="98"/>
      <c r="G805" s="98"/>
      <c r="H805" s="98"/>
      <c r="I805" s="98"/>
      <c r="J805" s="98"/>
      <c r="K805" s="98"/>
      <c r="L805" s="98"/>
      <c r="M805" s="98"/>
      <c r="N805" s="98"/>
    </row>
    <row r="806" ht="15.75" customHeight="1">
      <c r="A806" s="98"/>
      <c r="B806" s="98"/>
      <c r="C806" s="98"/>
      <c r="D806" s="98"/>
      <c r="E806" s="98"/>
      <c r="F806" s="98"/>
      <c r="G806" s="98"/>
      <c r="H806" s="98"/>
      <c r="I806" s="98"/>
      <c r="J806" s="98"/>
      <c r="K806" s="98"/>
      <c r="L806" s="98"/>
      <c r="M806" s="98"/>
      <c r="N806" s="98"/>
    </row>
    <row r="807" ht="15.75" customHeight="1">
      <c r="A807" s="98"/>
      <c r="B807" s="98"/>
      <c r="C807" s="98"/>
      <c r="D807" s="98"/>
      <c r="E807" s="98"/>
      <c r="F807" s="98"/>
      <c r="G807" s="98"/>
      <c r="H807" s="98"/>
      <c r="I807" s="98"/>
      <c r="J807" s="98"/>
      <c r="K807" s="98"/>
      <c r="L807" s="98"/>
      <c r="M807" s="98"/>
      <c r="N807" s="98"/>
    </row>
    <row r="808" ht="15.75" customHeight="1">
      <c r="A808" s="98"/>
      <c r="B808" s="98"/>
      <c r="C808" s="98"/>
      <c r="D808" s="98"/>
      <c r="E808" s="98"/>
      <c r="F808" s="98"/>
      <c r="G808" s="98"/>
      <c r="H808" s="98"/>
      <c r="I808" s="98"/>
      <c r="J808" s="98"/>
      <c r="K808" s="98"/>
      <c r="L808" s="98"/>
      <c r="M808" s="98"/>
      <c r="N808" s="98"/>
    </row>
    <row r="809" ht="15.75" customHeight="1">
      <c r="A809" s="98"/>
      <c r="B809" s="98"/>
      <c r="C809" s="98"/>
      <c r="D809" s="98"/>
      <c r="E809" s="98"/>
      <c r="F809" s="98"/>
      <c r="G809" s="98"/>
      <c r="H809" s="98"/>
      <c r="I809" s="98"/>
      <c r="J809" s="98"/>
      <c r="K809" s="98"/>
      <c r="L809" s="98"/>
      <c r="M809" s="98"/>
      <c r="N809" s="98"/>
    </row>
    <row r="810" ht="15.75" customHeight="1">
      <c r="A810" s="98"/>
      <c r="B810" s="98"/>
      <c r="C810" s="98"/>
      <c r="D810" s="98"/>
      <c r="E810" s="98"/>
      <c r="F810" s="98"/>
      <c r="G810" s="98"/>
      <c r="H810" s="98"/>
      <c r="I810" s="98"/>
      <c r="J810" s="98"/>
      <c r="K810" s="98"/>
      <c r="L810" s="98"/>
      <c r="M810" s="98"/>
      <c r="N810" s="98"/>
    </row>
    <row r="811" ht="15.75" customHeight="1">
      <c r="A811" s="98"/>
      <c r="B811" s="98"/>
      <c r="C811" s="98"/>
      <c r="D811" s="98"/>
      <c r="E811" s="98"/>
      <c r="F811" s="98"/>
      <c r="G811" s="98"/>
      <c r="H811" s="98"/>
      <c r="I811" s="98"/>
      <c r="J811" s="98"/>
      <c r="K811" s="98"/>
      <c r="L811" s="98"/>
      <c r="M811" s="98"/>
      <c r="N811" s="98"/>
    </row>
    <row r="812" ht="15.75" customHeight="1">
      <c r="A812" s="98"/>
      <c r="B812" s="98"/>
      <c r="C812" s="98"/>
      <c r="D812" s="98"/>
      <c r="E812" s="98"/>
      <c r="F812" s="98"/>
      <c r="G812" s="98"/>
      <c r="H812" s="98"/>
      <c r="I812" s="98"/>
      <c r="J812" s="98"/>
      <c r="K812" s="98"/>
      <c r="L812" s="98"/>
      <c r="M812" s="98"/>
      <c r="N812" s="98"/>
    </row>
    <row r="813" ht="15.75" customHeight="1">
      <c r="A813" s="98"/>
      <c r="B813" s="98"/>
      <c r="C813" s="98"/>
      <c r="D813" s="98"/>
      <c r="E813" s="98"/>
      <c r="F813" s="98"/>
      <c r="G813" s="98"/>
      <c r="H813" s="98"/>
      <c r="I813" s="98"/>
      <c r="J813" s="98"/>
      <c r="K813" s="98"/>
      <c r="L813" s="98"/>
      <c r="M813" s="98"/>
      <c r="N813" s="98"/>
    </row>
    <row r="814" ht="15.75" customHeight="1">
      <c r="A814" s="98"/>
      <c r="B814" s="98"/>
      <c r="C814" s="98"/>
      <c r="D814" s="98"/>
      <c r="E814" s="98"/>
      <c r="F814" s="98"/>
      <c r="G814" s="98"/>
      <c r="H814" s="98"/>
      <c r="I814" s="98"/>
      <c r="J814" s="98"/>
      <c r="K814" s="98"/>
      <c r="L814" s="98"/>
      <c r="M814" s="98"/>
      <c r="N814" s="98"/>
    </row>
    <row r="815" ht="15.75" customHeight="1">
      <c r="A815" s="98"/>
      <c r="B815" s="98"/>
      <c r="C815" s="98"/>
      <c r="D815" s="98"/>
      <c r="E815" s="98"/>
      <c r="F815" s="98"/>
      <c r="G815" s="98"/>
      <c r="H815" s="98"/>
      <c r="I815" s="98"/>
      <c r="J815" s="98"/>
      <c r="K815" s="98"/>
      <c r="L815" s="98"/>
      <c r="M815" s="98"/>
      <c r="N815" s="98"/>
    </row>
    <row r="816" ht="15.75" customHeight="1">
      <c r="A816" s="98"/>
      <c r="B816" s="98"/>
      <c r="C816" s="98"/>
      <c r="D816" s="98"/>
      <c r="E816" s="98"/>
      <c r="F816" s="98"/>
      <c r="G816" s="98"/>
      <c r="H816" s="98"/>
      <c r="I816" s="98"/>
      <c r="J816" s="98"/>
      <c r="K816" s="98"/>
      <c r="L816" s="98"/>
      <c r="M816" s="98"/>
      <c r="N816" s="98"/>
    </row>
    <row r="817" ht="15.75" customHeight="1">
      <c r="A817" s="98"/>
      <c r="B817" s="98"/>
      <c r="C817" s="98"/>
      <c r="D817" s="98"/>
      <c r="E817" s="98"/>
      <c r="F817" s="98"/>
      <c r="G817" s="98"/>
      <c r="H817" s="98"/>
      <c r="I817" s="98"/>
      <c r="J817" s="98"/>
      <c r="K817" s="98"/>
      <c r="L817" s="98"/>
      <c r="M817" s="98"/>
      <c r="N817" s="98"/>
    </row>
    <row r="818" ht="15.75" customHeight="1">
      <c r="A818" s="98"/>
      <c r="B818" s="98"/>
      <c r="C818" s="98"/>
      <c r="D818" s="98"/>
      <c r="E818" s="98"/>
      <c r="F818" s="98"/>
      <c r="G818" s="98"/>
      <c r="H818" s="98"/>
      <c r="I818" s="98"/>
      <c r="J818" s="98"/>
      <c r="K818" s="98"/>
      <c r="L818" s="98"/>
      <c r="M818" s="98"/>
      <c r="N818" s="98"/>
    </row>
    <row r="819" ht="15.75" customHeight="1">
      <c r="A819" s="98"/>
      <c r="B819" s="98"/>
      <c r="C819" s="98"/>
      <c r="D819" s="98"/>
      <c r="E819" s="98"/>
      <c r="F819" s="98"/>
      <c r="G819" s="98"/>
      <c r="H819" s="98"/>
      <c r="I819" s="98"/>
      <c r="J819" s="98"/>
      <c r="K819" s="98"/>
      <c r="L819" s="98"/>
      <c r="M819" s="98"/>
      <c r="N819" s="98"/>
    </row>
    <row r="820" ht="15.75" customHeight="1">
      <c r="A820" s="98"/>
      <c r="B820" s="98"/>
      <c r="C820" s="98"/>
      <c r="D820" s="98"/>
      <c r="E820" s="98"/>
      <c r="F820" s="98"/>
      <c r="G820" s="98"/>
      <c r="H820" s="98"/>
      <c r="I820" s="98"/>
      <c r="J820" s="98"/>
      <c r="K820" s="98"/>
      <c r="L820" s="98"/>
      <c r="M820" s="98"/>
      <c r="N820" s="98"/>
    </row>
    <row r="821" ht="15.75" customHeight="1">
      <c r="A821" s="98"/>
      <c r="B821" s="98"/>
      <c r="C821" s="98"/>
      <c r="D821" s="98"/>
      <c r="E821" s="98"/>
      <c r="F821" s="98"/>
      <c r="G821" s="98"/>
      <c r="H821" s="98"/>
      <c r="I821" s="98"/>
      <c r="J821" s="98"/>
      <c r="K821" s="98"/>
      <c r="L821" s="98"/>
      <c r="M821" s="98"/>
      <c r="N821" s="98"/>
    </row>
    <row r="822" ht="15.75" customHeight="1">
      <c r="A822" s="98"/>
      <c r="B822" s="98"/>
      <c r="C822" s="98"/>
      <c r="D822" s="98"/>
      <c r="E822" s="98"/>
      <c r="F822" s="98"/>
      <c r="G822" s="98"/>
      <c r="H822" s="98"/>
      <c r="I822" s="98"/>
      <c r="J822" s="98"/>
      <c r="K822" s="98"/>
      <c r="L822" s="98"/>
      <c r="M822" s="98"/>
      <c r="N822" s="98"/>
    </row>
    <row r="823" ht="15.75" customHeight="1">
      <c r="A823" s="98"/>
      <c r="B823" s="98"/>
      <c r="C823" s="98"/>
      <c r="D823" s="98"/>
      <c r="E823" s="98"/>
      <c r="F823" s="98"/>
      <c r="G823" s="98"/>
      <c r="H823" s="98"/>
      <c r="I823" s="98"/>
      <c r="J823" s="98"/>
      <c r="K823" s="98"/>
      <c r="L823" s="98"/>
      <c r="M823" s="98"/>
      <c r="N823" s="98"/>
    </row>
    <row r="824" ht="15.75" customHeight="1">
      <c r="A824" s="98"/>
      <c r="B824" s="98"/>
      <c r="C824" s="98"/>
      <c r="D824" s="98"/>
      <c r="E824" s="98"/>
      <c r="F824" s="98"/>
      <c r="G824" s="98"/>
      <c r="H824" s="98"/>
      <c r="I824" s="98"/>
      <c r="J824" s="98"/>
      <c r="K824" s="98"/>
      <c r="L824" s="98"/>
      <c r="M824" s="98"/>
      <c r="N824" s="98"/>
    </row>
    <row r="825" ht="15.75" customHeight="1">
      <c r="A825" s="98"/>
      <c r="B825" s="98"/>
      <c r="C825" s="98"/>
      <c r="D825" s="98"/>
      <c r="E825" s="98"/>
      <c r="F825" s="98"/>
      <c r="G825" s="98"/>
      <c r="H825" s="98"/>
      <c r="I825" s="98"/>
      <c r="J825" s="98"/>
      <c r="K825" s="98"/>
      <c r="L825" s="98"/>
      <c r="M825" s="98"/>
      <c r="N825" s="98"/>
    </row>
    <row r="826" ht="15.75" customHeight="1">
      <c r="A826" s="98"/>
      <c r="B826" s="98"/>
      <c r="C826" s="98"/>
      <c r="D826" s="98"/>
      <c r="E826" s="98"/>
      <c r="F826" s="98"/>
      <c r="G826" s="98"/>
      <c r="H826" s="98"/>
      <c r="I826" s="98"/>
      <c r="J826" s="98"/>
      <c r="K826" s="98"/>
      <c r="L826" s="98"/>
      <c r="M826" s="98"/>
      <c r="N826" s="98"/>
    </row>
    <row r="827" ht="15.75" customHeight="1">
      <c r="A827" s="98"/>
      <c r="B827" s="98"/>
      <c r="C827" s="98"/>
      <c r="D827" s="98"/>
      <c r="E827" s="98"/>
      <c r="F827" s="98"/>
      <c r="G827" s="98"/>
      <c r="H827" s="98"/>
      <c r="I827" s="98"/>
      <c r="J827" s="98"/>
      <c r="K827" s="98"/>
      <c r="L827" s="98"/>
      <c r="M827" s="98"/>
      <c r="N827" s="98"/>
    </row>
    <row r="828" ht="15.75" customHeight="1">
      <c r="A828" s="98"/>
      <c r="B828" s="98"/>
      <c r="C828" s="98"/>
      <c r="D828" s="98"/>
      <c r="E828" s="98"/>
      <c r="F828" s="98"/>
      <c r="G828" s="98"/>
      <c r="H828" s="98"/>
      <c r="I828" s="98"/>
      <c r="J828" s="98"/>
      <c r="K828" s="98"/>
      <c r="L828" s="98"/>
      <c r="M828" s="98"/>
      <c r="N828" s="98"/>
    </row>
    <row r="829" ht="15.75" customHeight="1">
      <c r="A829" s="98"/>
      <c r="B829" s="98"/>
      <c r="C829" s="98"/>
      <c r="D829" s="98"/>
      <c r="E829" s="98"/>
      <c r="F829" s="98"/>
      <c r="G829" s="98"/>
      <c r="H829" s="98"/>
      <c r="I829" s="98"/>
      <c r="J829" s="98"/>
      <c r="K829" s="98"/>
      <c r="L829" s="98"/>
      <c r="M829" s="98"/>
      <c r="N829" s="98"/>
    </row>
    <row r="830" ht="15.75" customHeight="1">
      <c r="A830" s="98"/>
      <c r="B830" s="98"/>
      <c r="C830" s="98"/>
      <c r="D830" s="98"/>
      <c r="E830" s="98"/>
      <c r="F830" s="98"/>
      <c r="G830" s="98"/>
      <c r="H830" s="98"/>
      <c r="I830" s="98"/>
      <c r="J830" s="98"/>
      <c r="K830" s="98"/>
      <c r="L830" s="98"/>
      <c r="M830" s="98"/>
      <c r="N830" s="98"/>
    </row>
    <row r="831" ht="15.75" customHeight="1">
      <c r="A831" s="98"/>
      <c r="B831" s="98"/>
      <c r="C831" s="98"/>
      <c r="D831" s="98"/>
      <c r="E831" s="98"/>
      <c r="F831" s="98"/>
      <c r="G831" s="98"/>
      <c r="H831" s="98"/>
      <c r="I831" s="98"/>
      <c r="J831" s="98"/>
      <c r="K831" s="98"/>
      <c r="L831" s="98"/>
      <c r="M831" s="98"/>
      <c r="N831" s="98"/>
    </row>
    <row r="832" ht="15.75" customHeight="1">
      <c r="A832" s="98"/>
      <c r="B832" s="98"/>
      <c r="C832" s="98"/>
      <c r="D832" s="98"/>
      <c r="E832" s="98"/>
      <c r="F832" s="98"/>
      <c r="G832" s="98"/>
      <c r="H832" s="98"/>
      <c r="I832" s="98"/>
      <c r="J832" s="98"/>
      <c r="K832" s="98"/>
      <c r="L832" s="98"/>
      <c r="M832" s="98"/>
      <c r="N832" s="98"/>
    </row>
    <row r="833" ht="15.75" customHeight="1">
      <c r="A833" s="98"/>
      <c r="B833" s="98"/>
      <c r="C833" s="98"/>
      <c r="D833" s="98"/>
      <c r="E833" s="98"/>
      <c r="F833" s="98"/>
      <c r="G833" s="98"/>
      <c r="H833" s="98"/>
      <c r="I833" s="98"/>
      <c r="J833" s="98"/>
      <c r="K833" s="98"/>
      <c r="L833" s="98"/>
      <c r="M833" s="98"/>
      <c r="N833" s="98"/>
    </row>
    <row r="834" ht="15.75" customHeight="1">
      <c r="A834" s="98"/>
      <c r="B834" s="98"/>
      <c r="C834" s="98"/>
      <c r="D834" s="98"/>
      <c r="E834" s="98"/>
      <c r="F834" s="98"/>
      <c r="G834" s="98"/>
      <c r="H834" s="98"/>
      <c r="I834" s="98"/>
      <c r="J834" s="98"/>
      <c r="K834" s="98"/>
      <c r="L834" s="98"/>
      <c r="M834" s="98"/>
      <c r="N834" s="98"/>
    </row>
    <row r="835" ht="15.75" customHeight="1">
      <c r="A835" s="98"/>
      <c r="B835" s="98"/>
      <c r="C835" s="98"/>
      <c r="D835" s="98"/>
      <c r="E835" s="98"/>
      <c r="F835" s="98"/>
      <c r="G835" s="98"/>
      <c r="H835" s="98"/>
      <c r="I835" s="98"/>
      <c r="J835" s="98"/>
      <c r="K835" s="98"/>
      <c r="L835" s="98"/>
      <c r="M835" s="98"/>
      <c r="N835" s="98"/>
    </row>
    <row r="836" ht="15.75" customHeight="1">
      <c r="A836" s="98"/>
      <c r="B836" s="98"/>
      <c r="C836" s="98"/>
      <c r="D836" s="98"/>
      <c r="E836" s="98"/>
      <c r="F836" s="98"/>
      <c r="G836" s="98"/>
      <c r="H836" s="98"/>
      <c r="I836" s="98"/>
      <c r="J836" s="98"/>
      <c r="K836" s="98"/>
      <c r="L836" s="98"/>
      <c r="M836" s="98"/>
      <c r="N836" s="98"/>
    </row>
    <row r="837" ht="15.75" customHeight="1">
      <c r="A837" s="98"/>
      <c r="B837" s="98"/>
      <c r="C837" s="98"/>
      <c r="D837" s="98"/>
      <c r="E837" s="98"/>
      <c r="F837" s="98"/>
      <c r="G837" s="98"/>
      <c r="H837" s="98"/>
      <c r="I837" s="98"/>
      <c r="J837" s="98"/>
      <c r="K837" s="98"/>
      <c r="L837" s="98"/>
      <c r="M837" s="98"/>
      <c r="N837" s="98"/>
    </row>
    <row r="838" ht="15.75" customHeight="1">
      <c r="A838" s="98"/>
      <c r="B838" s="98"/>
      <c r="C838" s="98"/>
      <c r="D838" s="98"/>
      <c r="E838" s="98"/>
      <c r="F838" s="98"/>
      <c r="G838" s="98"/>
      <c r="H838" s="98"/>
      <c r="I838" s="98"/>
      <c r="J838" s="98"/>
      <c r="K838" s="98"/>
      <c r="L838" s="98"/>
      <c r="M838" s="98"/>
      <c r="N838" s="98"/>
    </row>
    <row r="839" ht="15.75" customHeight="1">
      <c r="A839" s="98"/>
      <c r="B839" s="98"/>
      <c r="C839" s="98"/>
      <c r="D839" s="98"/>
      <c r="E839" s="98"/>
      <c r="F839" s="98"/>
      <c r="G839" s="98"/>
      <c r="H839" s="98"/>
      <c r="I839" s="98"/>
      <c r="J839" s="98"/>
      <c r="K839" s="98"/>
      <c r="L839" s="98"/>
      <c r="M839" s="98"/>
      <c r="N839" s="98"/>
    </row>
    <row r="840" ht="15.75" customHeight="1">
      <c r="A840" s="98"/>
      <c r="B840" s="98"/>
      <c r="C840" s="98"/>
      <c r="D840" s="98"/>
      <c r="E840" s="98"/>
      <c r="F840" s="98"/>
      <c r="G840" s="98"/>
      <c r="H840" s="98"/>
      <c r="I840" s="98"/>
      <c r="J840" s="98"/>
      <c r="K840" s="98"/>
      <c r="L840" s="98"/>
      <c r="M840" s="98"/>
      <c r="N840" s="98"/>
    </row>
    <row r="841" ht="15.75" customHeight="1">
      <c r="A841" s="98"/>
      <c r="B841" s="98"/>
      <c r="C841" s="98"/>
      <c r="D841" s="98"/>
      <c r="E841" s="98"/>
      <c r="F841" s="98"/>
      <c r="G841" s="98"/>
      <c r="H841" s="98"/>
      <c r="I841" s="98"/>
      <c r="J841" s="98"/>
      <c r="K841" s="98"/>
      <c r="L841" s="98"/>
      <c r="M841" s="98"/>
      <c r="N841" s="98"/>
    </row>
    <row r="842" ht="15.75" customHeight="1">
      <c r="A842" s="98"/>
      <c r="B842" s="98"/>
      <c r="C842" s="98"/>
      <c r="D842" s="98"/>
      <c r="E842" s="98"/>
      <c r="F842" s="98"/>
      <c r="G842" s="98"/>
      <c r="H842" s="98"/>
      <c r="I842" s="98"/>
      <c r="J842" s="98"/>
      <c r="K842" s="98"/>
      <c r="L842" s="98"/>
      <c r="M842" s="98"/>
      <c r="N842" s="98"/>
    </row>
    <row r="843" ht="15.75" customHeight="1">
      <c r="A843" s="98"/>
      <c r="B843" s="98"/>
      <c r="C843" s="98"/>
      <c r="D843" s="98"/>
      <c r="E843" s="98"/>
      <c r="F843" s="98"/>
      <c r="G843" s="98"/>
      <c r="H843" s="98"/>
      <c r="I843" s="98"/>
      <c r="J843" s="98"/>
      <c r="K843" s="98"/>
      <c r="L843" s="98"/>
      <c r="M843" s="98"/>
      <c r="N843" s="98"/>
    </row>
    <row r="844" ht="15.75" customHeight="1">
      <c r="A844" s="98"/>
      <c r="B844" s="98"/>
      <c r="C844" s="98"/>
      <c r="D844" s="98"/>
      <c r="E844" s="98"/>
      <c r="F844" s="98"/>
      <c r="G844" s="98"/>
      <c r="H844" s="98"/>
      <c r="I844" s="98"/>
      <c r="J844" s="98"/>
      <c r="K844" s="98"/>
      <c r="L844" s="98"/>
      <c r="M844" s="98"/>
      <c r="N844" s="98"/>
    </row>
    <row r="845" ht="15.75" customHeight="1">
      <c r="A845" s="98"/>
      <c r="B845" s="98"/>
      <c r="C845" s="98"/>
      <c r="D845" s="98"/>
      <c r="E845" s="98"/>
      <c r="F845" s="98"/>
      <c r="G845" s="98"/>
      <c r="H845" s="98"/>
      <c r="I845" s="98"/>
      <c r="J845" s="98"/>
      <c r="K845" s="98"/>
      <c r="L845" s="98"/>
      <c r="M845" s="98"/>
      <c r="N845" s="98"/>
    </row>
    <row r="846" ht="15.75" customHeight="1">
      <c r="A846" s="98"/>
      <c r="B846" s="98"/>
      <c r="C846" s="98"/>
      <c r="D846" s="98"/>
      <c r="E846" s="98"/>
      <c r="F846" s="98"/>
      <c r="G846" s="98"/>
      <c r="H846" s="98"/>
      <c r="I846" s="98"/>
      <c r="J846" s="98"/>
      <c r="K846" s="98"/>
      <c r="L846" s="98"/>
      <c r="M846" s="98"/>
      <c r="N846" s="98"/>
    </row>
    <row r="847" ht="15.75" customHeight="1">
      <c r="A847" s="98"/>
      <c r="B847" s="98"/>
      <c r="C847" s="98"/>
      <c r="D847" s="98"/>
      <c r="E847" s="98"/>
      <c r="F847" s="98"/>
      <c r="G847" s="98"/>
      <c r="H847" s="98"/>
      <c r="I847" s="98"/>
      <c r="J847" s="98"/>
      <c r="K847" s="98"/>
      <c r="L847" s="98"/>
      <c r="M847" s="98"/>
      <c r="N847" s="98"/>
    </row>
    <row r="848" ht="15.75" customHeight="1">
      <c r="A848" s="98"/>
      <c r="B848" s="98"/>
      <c r="C848" s="98"/>
      <c r="D848" s="98"/>
      <c r="E848" s="98"/>
      <c r="F848" s="98"/>
      <c r="G848" s="98"/>
      <c r="H848" s="98"/>
      <c r="I848" s="98"/>
      <c r="J848" s="98"/>
      <c r="K848" s="98"/>
      <c r="L848" s="98"/>
      <c r="M848" s="98"/>
      <c r="N848" s="98"/>
    </row>
    <row r="849" ht="15.75" customHeight="1">
      <c r="A849" s="98"/>
      <c r="B849" s="98"/>
      <c r="C849" s="98"/>
      <c r="D849" s="98"/>
      <c r="E849" s="98"/>
      <c r="F849" s="98"/>
      <c r="G849" s="98"/>
      <c r="H849" s="98"/>
      <c r="I849" s="98"/>
      <c r="J849" s="98"/>
      <c r="K849" s="98"/>
      <c r="L849" s="98"/>
      <c r="M849" s="98"/>
      <c r="N849" s="98"/>
    </row>
    <row r="850" ht="15.75" customHeight="1">
      <c r="A850" s="98"/>
      <c r="B850" s="98"/>
      <c r="C850" s="98"/>
      <c r="D850" s="98"/>
      <c r="E850" s="98"/>
      <c r="F850" s="98"/>
      <c r="G850" s="98"/>
      <c r="H850" s="98"/>
      <c r="I850" s="98"/>
      <c r="J850" s="98"/>
      <c r="K850" s="98"/>
      <c r="L850" s="98"/>
      <c r="M850" s="98"/>
      <c r="N850" s="98"/>
    </row>
    <row r="851" ht="15.75" customHeight="1">
      <c r="A851" s="98"/>
      <c r="B851" s="98"/>
      <c r="C851" s="98"/>
      <c r="D851" s="98"/>
      <c r="E851" s="98"/>
      <c r="F851" s="98"/>
      <c r="G851" s="98"/>
      <c r="H851" s="98"/>
      <c r="I851" s="98"/>
      <c r="J851" s="98"/>
      <c r="K851" s="98"/>
      <c r="L851" s="98"/>
      <c r="M851" s="98"/>
      <c r="N851" s="98"/>
    </row>
    <row r="852" ht="15.75" customHeight="1">
      <c r="A852" s="98"/>
      <c r="B852" s="98"/>
      <c r="C852" s="98"/>
      <c r="D852" s="98"/>
      <c r="E852" s="98"/>
      <c r="F852" s="98"/>
      <c r="G852" s="98"/>
      <c r="H852" s="98"/>
      <c r="I852" s="98"/>
      <c r="J852" s="98"/>
      <c r="K852" s="98"/>
      <c r="L852" s="98"/>
      <c r="M852" s="98"/>
      <c r="N852" s="98"/>
    </row>
    <row r="853" ht="15.75" customHeight="1">
      <c r="A853" s="98"/>
      <c r="B853" s="98"/>
      <c r="C853" s="98"/>
      <c r="D853" s="98"/>
      <c r="E853" s="98"/>
      <c r="F853" s="98"/>
      <c r="G853" s="98"/>
      <c r="H853" s="98"/>
      <c r="I853" s="98"/>
      <c r="J853" s="98"/>
      <c r="K853" s="98"/>
      <c r="L853" s="98"/>
      <c r="M853" s="98"/>
      <c r="N853" s="98"/>
    </row>
    <row r="854" ht="15.75" customHeight="1">
      <c r="A854" s="98"/>
      <c r="B854" s="98"/>
      <c r="C854" s="98"/>
      <c r="D854" s="98"/>
      <c r="E854" s="98"/>
      <c r="F854" s="98"/>
      <c r="G854" s="98"/>
      <c r="H854" s="98"/>
      <c r="I854" s="98"/>
      <c r="J854" s="98"/>
      <c r="K854" s="98"/>
      <c r="L854" s="98"/>
      <c r="M854" s="98"/>
      <c r="N854" s="98"/>
    </row>
    <row r="855" ht="15.75" customHeight="1">
      <c r="A855" s="98"/>
      <c r="B855" s="98"/>
      <c r="C855" s="98"/>
      <c r="D855" s="98"/>
      <c r="E855" s="98"/>
      <c r="F855" s="98"/>
      <c r="G855" s="98"/>
      <c r="H855" s="98"/>
      <c r="I855" s="98"/>
      <c r="J855" s="98"/>
      <c r="K855" s="98"/>
      <c r="L855" s="98"/>
      <c r="M855" s="98"/>
      <c r="N855" s="98"/>
    </row>
    <row r="856" ht="15.75" customHeight="1">
      <c r="A856" s="98"/>
      <c r="B856" s="98"/>
      <c r="C856" s="98"/>
      <c r="D856" s="98"/>
      <c r="E856" s="98"/>
      <c r="F856" s="98"/>
      <c r="G856" s="98"/>
      <c r="H856" s="98"/>
      <c r="I856" s="98"/>
      <c r="J856" s="98"/>
      <c r="K856" s="98"/>
      <c r="L856" s="98"/>
      <c r="M856" s="98"/>
      <c r="N856" s="98"/>
    </row>
    <row r="857" ht="15.75" customHeight="1">
      <c r="A857" s="98"/>
      <c r="B857" s="98"/>
      <c r="C857" s="98"/>
      <c r="D857" s="98"/>
      <c r="E857" s="98"/>
      <c r="F857" s="98"/>
      <c r="G857" s="98"/>
      <c r="H857" s="98"/>
      <c r="I857" s="98"/>
      <c r="J857" s="98"/>
      <c r="K857" s="98"/>
      <c r="L857" s="98"/>
      <c r="M857" s="98"/>
      <c r="N857" s="98"/>
    </row>
    <row r="858" ht="15.75" customHeight="1">
      <c r="A858" s="98"/>
      <c r="B858" s="98"/>
      <c r="C858" s="98"/>
      <c r="D858" s="98"/>
      <c r="E858" s="98"/>
      <c r="F858" s="98"/>
      <c r="G858" s="98"/>
      <c r="H858" s="98"/>
      <c r="I858" s="98"/>
      <c r="J858" s="98"/>
      <c r="K858" s="98"/>
      <c r="L858" s="98"/>
      <c r="M858" s="98"/>
      <c r="N858" s="98"/>
    </row>
    <row r="859" ht="15.75" customHeight="1">
      <c r="A859" s="98"/>
      <c r="B859" s="98"/>
      <c r="C859" s="98"/>
      <c r="D859" s="98"/>
      <c r="E859" s="98"/>
      <c r="F859" s="98"/>
      <c r="G859" s="98"/>
      <c r="H859" s="98"/>
      <c r="I859" s="98"/>
      <c r="J859" s="98"/>
      <c r="K859" s="98"/>
      <c r="L859" s="98"/>
      <c r="M859" s="98"/>
      <c r="N859" s="98"/>
    </row>
    <row r="860" ht="15.75" customHeight="1">
      <c r="A860" s="98"/>
      <c r="B860" s="98"/>
      <c r="C860" s="98"/>
      <c r="D860" s="98"/>
      <c r="E860" s="98"/>
      <c r="F860" s="98"/>
      <c r="G860" s="98"/>
      <c r="H860" s="98"/>
      <c r="I860" s="98"/>
      <c r="J860" s="98"/>
      <c r="K860" s="98"/>
      <c r="L860" s="98"/>
      <c r="M860" s="98"/>
      <c r="N860" s="98"/>
    </row>
    <row r="861" ht="15.75" customHeight="1">
      <c r="A861" s="98"/>
      <c r="B861" s="98"/>
      <c r="C861" s="98"/>
      <c r="D861" s="98"/>
      <c r="E861" s="98"/>
      <c r="F861" s="98"/>
      <c r="G861" s="98"/>
      <c r="H861" s="98"/>
      <c r="I861" s="98"/>
      <c r="J861" s="98"/>
      <c r="K861" s="98"/>
      <c r="L861" s="98"/>
      <c r="M861" s="98"/>
      <c r="N861" s="98"/>
    </row>
    <row r="862" ht="15.75" customHeight="1">
      <c r="A862" s="98"/>
      <c r="B862" s="98"/>
      <c r="C862" s="98"/>
      <c r="D862" s="98"/>
      <c r="E862" s="98"/>
      <c r="F862" s="98"/>
      <c r="G862" s="98"/>
      <c r="H862" s="98"/>
      <c r="I862" s="98"/>
      <c r="J862" s="98"/>
      <c r="K862" s="98"/>
      <c r="L862" s="98"/>
      <c r="M862" s="98"/>
      <c r="N862" s="98"/>
    </row>
    <row r="863" ht="15.75" customHeight="1">
      <c r="A863" s="98"/>
      <c r="B863" s="98"/>
      <c r="C863" s="98"/>
      <c r="D863" s="98"/>
      <c r="E863" s="98"/>
      <c r="F863" s="98"/>
      <c r="G863" s="98"/>
      <c r="H863" s="98"/>
      <c r="I863" s="98"/>
      <c r="J863" s="98"/>
      <c r="K863" s="98"/>
      <c r="L863" s="98"/>
      <c r="M863" s="98"/>
      <c r="N863" s="98"/>
    </row>
    <row r="864" ht="15.75" customHeight="1">
      <c r="A864" s="98"/>
      <c r="B864" s="98"/>
      <c r="C864" s="98"/>
      <c r="D864" s="98"/>
      <c r="E864" s="98"/>
      <c r="F864" s="98"/>
      <c r="G864" s="98"/>
      <c r="H864" s="98"/>
      <c r="I864" s="98"/>
      <c r="J864" s="98"/>
      <c r="K864" s="98"/>
      <c r="L864" s="98"/>
      <c r="M864" s="98"/>
      <c r="N864" s="98"/>
    </row>
    <row r="865" ht="15.75" customHeight="1">
      <c r="A865" s="98"/>
      <c r="B865" s="98"/>
      <c r="C865" s="98"/>
      <c r="D865" s="98"/>
      <c r="E865" s="98"/>
      <c r="F865" s="98"/>
      <c r="G865" s="98"/>
      <c r="H865" s="98"/>
      <c r="I865" s="98"/>
      <c r="J865" s="98"/>
      <c r="K865" s="98"/>
      <c r="L865" s="98"/>
      <c r="M865" s="98"/>
      <c r="N865" s="98"/>
    </row>
    <row r="866" ht="15.75" customHeight="1">
      <c r="A866" s="98"/>
      <c r="B866" s="98"/>
      <c r="C866" s="98"/>
      <c r="D866" s="98"/>
      <c r="E866" s="98"/>
      <c r="F866" s="98"/>
      <c r="G866" s="98"/>
      <c r="H866" s="98"/>
      <c r="I866" s="98"/>
      <c r="J866" s="98"/>
      <c r="K866" s="98"/>
      <c r="L866" s="98"/>
      <c r="M866" s="98"/>
      <c r="N866" s="98"/>
    </row>
    <row r="867" ht="15.75" customHeight="1">
      <c r="A867" s="98"/>
      <c r="B867" s="98"/>
      <c r="C867" s="98"/>
      <c r="D867" s="98"/>
      <c r="E867" s="98"/>
      <c r="F867" s="98"/>
      <c r="G867" s="98"/>
      <c r="H867" s="98"/>
      <c r="I867" s="98"/>
      <c r="J867" s="98"/>
      <c r="K867" s="98"/>
      <c r="L867" s="98"/>
      <c r="M867" s="98"/>
      <c r="N867" s="98"/>
    </row>
    <row r="868" ht="15.75" customHeight="1">
      <c r="A868" s="98"/>
      <c r="B868" s="98"/>
      <c r="C868" s="98"/>
      <c r="D868" s="98"/>
      <c r="E868" s="98"/>
      <c r="F868" s="98"/>
      <c r="G868" s="98"/>
      <c r="H868" s="98"/>
      <c r="I868" s="98"/>
      <c r="J868" s="98"/>
      <c r="K868" s="98"/>
      <c r="L868" s="98"/>
      <c r="M868" s="98"/>
      <c r="N868" s="98"/>
    </row>
    <row r="869" ht="15.75" customHeight="1">
      <c r="A869" s="98"/>
      <c r="B869" s="98"/>
      <c r="C869" s="98"/>
      <c r="D869" s="98"/>
      <c r="E869" s="98"/>
      <c r="F869" s="98"/>
      <c r="G869" s="98"/>
      <c r="H869" s="98"/>
      <c r="I869" s="98"/>
      <c r="J869" s="98"/>
      <c r="K869" s="98"/>
      <c r="L869" s="98"/>
      <c r="M869" s="98"/>
      <c r="N869" s="98"/>
    </row>
    <row r="870" ht="15.75" customHeight="1">
      <c r="A870" s="98"/>
      <c r="B870" s="98"/>
      <c r="C870" s="98"/>
      <c r="D870" s="98"/>
      <c r="E870" s="98"/>
      <c r="F870" s="98"/>
      <c r="G870" s="98"/>
      <c r="H870" s="98"/>
      <c r="I870" s="98"/>
      <c r="J870" s="98"/>
      <c r="K870" s="98"/>
      <c r="L870" s="98"/>
      <c r="M870" s="98"/>
      <c r="N870" s="98"/>
    </row>
    <row r="871" ht="15.75" customHeight="1">
      <c r="A871" s="98"/>
      <c r="B871" s="98"/>
      <c r="C871" s="98"/>
      <c r="D871" s="98"/>
      <c r="E871" s="98"/>
      <c r="F871" s="98"/>
      <c r="G871" s="98"/>
      <c r="H871" s="98"/>
      <c r="I871" s="98"/>
      <c r="J871" s="98"/>
      <c r="K871" s="98"/>
      <c r="L871" s="98"/>
      <c r="M871" s="98"/>
      <c r="N871" s="98"/>
    </row>
    <row r="872" ht="15.75" customHeight="1">
      <c r="A872" s="98"/>
      <c r="B872" s="98"/>
      <c r="C872" s="98"/>
      <c r="D872" s="98"/>
      <c r="E872" s="98"/>
      <c r="F872" s="98"/>
      <c r="G872" s="98"/>
      <c r="H872" s="98"/>
      <c r="I872" s="98"/>
      <c r="J872" s="98"/>
      <c r="K872" s="98"/>
      <c r="L872" s="98"/>
      <c r="M872" s="98"/>
      <c r="N872" s="98"/>
    </row>
    <row r="873" ht="15.75" customHeight="1">
      <c r="A873" s="98"/>
      <c r="B873" s="98"/>
      <c r="C873" s="98"/>
      <c r="D873" s="98"/>
      <c r="E873" s="98"/>
      <c r="F873" s="98"/>
      <c r="G873" s="98"/>
      <c r="H873" s="98"/>
      <c r="I873" s="98"/>
      <c r="J873" s="98"/>
      <c r="K873" s="98"/>
      <c r="L873" s="98"/>
      <c r="M873" s="98"/>
      <c r="N873" s="98"/>
    </row>
    <row r="874" ht="15.75" customHeight="1">
      <c r="A874" s="98"/>
      <c r="B874" s="98"/>
      <c r="C874" s="98"/>
      <c r="D874" s="98"/>
      <c r="E874" s="98"/>
      <c r="F874" s="98"/>
      <c r="G874" s="98"/>
      <c r="H874" s="98"/>
      <c r="I874" s="98"/>
      <c r="J874" s="98"/>
      <c r="K874" s="98"/>
      <c r="L874" s="98"/>
      <c r="M874" s="98"/>
      <c r="N874" s="98"/>
    </row>
    <row r="875" ht="15.75" customHeight="1">
      <c r="A875" s="98"/>
      <c r="B875" s="98"/>
      <c r="C875" s="98"/>
      <c r="D875" s="98"/>
      <c r="E875" s="98"/>
      <c r="F875" s="98"/>
      <c r="G875" s="98"/>
      <c r="H875" s="98"/>
      <c r="I875" s="98"/>
      <c r="J875" s="98"/>
      <c r="K875" s="98"/>
      <c r="L875" s="98"/>
      <c r="M875" s="98"/>
      <c r="N875" s="98"/>
    </row>
    <row r="876" ht="15.75" customHeight="1">
      <c r="A876" s="98"/>
      <c r="B876" s="98"/>
      <c r="C876" s="98"/>
      <c r="D876" s="98"/>
      <c r="E876" s="98"/>
      <c r="F876" s="98"/>
      <c r="G876" s="98"/>
      <c r="H876" s="98"/>
      <c r="I876" s="98"/>
      <c r="J876" s="98"/>
      <c r="K876" s="98"/>
      <c r="L876" s="98"/>
      <c r="M876" s="98"/>
      <c r="N876" s="98"/>
    </row>
    <row r="877" ht="15.75" customHeight="1">
      <c r="A877" s="98"/>
      <c r="B877" s="98"/>
      <c r="C877" s="98"/>
      <c r="D877" s="98"/>
      <c r="E877" s="98"/>
      <c r="F877" s="98"/>
      <c r="G877" s="98"/>
      <c r="H877" s="98"/>
      <c r="I877" s="98"/>
      <c r="J877" s="98"/>
      <c r="K877" s="98"/>
      <c r="L877" s="98"/>
      <c r="M877" s="98"/>
      <c r="N877" s="98"/>
    </row>
    <row r="878" ht="15.75" customHeight="1">
      <c r="A878" s="98"/>
      <c r="B878" s="98"/>
      <c r="C878" s="98"/>
      <c r="D878" s="98"/>
      <c r="E878" s="98"/>
      <c r="F878" s="98"/>
      <c r="G878" s="98"/>
      <c r="H878" s="98"/>
      <c r="I878" s="98"/>
      <c r="J878" s="98"/>
      <c r="K878" s="98"/>
      <c r="L878" s="98"/>
      <c r="M878" s="98"/>
      <c r="N878" s="98"/>
    </row>
    <row r="879" ht="15.75" customHeight="1">
      <c r="A879" s="98"/>
      <c r="B879" s="98"/>
      <c r="C879" s="98"/>
      <c r="D879" s="98"/>
      <c r="E879" s="98"/>
      <c r="F879" s="98"/>
      <c r="G879" s="98"/>
      <c r="H879" s="98"/>
      <c r="I879" s="98"/>
      <c r="J879" s="98"/>
      <c r="K879" s="98"/>
      <c r="L879" s="98"/>
      <c r="M879" s="98"/>
      <c r="N879" s="98"/>
    </row>
    <row r="880" ht="15.75" customHeight="1">
      <c r="A880" s="98"/>
      <c r="B880" s="98"/>
      <c r="C880" s="98"/>
      <c r="D880" s="98"/>
      <c r="E880" s="98"/>
      <c r="F880" s="98"/>
      <c r="G880" s="98"/>
      <c r="H880" s="98"/>
      <c r="I880" s="98"/>
      <c r="J880" s="98"/>
      <c r="K880" s="98"/>
      <c r="L880" s="98"/>
      <c r="M880" s="98"/>
      <c r="N880" s="98"/>
    </row>
    <row r="881" ht="15.75" customHeight="1">
      <c r="A881" s="98"/>
      <c r="B881" s="98"/>
      <c r="C881" s="98"/>
      <c r="D881" s="98"/>
      <c r="E881" s="98"/>
      <c r="F881" s="98"/>
      <c r="G881" s="98"/>
      <c r="H881" s="98"/>
      <c r="I881" s="98"/>
      <c r="J881" s="98"/>
      <c r="K881" s="98"/>
      <c r="L881" s="98"/>
      <c r="M881" s="98"/>
      <c r="N881" s="98"/>
    </row>
    <row r="882" ht="15.75" customHeight="1">
      <c r="A882" s="98"/>
      <c r="B882" s="98"/>
      <c r="C882" s="98"/>
      <c r="D882" s="98"/>
      <c r="E882" s="98"/>
      <c r="F882" s="98"/>
      <c r="G882" s="98"/>
      <c r="H882" s="98"/>
      <c r="I882" s="98"/>
      <c r="J882" s="98"/>
      <c r="K882" s="98"/>
      <c r="L882" s="98"/>
      <c r="M882" s="98"/>
      <c r="N882" s="98"/>
    </row>
    <row r="883" ht="15.75" customHeight="1">
      <c r="A883" s="98"/>
      <c r="B883" s="98"/>
      <c r="C883" s="98"/>
      <c r="D883" s="98"/>
      <c r="E883" s="98"/>
      <c r="F883" s="98"/>
      <c r="G883" s="98"/>
      <c r="H883" s="98"/>
      <c r="I883" s="98"/>
      <c r="J883" s="98"/>
      <c r="K883" s="98"/>
      <c r="L883" s="98"/>
      <c r="M883" s="98"/>
      <c r="N883" s="98"/>
    </row>
    <row r="884" ht="15.75" customHeight="1">
      <c r="A884" s="98"/>
      <c r="B884" s="98"/>
      <c r="C884" s="98"/>
      <c r="D884" s="98"/>
      <c r="E884" s="98"/>
      <c r="F884" s="98"/>
      <c r="G884" s="98"/>
      <c r="H884" s="98"/>
      <c r="I884" s="98"/>
      <c r="J884" s="98"/>
      <c r="K884" s="98"/>
      <c r="L884" s="98"/>
      <c r="M884" s="98"/>
      <c r="N884" s="98"/>
    </row>
    <row r="885" ht="15.75" customHeight="1">
      <c r="A885" s="98"/>
      <c r="B885" s="98"/>
      <c r="C885" s="98"/>
      <c r="D885" s="98"/>
      <c r="E885" s="98"/>
      <c r="F885" s="98"/>
      <c r="G885" s="98"/>
      <c r="H885" s="98"/>
      <c r="I885" s="98"/>
      <c r="J885" s="98"/>
      <c r="K885" s="98"/>
      <c r="L885" s="98"/>
      <c r="M885" s="98"/>
      <c r="N885" s="98"/>
    </row>
    <row r="886" ht="15.75" customHeight="1">
      <c r="A886" s="98"/>
      <c r="B886" s="98"/>
      <c r="C886" s="98"/>
      <c r="D886" s="98"/>
      <c r="E886" s="98"/>
      <c r="F886" s="98"/>
      <c r="G886" s="98"/>
      <c r="H886" s="98"/>
      <c r="I886" s="98"/>
      <c r="J886" s="98"/>
      <c r="K886" s="98"/>
      <c r="L886" s="98"/>
      <c r="M886" s="98"/>
      <c r="N886" s="98"/>
    </row>
    <row r="887" ht="15.75" customHeight="1">
      <c r="A887" s="98"/>
      <c r="B887" s="98"/>
      <c r="C887" s="98"/>
      <c r="D887" s="98"/>
      <c r="E887" s="98"/>
      <c r="F887" s="98"/>
      <c r="G887" s="98"/>
      <c r="H887" s="98"/>
      <c r="I887" s="98"/>
      <c r="J887" s="98"/>
      <c r="K887" s="98"/>
      <c r="L887" s="98"/>
      <c r="M887" s="98"/>
      <c r="N887" s="98"/>
    </row>
    <row r="888" ht="15.75" customHeight="1">
      <c r="A888" s="98"/>
      <c r="B888" s="98"/>
      <c r="C888" s="98"/>
      <c r="D888" s="98"/>
      <c r="E888" s="98"/>
      <c r="F888" s="98"/>
      <c r="G888" s="98"/>
      <c r="H888" s="98"/>
      <c r="I888" s="98"/>
      <c r="J888" s="98"/>
      <c r="K888" s="98"/>
      <c r="L888" s="98"/>
      <c r="M888" s="98"/>
      <c r="N888" s="98"/>
    </row>
    <row r="889" ht="15.75" customHeight="1">
      <c r="A889" s="98"/>
      <c r="B889" s="98"/>
      <c r="C889" s="98"/>
      <c r="D889" s="98"/>
      <c r="E889" s="98"/>
      <c r="F889" s="98"/>
      <c r="G889" s="98"/>
      <c r="H889" s="98"/>
      <c r="I889" s="98"/>
      <c r="J889" s="98"/>
      <c r="K889" s="98"/>
      <c r="L889" s="98"/>
      <c r="M889" s="98"/>
      <c r="N889" s="98"/>
    </row>
    <row r="890" ht="15.75" customHeight="1">
      <c r="A890" s="98"/>
      <c r="B890" s="98"/>
      <c r="C890" s="98"/>
      <c r="D890" s="98"/>
      <c r="E890" s="98"/>
      <c r="F890" s="98"/>
      <c r="G890" s="98"/>
      <c r="H890" s="98"/>
      <c r="I890" s="98"/>
      <c r="J890" s="98"/>
      <c r="K890" s="98"/>
      <c r="L890" s="98"/>
      <c r="M890" s="98"/>
      <c r="N890" s="98"/>
    </row>
    <row r="891" ht="15.75" customHeight="1">
      <c r="A891" s="98"/>
      <c r="B891" s="98"/>
      <c r="C891" s="98"/>
      <c r="D891" s="98"/>
      <c r="E891" s="98"/>
      <c r="F891" s="98"/>
      <c r="G891" s="98"/>
      <c r="H891" s="98"/>
      <c r="I891" s="98"/>
      <c r="J891" s="98"/>
      <c r="K891" s="98"/>
      <c r="L891" s="98"/>
      <c r="M891" s="98"/>
      <c r="N891" s="98"/>
    </row>
    <row r="892" ht="15.75" customHeight="1">
      <c r="A892" s="98"/>
      <c r="B892" s="98"/>
      <c r="C892" s="98"/>
      <c r="D892" s="98"/>
      <c r="E892" s="98"/>
      <c r="F892" s="98"/>
      <c r="G892" s="98"/>
      <c r="H892" s="98"/>
      <c r="I892" s="98"/>
      <c r="J892" s="98"/>
      <c r="K892" s="98"/>
      <c r="L892" s="98"/>
      <c r="M892" s="98"/>
      <c r="N892" s="98"/>
    </row>
    <row r="893" ht="15.75" customHeight="1">
      <c r="A893" s="98"/>
      <c r="B893" s="98"/>
      <c r="C893" s="98"/>
      <c r="D893" s="98"/>
      <c r="E893" s="98"/>
      <c r="F893" s="98"/>
      <c r="G893" s="98"/>
      <c r="H893" s="98"/>
      <c r="I893" s="98"/>
      <c r="J893" s="98"/>
      <c r="K893" s="98"/>
      <c r="L893" s="98"/>
      <c r="M893" s="98"/>
      <c r="N893" s="98"/>
    </row>
    <row r="894" ht="15.75" customHeight="1">
      <c r="A894" s="98"/>
      <c r="B894" s="98"/>
      <c r="C894" s="98"/>
      <c r="D894" s="98"/>
      <c r="E894" s="98"/>
      <c r="F894" s="98"/>
      <c r="G894" s="98"/>
      <c r="H894" s="98"/>
      <c r="I894" s="98"/>
      <c r="J894" s="98"/>
      <c r="K894" s="98"/>
      <c r="L894" s="98"/>
      <c r="M894" s="98"/>
      <c r="N894" s="98"/>
    </row>
    <row r="895" ht="15.75" customHeight="1">
      <c r="A895" s="98"/>
      <c r="B895" s="98"/>
      <c r="C895" s="98"/>
      <c r="D895" s="98"/>
      <c r="E895" s="98"/>
      <c r="F895" s="98"/>
      <c r="G895" s="98"/>
      <c r="H895" s="98"/>
      <c r="I895" s="98"/>
      <c r="J895" s="98"/>
      <c r="K895" s="98"/>
      <c r="L895" s="98"/>
      <c r="M895" s="98"/>
      <c r="N895" s="98"/>
    </row>
    <row r="896" ht="15.75" customHeight="1">
      <c r="A896" s="98"/>
      <c r="B896" s="98"/>
      <c r="C896" s="98"/>
      <c r="D896" s="98"/>
      <c r="E896" s="98"/>
      <c r="F896" s="98"/>
      <c r="G896" s="98"/>
      <c r="H896" s="98"/>
      <c r="I896" s="98"/>
      <c r="J896" s="98"/>
      <c r="K896" s="98"/>
      <c r="L896" s="98"/>
      <c r="M896" s="98"/>
      <c r="N896" s="98"/>
    </row>
    <row r="897" ht="15.75" customHeight="1">
      <c r="A897" s="98"/>
      <c r="B897" s="98"/>
      <c r="C897" s="98"/>
      <c r="D897" s="98"/>
      <c r="E897" s="98"/>
      <c r="F897" s="98"/>
      <c r="G897" s="98"/>
      <c r="H897" s="98"/>
      <c r="I897" s="98"/>
      <c r="J897" s="98"/>
      <c r="K897" s="98"/>
      <c r="L897" s="98"/>
      <c r="M897" s="98"/>
      <c r="N897" s="98"/>
    </row>
    <row r="898" ht="15.75" customHeight="1">
      <c r="A898" s="98"/>
      <c r="B898" s="98"/>
      <c r="C898" s="98"/>
      <c r="D898" s="98"/>
      <c r="E898" s="98"/>
      <c r="F898" s="98"/>
      <c r="G898" s="98"/>
      <c r="H898" s="98"/>
      <c r="I898" s="98"/>
      <c r="J898" s="98"/>
      <c r="K898" s="98"/>
      <c r="L898" s="98"/>
      <c r="M898" s="98"/>
      <c r="N898" s="98"/>
    </row>
    <row r="899" ht="15.75" customHeight="1">
      <c r="A899" s="98"/>
      <c r="B899" s="98"/>
      <c r="C899" s="98"/>
      <c r="D899" s="98"/>
      <c r="E899" s="98"/>
      <c r="F899" s="98"/>
      <c r="G899" s="98"/>
      <c r="H899" s="98"/>
      <c r="I899" s="98"/>
      <c r="J899" s="98"/>
      <c r="K899" s="98"/>
      <c r="L899" s="98"/>
      <c r="M899" s="98"/>
      <c r="N899" s="98"/>
    </row>
    <row r="900" ht="15.75" customHeight="1">
      <c r="A900" s="98"/>
      <c r="B900" s="98"/>
      <c r="C900" s="98"/>
      <c r="D900" s="98"/>
      <c r="E900" s="98"/>
      <c r="F900" s="98"/>
      <c r="G900" s="98"/>
      <c r="H900" s="98"/>
      <c r="I900" s="98"/>
      <c r="J900" s="98"/>
      <c r="K900" s="98"/>
      <c r="L900" s="98"/>
      <c r="M900" s="98"/>
      <c r="N900" s="98"/>
    </row>
    <row r="901" ht="15.75" customHeight="1">
      <c r="A901" s="98"/>
      <c r="B901" s="98"/>
      <c r="C901" s="98"/>
      <c r="D901" s="98"/>
      <c r="E901" s="98"/>
      <c r="F901" s="98"/>
      <c r="G901" s="98"/>
      <c r="H901" s="98"/>
      <c r="I901" s="98"/>
      <c r="J901" s="98"/>
      <c r="K901" s="98"/>
      <c r="L901" s="98"/>
      <c r="M901" s="98"/>
      <c r="N901" s="98"/>
    </row>
    <row r="902" ht="15.75" customHeight="1">
      <c r="A902" s="98"/>
      <c r="B902" s="98"/>
      <c r="C902" s="98"/>
      <c r="D902" s="98"/>
      <c r="E902" s="98"/>
      <c r="F902" s="98"/>
      <c r="G902" s="98"/>
      <c r="H902" s="98"/>
      <c r="I902" s="98"/>
      <c r="J902" s="98"/>
      <c r="K902" s="98"/>
      <c r="L902" s="98"/>
      <c r="M902" s="98"/>
      <c r="N902" s="98"/>
    </row>
    <row r="903" ht="15.75" customHeight="1">
      <c r="A903" s="98"/>
      <c r="B903" s="98"/>
      <c r="C903" s="98"/>
      <c r="D903" s="98"/>
      <c r="E903" s="98"/>
      <c r="F903" s="98"/>
      <c r="G903" s="98"/>
      <c r="H903" s="98"/>
      <c r="I903" s="98"/>
      <c r="J903" s="98"/>
      <c r="K903" s="98"/>
      <c r="L903" s="98"/>
      <c r="M903" s="98"/>
      <c r="N903" s="98"/>
    </row>
    <row r="904" ht="15.75" customHeight="1">
      <c r="A904" s="98"/>
      <c r="B904" s="98"/>
      <c r="C904" s="98"/>
      <c r="D904" s="98"/>
      <c r="E904" s="98"/>
      <c r="F904" s="98"/>
      <c r="G904" s="98"/>
      <c r="H904" s="98"/>
      <c r="I904" s="98"/>
      <c r="J904" s="98"/>
      <c r="K904" s="98"/>
      <c r="L904" s="98"/>
      <c r="M904" s="98"/>
      <c r="N904" s="98"/>
    </row>
    <row r="905" ht="15.75" customHeight="1">
      <c r="A905" s="98"/>
      <c r="B905" s="98"/>
      <c r="C905" s="98"/>
      <c r="D905" s="98"/>
      <c r="E905" s="98"/>
      <c r="F905" s="98"/>
      <c r="G905" s="98"/>
      <c r="H905" s="98"/>
      <c r="I905" s="98"/>
      <c r="J905" s="98"/>
      <c r="K905" s="98"/>
      <c r="L905" s="98"/>
      <c r="M905" s="98"/>
      <c r="N905" s="98"/>
    </row>
    <row r="906" ht="15.75" customHeight="1">
      <c r="A906" s="98"/>
      <c r="B906" s="98"/>
      <c r="C906" s="98"/>
      <c r="D906" s="98"/>
      <c r="E906" s="98"/>
      <c r="F906" s="98"/>
      <c r="G906" s="98"/>
      <c r="H906" s="98"/>
      <c r="I906" s="98"/>
      <c r="J906" s="98"/>
      <c r="K906" s="98"/>
      <c r="L906" s="98"/>
      <c r="M906" s="98"/>
      <c r="N906" s="98"/>
    </row>
    <row r="907" ht="15.75" customHeight="1">
      <c r="A907" s="98"/>
      <c r="B907" s="98"/>
      <c r="C907" s="98"/>
      <c r="D907" s="98"/>
      <c r="E907" s="98"/>
      <c r="F907" s="98"/>
      <c r="G907" s="98"/>
      <c r="H907" s="98"/>
      <c r="I907" s="98"/>
      <c r="J907" s="98"/>
      <c r="K907" s="98"/>
      <c r="L907" s="98"/>
      <c r="M907" s="98"/>
      <c r="N907" s="98"/>
    </row>
    <row r="908" ht="15.75" customHeight="1">
      <c r="A908" s="98"/>
      <c r="B908" s="98"/>
      <c r="C908" s="98"/>
      <c r="D908" s="98"/>
      <c r="E908" s="98"/>
      <c r="F908" s="98"/>
      <c r="G908" s="98"/>
      <c r="H908" s="98"/>
      <c r="I908" s="98"/>
      <c r="J908" s="98"/>
      <c r="K908" s="98"/>
      <c r="L908" s="98"/>
      <c r="M908" s="98"/>
      <c r="N908" s="98"/>
    </row>
    <row r="909" ht="15.75" customHeight="1">
      <c r="A909" s="98"/>
      <c r="B909" s="98"/>
      <c r="C909" s="98"/>
      <c r="D909" s="98"/>
      <c r="E909" s="98"/>
      <c r="F909" s="98"/>
      <c r="G909" s="98"/>
      <c r="H909" s="98"/>
      <c r="I909" s="98"/>
      <c r="J909" s="98"/>
      <c r="K909" s="98"/>
      <c r="L909" s="98"/>
      <c r="M909" s="98"/>
      <c r="N909" s="98"/>
    </row>
    <row r="910" ht="15.75" customHeight="1">
      <c r="A910" s="98"/>
      <c r="B910" s="98"/>
      <c r="C910" s="98"/>
      <c r="D910" s="98"/>
      <c r="E910" s="98"/>
      <c r="F910" s="98"/>
      <c r="G910" s="98"/>
      <c r="H910" s="98"/>
      <c r="I910" s="98"/>
      <c r="J910" s="98"/>
      <c r="K910" s="98"/>
      <c r="L910" s="98"/>
      <c r="M910" s="98"/>
      <c r="N910" s="98"/>
    </row>
    <row r="911" ht="15.75" customHeight="1">
      <c r="A911" s="98"/>
      <c r="B911" s="98"/>
      <c r="C911" s="98"/>
      <c r="D911" s="98"/>
      <c r="E911" s="98"/>
      <c r="F911" s="98"/>
      <c r="G911" s="98"/>
      <c r="H911" s="98"/>
      <c r="I911" s="98"/>
      <c r="J911" s="98"/>
      <c r="K911" s="98"/>
      <c r="L911" s="98"/>
      <c r="M911" s="98"/>
      <c r="N911" s="98"/>
    </row>
    <row r="912" ht="15.75" customHeight="1">
      <c r="A912" s="98"/>
      <c r="B912" s="98"/>
      <c r="C912" s="98"/>
      <c r="D912" s="98"/>
      <c r="E912" s="98"/>
      <c r="F912" s="98"/>
      <c r="G912" s="98"/>
      <c r="H912" s="98"/>
      <c r="I912" s="98"/>
      <c r="J912" s="98"/>
      <c r="K912" s="98"/>
      <c r="L912" s="98"/>
      <c r="M912" s="98"/>
      <c r="N912" s="98"/>
    </row>
    <row r="913" ht="15.75" customHeight="1">
      <c r="A913" s="98"/>
      <c r="B913" s="98"/>
      <c r="C913" s="98"/>
      <c r="D913" s="98"/>
      <c r="E913" s="98"/>
      <c r="F913" s="98"/>
      <c r="G913" s="98"/>
      <c r="H913" s="98"/>
      <c r="I913" s="98"/>
      <c r="J913" s="98"/>
      <c r="K913" s="98"/>
      <c r="L913" s="98"/>
      <c r="M913" s="98"/>
      <c r="N913" s="98"/>
    </row>
    <row r="914" ht="15.75" customHeight="1">
      <c r="A914" s="98"/>
      <c r="B914" s="98"/>
      <c r="C914" s="98"/>
      <c r="D914" s="98"/>
      <c r="E914" s="98"/>
      <c r="F914" s="98"/>
      <c r="G914" s="98"/>
      <c r="H914" s="98"/>
      <c r="I914" s="98"/>
      <c r="J914" s="98"/>
      <c r="K914" s="98"/>
      <c r="L914" s="98"/>
      <c r="M914" s="98"/>
      <c r="N914" s="98"/>
    </row>
    <row r="915" ht="15.75" customHeight="1">
      <c r="A915" s="98"/>
      <c r="B915" s="98"/>
      <c r="C915" s="98"/>
      <c r="D915" s="98"/>
      <c r="E915" s="98"/>
      <c r="F915" s="98"/>
      <c r="G915" s="98"/>
      <c r="H915" s="98"/>
      <c r="I915" s="98"/>
      <c r="J915" s="98"/>
      <c r="K915" s="98"/>
      <c r="L915" s="98"/>
      <c r="M915" s="98"/>
      <c r="N915" s="98"/>
    </row>
    <row r="916" ht="15.75" customHeight="1">
      <c r="A916" s="98"/>
      <c r="B916" s="98"/>
      <c r="C916" s="98"/>
      <c r="D916" s="98"/>
      <c r="E916" s="98"/>
      <c r="F916" s="98"/>
      <c r="G916" s="98"/>
      <c r="H916" s="98"/>
      <c r="I916" s="98"/>
      <c r="J916" s="98"/>
      <c r="K916" s="98"/>
      <c r="L916" s="98"/>
      <c r="M916" s="98"/>
      <c r="N916" s="98"/>
    </row>
    <row r="917" ht="15.75" customHeight="1">
      <c r="A917" s="98"/>
      <c r="B917" s="98"/>
      <c r="C917" s="98"/>
      <c r="D917" s="98"/>
      <c r="E917" s="98"/>
      <c r="F917" s="98"/>
      <c r="G917" s="98"/>
      <c r="H917" s="98"/>
      <c r="I917" s="98"/>
      <c r="J917" s="98"/>
      <c r="K917" s="98"/>
      <c r="L917" s="98"/>
      <c r="M917" s="98"/>
      <c r="N917" s="98"/>
    </row>
    <row r="918" ht="15.75" customHeight="1">
      <c r="A918" s="98"/>
      <c r="B918" s="98"/>
      <c r="C918" s="98"/>
      <c r="D918" s="98"/>
      <c r="E918" s="98"/>
      <c r="F918" s="98"/>
      <c r="G918" s="98"/>
      <c r="H918" s="98"/>
      <c r="I918" s="98"/>
      <c r="J918" s="98"/>
      <c r="K918" s="98"/>
      <c r="L918" s="98"/>
      <c r="M918" s="98"/>
      <c r="N918" s="98"/>
    </row>
    <row r="919" ht="15.75" customHeight="1">
      <c r="A919" s="98"/>
      <c r="B919" s="98"/>
      <c r="C919" s="98"/>
      <c r="D919" s="98"/>
      <c r="E919" s="98"/>
      <c r="F919" s="98"/>
      <c r="G919" s="98"/>
      <c r="H919" s="98"/>
      <c r="I919" s="98"/>
      <c r="J919" s="98"/>
      <c r="K919" s="98"/>
      <c r="L919" s="98"/>
      <c r="M919" s="98"/>
      <c r="N919" s="98"/>
    </row>
    <row r="920" ht="15.75" customHeight="1">
      <c r="A920" s="98"/>
      <c r="B920" s="98"/>
      <c r="C920" s="98"/>
      <c r="D920" s="98"/>
      <c r="E920" s="98"/>
      <c r="F920" s="98"/>
      <c r="G920" s="98"/>
      <c r="H920" s="98"/>
      <c r="I920" s="98"/>
      <c r="J920" s="98"/>
      <c r="K920" s="98"/>
      <c r="L920" s="98"/>
      <c r="M920" s="98"/>
      <c r="N920" s="98"/>
    </row>
    <row r="921" ht="15.75" customHeight="1">
      <c r="A921" s="98"/>
      <c r="B921" s="98"/>
      <c r="C921" s="98"/>
      <c r="D921" s="98"/>
      <c r="E921" s="98"/>
      <c r="F921" s="98"/>
      <c r="G921" s="98"/>
      <c r="H921" s="98"/>
      <c r="I921" s="98"/>
      <c r="J921" s="98"/>
      <c r="K921" s="98"/>
      <c r="L921" s="98"/>
      <c r="M921" s="98"/>
      <c r="N921" s="98"/>
    </row>
    <row r="922" ht="15.75" customHeight="1">
      <c r="A922" s="98"/>
      <c r="B922" s="98"/>
      <c r="C922" s="98"/>
      <c r="D922" s="98"/>
      <c r="E922" s="98"/>
      <c r="F922" s="98"/>
      <c r="G922" s="98"/>
      <c r="H922" s="98"/>
      <c r="I922" s="98"/>
      <c r="J922" s="98"/>
      <c r="K922" s="98"/>
      <c r="L922" s="98"/>
      <c r="M922" s="98"/>
      <c r="N922" s="98"/>
    </row>
    <row r="923" ht="15.75" customHeight="1">
      <c r="A923" s="98"/>
      <c r="B923" s="98"/>
      <c r="C923" s="98"/>
      <c r="D923" s="98"/>
      <c r="E923" s="98"/>
      <c r="F923" s="98"/>
      <c r="G923" s="98"/>
      <c r="H923" s="98"/>
      <c r="I923" s="98"/>
      <c r="J923" s="98"/>
      <c r="K923" s="98"/>
      <c r="L923" s="98"/>
      <c r="M923" s="98"/>
      <c r="N923" s="98"/>
    </row>
    <row r="924" ht="15.75" customHeight="1">
      <c r="A924" s="98"/>
      <c r="B924" s="98"/>
      <c r="C924" s="98"/>
      <c r="D924" s="98"/>
      <c r="E924" s="98"/>
      <c r="F924" s="98"/>
      <c r="G924" s="98"/>
      <c r="H924" s="98"/>
      <c r="I924" s="98"/>
      <c r="J924" s="98"/>
      <c r="K924" s="98"/>
      <c r="L924" s="98"/>
      <c r="M924" s="98"/>
      <c r="N924" s="98"/>
    </row>
    <row r="925" ht="15.75" customHeight="1">
      <c r="A925" s="98"/>
      <c r="B925" s="98"/>
      <c r="C925" s="98"/>
      <c r="D925" s="98"/>
      <c r="E925" s="98"/>
      <c r="F925" s="98"/>
      <c r="G925" s="98"/>
      <c r="H925" s="98"/>
      <c r="I925" s="98"/>
      <c r="J925" s="98"/>
      <c r="K925" s="98"/>
      <c r="L925" s="98"/>
      <c r="M925" s="98"/>
      <c r="N925" s="98"/>
    </row>
    <row r="926" ht="15.75" customHeight="1">
      <c r="A926" s="98"/>
      <c r="B926" s="98"/>
      <c r="C926" s="98"/>
      <c r="D926" s="98"/>
      <c r="E926" s="98"/>
      <c r="F926" s="98"/>
      <c r="G926" s="98"/>
      <c r="H926" s="98"/>
      <c r="I926" s="98"/>
      <c r="J926" s="98"/>
      <c r="K926" s="98"/>
      <c r="L926" s="98"/>
      <c r="M926" s="98"/>
      <c r="N926" s="98"/>
    </row>
    <row r="927" ht="15.75" customHeight="1">
      <c r="A927" s="98"/>
      <c r="B927" s="98"/>
      <c r="C927" s="98"/>
      <c r="D927" s="98"/>
      <c r="E927" s="98"/>
      <c r="F927" s="98"/>
      <c r="G927" s="98"/>
      <c r="H927" s="98"/>
      <c r="I927" s="98"/>
      <c r="J927" s="98"/>
      <c r="K927" s="98"/>
      <c r="L927" s="98"/>
      <c r="M927" s="98"/>
      <c r="N927" s="98"/>
    </row>
    <row r="928" ht="15.75" customHeight="1">
      <c r="A928" s="98"/>
      <c r="B928" s="98"/>
      <c r="C928" s="98"/>
      <c r="D928" s="98"/>
      <c r="E928" s="98"/>
      <c r="F928" s="98"/>
      <c r="G928" s="98"/>
      <c r="H928" s="98"/>
      <c r="I928" s="98"/>
      <c r="J928" s="98"/>
      <c r="K928" s="98"/>
      <c r="L928" s="98"/>
      <c r="M928" s="98"/>
      <c r="N928" s="98"/>
    </row>
    <row r="929" ht="15.75" customHeight="1">
      <c r="A929" s="98"/>
      <c r="B929" s="98"/>
      <c r="C929" s="98"/>
      <c r="D929" s="98"/>
      <c r="E929" s="98"/>
      <c r="F929" s="98"/>
      <c r="G929" s="98"/>
      <c r="H929" s="98"/>
      <c r="I929" s="98"/>
      <c r="J929" s="98"/>
      <c r="K929" s="98"/>
      <c r="L929" s="98"/>
      <c r="M929" s="98"/>
      <c r="N929" s="98"/>
    </row>
    <row r="930" ht="15.75" customHeight="1">
      <c r="A930" s="98"/>
      <c r="B930" s="98"/>
      <c r="C930" s="98"/>
      <c r="D930" s="98"/>
      <c r="E930" s="98"/>
      <c r="F930" s="98"/>
      <c r="G930" s="98"/>
      <c r="H930" s="98"/>
      <c r="I930" s="98"/>
      <c r="J930" s="98"/>
      <c r="K930" s="98"/>
      <c r="L930" s="98"/>
      <c r="M930" s="98"/>
      <c r="N930" s="98"/>
    </row>
    <row r="931" ht="15.75" customHeight="1">
      <c r="A931" s="98"/>
      <c r="B931" s="98"/>
      <c r="C931" s="98"/>
      <c r="D931" s="98"/>
      <c r="E931" s="98"/>
      <c r="F931" s="98"/>
      <c r="G931" s="98"/>
      <c r="H931" s="98"/>
      <c r="I931" s="98"/>
      <c r="J931" s="98"/>
      <c r="K931" s="98"/>
      <c r="L931" s="98"/>
      <c r="M931" s="98"/>
      <c r="N931" s="98"/>
    </row>
    <row r="932" ht="15.75" customHeight="1">
      <c r="A932" s="98"/>
      <c r="B932" s="98"/>
      <c r="C932" s="98"/>
      <c r="D932" s="98"/>
      <c r="E932" s="98"/>
      <c r="F932" s="98"/>
      <c r="G932" s="98"/>
      <c r="H932" s="98"/>
      <c r="I932" s="98"/>
      <c r="J932" s="98"/>
      <c r="K932" s="98"/>
      <c r="L932" s="98"/>
      <c r="M932" s="98"/>
      <c r="N932" s="98"/>
    </row>
    <row r="933" ht="15.75" customHeight="1">
      <c r="A933" s="98"/>
      <c r="B933" s="98"/>
      <c r="C933" s="98"/>
      <c r="D933" s="98"/>
      <c r="E933" s="98"/>
      <c r="F933" s="98"/>
      <c r="G933" s="98"/>
      <c r="H933" s="98"/>
      <c r="I933" s="98"/>
      <c r="J933" s="98"/>
      <c r="K933" s="98"/>
      <c r="L933" s="98"/>
      <c r="M933" s="98"/>
      <c r="N933" s="98"/>
    </row>
    <row r="934" ht="15.75" customHeight="1">
      <c r="A934" s="98"/>
      <c r="B934" s="98"/>
      <c r="C934" s="98"/>
      <c r="D934" s="98"/>
      <c r="E934" s="98"/>
      <c r="F934" s="98"/>
      <c r="G934" s="98"/>
      <c r="H934" s="98"/>
      <c r="I934" s="98"/>
      <c r="J934" s="98"/>
      <c r="K934" s="98"/>
      <c r="L934" s="98"/>
      <c r="M934" s="98"/>
      <c r="N934" s="98"/>
    </row>
    <row r="935" ht="15.75" customHeight="1">
      <c r="A935" s="98"/>
      <c r="B935" s="98"/>
      <c r="C935" s="98"/>
      <c r="D935" s="98"/>
      <c r="E935" s="98"/>
      <c r="F935" s="98"/>
      <c r="G935" s="98"/>
      <c r="H935" s="98"/>
      <c r="I935" s="98"/>
      <c r="J935" s="98"/>
      <c r="K935" s="98"/>
      <c r="L935" s="98"/>
      <c r="M935" s="98"/>
      <c r="N935" s="98"/>
    </row>
    <row r="936" ht="15.75" customHeight="1">
      <c r="A936" s="98"/>
      <c r="B936" s="98"/>
      <c r="C936" s="98"/>
      <c r="D936" s="98"/>
      <c r="E936" s="98"/>
      <c r="F936" s="98"/>
      <c r="G936" s="98"/>
      <c r="H936" s="98"/>
      <c r="I936" s="98"/>
      <c r="J936" s="98"/>
      <c r="K936" s="98"/>
      <c r="L936" s="98"/>
      <c r="M936" s="98"/>
      <c r="N936" s="98"/>
    </row>
    <row r="937" ht="15.75" customHeight="1">
      <c r="A937" s="98"/>
      <c r="B937" s="98"/>
      <c r="C937" s="98"/>
      <c r="D937" s="98"/>
      <c r="E937" s="98"/>
      <c r="F937" s="98"/>
      <c r="G937" s="98"/>
      <c r="H937" s="98"/>
      <c r="I937" s="98"/>
      <c r="J937" s="98"/>
      <c r="K937" s="98"/>
      <c r="L937" s="98"/>
      <c r="M937" s="98"/>
      <c r="N937" s="98"/>
    </row>
    <row r="938" ht="15.75" customHeight="1">
      <c r="A938" s="98"/>
      <c r="B938" s="98"/>
      <c r="C938" s="98"/>
      <c r="D938" s="98"/>
      <c r="E938" s="98"/>
      <c r="F938" s="98"/>
      <c r="G938" s="98"/>
      <c r="H938" s="98"/>
      <c r="I938" s="98"/>
      <c r="J938" s="98"/>
      <c r="K938" s="98"/>
      <c r="L938" s="98"/>
      <c r="M938" s="98"/>
      <c r="N938" s="98"/>
    </row>
    <row r="939" ht="15.75" customHeight="1">
      <c r="A939" s="98"/>
      <c r="B939" s="98"/>
      <c r="C939" s="98"/>
      <c r="D939" s="98"/>
      <c r="E939" s="98"/>
      <c r="F939" s="98"/>
      <c r="G939" s="98"/>
      <c r="H939" s="98"/>
      <c r="I939" s="98"/>
      <c r="J939" s="98"/>
      <c r="K939" s="98"/>
      <c r="L939" s="98"/>
      <c r="M939" s="98"/>
      <c r="N939" s="98"/>
    </row>
    <row r="940" ht="15.75" customHeight="1">
      <c r="A940" s="98"/>
      <c r="B940" s="98"/>
      <c r="C940" s="98"/>
      <c r="D940" s="98"/>
      <c r="E940" s="98"/>
      <c r="F940" s="98"/>
      <c r="G940" s="98"/>
      <c r="H940" s="98"/>
      <c r="I940" s="98"/>
      <c r="J940" s="98"/>
      <c r="K940" s="98"/>
      <c r="L940" s="98"/>
      <c r="M940" s="98"/>
      <c r="N940" s="98"/>
    </row>
    <row r="941" ht="15.75" customHeight="1">
      <c r="A941" s="98"/>
      <c r="B941" s="98"/>
      <c r="C941" s="98"/>
      <c r="D941" s="98"/>
      <c r="E941" s="98"/>
      <c r="F941" s="98"/>
      <c r="G941" s="98"/>
      <c r="H941" s="98"/>
      <c r="I941" s="98"/>
      <c r="J941" s="98"/>
      <c r="K941" s="98"/>
      <c r="L941" s="98"/>
      <c r="M941" s="98"/>
      <c r="N941" s="98"/>
    </row>
    <row r="942" ht="15.75" customHeight="1">
      <c r="A942" s="98"/>
      <c r="B942" s="98"/>
      <c r="C942" s="98"/>
      <c r="D942" s="98"/>
      <c r="E942" s="98"/>
      <c r="F942" s="98"/>
      <c r="G942" s="98"/>
      <c r="H942" s="98"/>
      <c r="I942" s="98"/>
      <c r="J942" s="98"/>
      <c r="K942" s="98"/>
      <c r="L942" s="98"/>
      <c r="M942" s="98"/>
      <c r="N942" s="98"/>
    </row>
    <row r="943" ht="15.75" customHeight="1">
      <c r="A943" s="98"/>
      <c r="B943" s="98"/>
      <c r="C943" s="98"/>
      <c r="D943" s="98"/>
      <c r="E943" s="98"/>
      <c r="F943" s="98"/>
      <c r="G943" s="98"/>
      <c r="H943" s="98"/>
      <c r="I943" s="98"/>
      <c r="J943" s="98"/>
      <c r="K943" s="98"/>
      <c r="L943" s="98"/>
      <c r="M943" s="98"/>
      <c r="N943" s="98"/>
    </row>
    <row r="944" ht="15.75" customHeight="1">
      <c r="A944" s="98"/>
      <c r="B944" s="98"/>
      <c r="C944" s="98"/>
      <c r="D944" s="98"/>
      <c r="E944" s="98"/>
      <c r="F944" s="98"/>
      <c r="G944" s="98"/>
      <c r="H944" s="98"/>
      <c r="I944" s="98"/>
      <c r="J944" s="98"/>
      <c r="K944" s="98"/>
      <c r="L944" s="98"/>
      <c r="M944" s="98"/>
      <c r="N944" s="98"/>
    </row>
    <row r="945" ht="15.75" customHeight="1">
      <c r="A945" s="98"/>
      <c r="B945" s="98"/>
      <c r="C945" s="98"/>
      <c r="D945" s="98"/>
      <c r="E945" s="98"/>
      <c r="F945" s="98"/>
      <c r="G945" s="98"/>
      <c r="H945" s="98"/>
      <c r="I945" s="98"/>
      <c r="J945" s="98"/>
      <c r="K945" s="98"/>
      <c r="L945" s="98"/>
      <c r="M945" s="98"/>
      <c r="N945" s="98"/>
    </row>
    <row r="946" ht="15.75" customHeight="1">
      <c r="A946" s="98"/>
      <c r="B946" s="98"/>
      <c r="C946" s="98"/>
      <c r="D946" s="98"/>
      <c r="E946" s="98"/>
      <c r="F946" s="98"/>
      <c r="G946" s="98"/>
      <c r="H946" s="98"/>
      <c r="I946" s="98"/>
      <c r="J946" s="98"/>
      <c r="K946" s="98"/>
      <c r="L946" s="98"/>
      <c r="M946" s="98"/>
      <c r="N946" s="98"/>
    </row>
    <row r="947" ht="15.75" customHeight="1">
      <c r="A947" s="98"/>
      <c r="B947" s="98"/>
      <c r="C947" s="98"/>
      <c r="D947" s="98"/>
      <c r="E947" s="98"/>
      <c r="F947" s="98"/>
      <c r="G947" s="98"/>
      <c r="H947" s="98"/>
      <c r="I947" s="98"/>
      <c r="J947" s="98"/>
      <c r="K947" s="98"/>
      <c r="L947" s="98"/>
      <c r="M947" s="98"/>
      <c r="N947" s="98"/>
    </row>
    <row r="948" ht="15.75" customHeight="1">
      <c r="A948" s="98"/>
      <c r="B948" s="98"/>
      <c r="C948" s="98"/>
      <c r="D948" s="98"/>
      <c r="E948" s="98"/>
      <c r="F948" s="98"/>
      <c r="G948" s="98"/>
      <c r="H948" s="98"/>
      <c r="I948" s="98"/>
      <c r="J948" s="98"/>
      <c r="K948" s="98"/>
      <c r="L948" s="98"/>
      <c r="M948" s="98"/>
      <c r="N948" s="98"/>
    </row>
    <row r="949" ht="15.75" customHeight="1">
      <c r="A949" s="98"/>
      <c r="B949" s="98"/>
      <c r="C949" s="98"/>
      <c r="D949" s="98"/>
      <c r="E949" s="98"/>
      <c r="F949" s="98"/>
      <c r="G949" s="98"/>
      <c r="H949" s="98"/>
      <c r="I949" s="98"/>
      <c r="J949" s="98"/>
      <c r="K949" s="98"/>
      <c r="L949" s="98"/>
      <c r="M949" s="98"/>
      <c r="N949" s="98"/>
    </row>
    <row r="950" ht="15.75" customHeight="1">
      <c r="A950" s="98"/>
      <c r="B950" s="98"/>
      <c r="C950" s="98"/>
      <c r="D950" s="98"/>
      <c r="E950" s="98"/>
      <c r="F950" s="98"/>
      <c r="G950" s="98"/>
      <c r="H950" s="98"/>
      <c r="I950" s="98"/>
      <c r="J950" s="98"/>
      <c r="K950" s="98"/>
      <c r="L950" s="98"/>
      <c r="M950" s="98"/>
      <c r="N950" s="98"/>
    </row>
    <row r="951" ht="15.75" customHeight="1">
      <c r="A951" s="98"/>
      <c r="B951" s="98"/>
      <c r="C951" s="98"/>
      <c r="D951" s="98"/>
      <c r="E951" s="98"/>
      <c r="F951" s="98"/>
      <c r="G951" s="98"/>
      <c r="H951" s="98"/>
      <c r="I951" s="98"/>
      <c r="J951" s="98"/>
      <c r="K951" s="98"/>
      <c r="L951" s="98"/>
      <c r="M951" s="98"/>
      <c r="N951" s="98"/>
    </row>
    <row r="952" ht="15.75" customHeight="1">
      <c r="A952" s="98"/>
      <c r="B952" s="98"/>
      <c r="C952" s="98"/>
      <c r="D952" s="98"/>
      <c r="E952" s="98"/>
      <c r="F952" s="98"/>
      <c r="G952" s="98"/>
      <c r="H952" s="98"/>
      <c r="I952" s="98"/>
      <c r="J952" s="98"/>
      <c r="K952" s="98"/>
      <c r="L952" s="98"/>
      <c r="M952" s="98"/>
      <c r="N952" s="98"/>
    </row>
    <row r="953" ht="15.75" customHeight="1">
      <c r="A953" s="98"/>
      <c r="B953" s="98"/>
      <c r="C953" s="98"/>
      <c r="D953" s="98"/>
      <c r="E953" s="98"/>
      <c r="F953" s="98"/>
      <c r="G953" s="98"/>
      <c r="H953" s="98"/>
      <c r="I953" s="98"/>
      <c r="J953" s="98"/>
      <c r="K953" s="98"/>
      <c r="L953" s="98"/>
      <c r="M953" s="98"/>
      <c r="N953" s="98"/>
    </row>
    <row r="954" ht="15.75" customHeight="1">
      <c r="A954" s="98"/>
      <c r="B954" s="98"/>
      <c r="C954" s="98"/>
      <c r="D954" s="98"/>
      <c r="E954" s="98"/>
      <c r="F954" s="98"/>
      <c r="G954" s="98"/>
      <c r="H954" s="98"/>
      <c r="I954" s="98"/>
      <c r="J954" s="98"/>
      <c r="K954" s="98"/>
      <c r="L954" s="98"/>
      <c r="M954" s="98"/>
      <c r="N954" s="98"/>
    </row>
    <row r="955" ht="15.75" customHeight="1">
      <c r="A955" s="98"/>
      <c r="B955" s="98"/>
      <c r="C955" s="98"/>
      <c r="D955" s="98"/>
      <c r="E955" s="98"/>
      <c r="F955" s="98"/>
      <c r="G955" s="98"/>
      <c r="H955" s="98"/>
      <c r="I955" s="98"/>
      <c r="J955" s="98"/>
      <c r="K955" s="98"/>
      <c r="L955" s="98"/>
      <c r="M955" s="98"/>
      <c r="N955" s="98"/>
    </row>
    <row r="956" ht="15.75" customHeight="1">
      <c r="A956" s="98"/>
      <c r="B956" s="98"/>
      <c r="C956" s="98"/>
      <c r="D956" s="98"/>
      <c r="E956" s="98"/>
      <c r="F956" s="98"/>
      <c r="G956" s="98"/>
      <c r="H956" s="98"/>
      <c r="I956" s="98"/>
      <c r="J956" s="98"/>
      <c r="K956" s="98"/>
      <c r="L956" s="98"/>
      <c r="M956" s="98"/>
      <c r="N956" s="98"/>
    </row>
    <row r="957" ht="15.75" customHeight="1">
      <c r="A957" s="98"/>
      <c r="B957" s="98"/>
      <c r="C957" s="98"/>
      <c r="D957" s="98"/>
      <c r="E957" s="98"/>
      <c r="F957" s="98"/>
      <c r="G957" s="98"/>
      <c r="H957" s="98"/>
      <c r="I957" s="98"/>
      <c r="J957" s="98"/>
      <c r="K957" s="98"/>
      <c r="L957" s="98"/>
      <c r="M957" s="98"/>
      <c r="N957" s="98"/>
    </row>
    <row r="958" ht="15.75" customHeight="1">
      <c r="A958" s="98"/>
      <c r="B958" s="98"/>
      <c r="C958" s="98"/>
      <c r="D958" s="98"/>
      <c r="E958" s="98"/>
      <c r="F958" s="98"/>
      <c r="G958" s="98"/>
      <c r="H958" s="98"/>
      <c r="I958" s="98"/>
      <c r="J958" s="98"/>
      <c r="K958" s="98"/>
      <c r="L958" s="98"/>
      <c r="M958" s="98"/>
      <c r="N958" s="98"/>
    </row>
    <row r="959" ht="15.75" customHeight="1">
      <c r="A959" s="98"/>
      <c r="B959" s="98"/>
      <c r="C959" s="98"/>
      <c r="D959" s="98"/>
      <c r="E959" s="98"/>
      <c r="F959" s="98"/>
      <c r="G959" s="98"/>
      <c r="H959" s="98"/>
      <c r="I959" s="98"/>
      <c r="J959" s="98"/>
      <c r="K959" s="98"/>
      <c r="L959" s="98"/>
      <c r="M959" s="98"/>
      <c r="N959" s="98"/>
    </row>
    <row r="960" ht="15.75" customHeight="1">
      <c r="A960" s="98"/>
      <c r="B960" s="98"/>
      <c r="C960" s="98"/>
      <c r="D960" s="98"/>
      <c r="E960" s="98"/>
      <c r="F960" s="98"/>
      <c r="G960" s="98"/>
      <c r="H960" s="98"/>
      <c r="I960" s="98"/>
      <c r="J960" s="98"/>
      <c r="K960" s="98"/>
      <c r="L960" s="98"/>
      <c r="M960" s="98"/>
      <c r="N960" s="98"/>
    </row>
    <row r="961" ht="15.75" customHeight="1">
      <c r="A961" s="98"/>
      <c r="B961" s="98"/>
      <c r="C961" s="98"/>
      <c r="D961" s="98"/>
      <c r="E961" s="98"/>
      <c r="F961" s="98"/>
      <c r="G961" s="98"/>
      <c r="H961" s="98"/>
      <c r="I961" s="98"/>
      <c r="J961" s="98"/>
      <c r="K961" s="98"/>
      <c r="L961" s="98"/>
      <c r="M961" s="98"/>
      <c r="N961" s="98"/>
    </row>
    <row r="962" ht="15.75" customHeight="1">
      <c r="A962" s="98"/>
      <c r="B962" s="98"/>
      <c r="C962" s="98"/>
      <c r="D962" s="98"/>
      <c r="E962" s="98"/>
      <c r="F962" s="98"/>
      <c r="G962" s="98"/>
      <c r="H962" s="98"/>
      <c r="I962" s="98"/>
      <c r="J962" s="98"/>
      <c r="K962" s="98"/>
      <c r="L962" s="98"/>
      <c r="M962" s="98"/>
      <c r="N962" s="98"/>
    </row>
    <row r="963" ht="15.75" customHeight="1">
      <c r="A963" s="98"/>
      <c r="B963" s="98"/>
      <c r="C963" s="98"/>
      <c r="D963" s="98"/>
      <c r="E963" s="98"/>
      <c r="F963" s="98"/>
      <c r="G963" s="98"/>
      <c r="H963" s="98"/>
      <c r="I963" s="98"/>
      <c r="J963" s="98"/>
      <c r="K963" s="98"/>
      <c r="L963" s="98"/>
      <c r="M963" s="98"/>
      <c r="N963" s="98"/>
    </row>
    <row r="964" ht="15.75" customHeight="1">
      <c r="A964" s="98"/>
      <c r="B964" s="98"/>
      <c r="C964" s="98"/>
      <c r="D964" s="98"/>
      <c r="E964" s="98"/>
      <c r="F964" s="98"/>
      <c r="G964" s="98"/>
      <c r="H964" s="98"/>
      <c r="I964" s="98"/>
      <c r="J964" s="98"/>
      <c r="K964" s="98"/>
      <c r="L964" s="98"/>
      <c r="M964" s="98"/>
      <c r="N964" s="98"/>
    </row>
    <row r="965" ht="15.75" customHeight="1">
      <c r="A965" s="98"/>
      <c r="B965" s="98"/>
      <c r="C965" s="98"/>
      <c r="D965" s="98"/>
      <c r="E965" s="98"/>
      <c r="F965" s="98"/>
      <c r="G965" s="98"/>
      <c r="H965" s="98"/>
      <c r="I965" s="98"/>
      <c r="J965" s="98"/>
      <c r="K965" s="98"/>
      <c r="L965" s="98"/>
      <c r="M965" s="98"/>
      <c r="N965" s="98"/>
    </row>
    <row r="966" ht="15.75" customHeight="1">
      <c r="A966" s="98"/>
      <c r="B966" s="98"/>
      <c r="C966" s="98"/>
      <c r="D966" s="98"/>
      <c r="E966" s="98"/>
      <c r="F966" s="98"/>
      <c r="G966" s="98"/>
      <c r="H966" s="98"/>
      <c r="I966" s="98"/>
      <c r="J966" s="98"/>
      <c r="K966" s="98"/>
      <c r="L966" s="98"/>
      <c r="M966" s="98"/>
      <c r="N966" s="98"/>
    </row>
    <row r="967" ht="15.75" customHeight="1">
      <c r="A967" s="98"/>
      <c r="B967" s="98"/>
      <c r="C967" s="98"/>
      <c r="D967" s="98"/>
      <c r="E967" s="98"/>
      <c r="F967" s="98"/>
      <c r="G967" s="98"/>
      <c r="H967" s="98"/>
      <c r="I967" s="98"/>
      <c r="J967" s="98"/>
      <c r="K967" s="98"/>
      <c r="L967" s="98"/>
      <c r="M967" s="98"/>
      <c r="N967" s="98"/>
    </row>
    <row r="968" ht="15.75" customHeight="1">
      <c r="A968" s="98"/>
      <c r="B968" s="98"/>
      <c r="C968" s="98"/>
      <c r="D968" s="98"/>
      <c r="E968" s="98"/>
      <c r="F968" s="98"/>
      <c r="G968" s="98"/>
      <c r="H968" s="98"/>
      <c r="I968" s="98"/>
      <c r="J968" s="98"/>
      <c r="K968" s="98"/>
      <c r="L968" s="98"/>
      <c r="M968" s="98"/>
      <c r="N968" s="98"/>
    </row>
    <row r="969" ht="15.75" customHeight="1">
      <c r="A969" s="98"/>
      <c r="B969" s="98"/>
      <c r="C969" s="98"/>
      <c r="D969" s="98"/>
      <c r="E969" s="98"/>
      <c r="F969" s="98"/>
      <c r="G969" s="98"/>
      <c r="H969" s="98"/>
      <c r="I969" s="98"/>
      <c r="J969" s="98"/>
      <c r="K969" s="98"/>
      <c r="L969" s="98"/>
      <c r="M969" s="98"/>
      <c r="N969" s="98"/>
    </row>
    <row r="970" ht="15.75" customHeight="1">
      <c r="A970" s="98"/>
      <c r="B970" s="98"/>
      <c r="C970" s="98"/>
      <c r="D970" s="98"/>
      <c r="E970" s="98"/>
      <c r="F970" s="98"/>
      <c r="G970" s="98"/>
      <c r="H970" s="98"/>
      <c r="I970" s="98"/>
      <c r="J970" s="98"/>
      <c r="K970" s="98"/>
      <c r="L970" s="98"/>
      <c r="M970" s="98"/>
      <c r="N970" s="98"/>
    </row>
    <row r="971" ht="15.75" customHeight="1">
      <c r="A971" s="98"/>
      <c r="B971" s="98"/>
      <c r="C971" s="98"/>
      <c r="D971" s="98"/>
      <c r="E971" s="98"/>
      <c r="F971" s="98"/>
      <c r="G971" s="98"/>
      <c r="H971" s="98"/>
      <c r="I971" s="98"/>
      <c r="J971" s="98"/>
      <c r="K971" s="98"/>
      <c r="L971" s="98"/>
      <c r="M971" s="98"/>
      <c r="N971" s="98"/>
    </row>
    <row r="972" ht="15.75" customHeight="1">
      <c r="A972" s="98"/>
      <c r="B972" s="98"/>
      <c r="C972" s="98"/>
      <c r="D972" s="98"/>
      <c r="E972" s="98"/>
      <c r="F972" s="98"/>
      <c r="G972" s="98"/>
      <c r="H972" s="98"/>
      <c r="I972" s="98"/>
      <c r="J972" s="98"/>
      <c r="K972" s="98"/>
      <c r="L972" s="98"/>
      <c r="M972" s="98"/>
      <c r="N972" s="98"/>
    </row>
    <row r="973" ht="15.75" customHeight="1">
      <c r="A973" s="98"/>
      <c r="B973" s="98"/>
      <c r="C973" s="98"/>
      <c r="D973" s="98"/>
      <c r="E973" s="98"/>
      <c r="F973" s="98"/>
      <c r="G973" s="98"/>
      <c r="H973" s="98"/>
      <c r="I973" s="98"/>
      <c r="J973" s="98"/>
      <c r="K973" s="98"/>
      <c r="L973" s="98"/>
      <c r="M973" s="98"/>
      <c r="N973" s="98"/>
    </row>
    <row r="974" ht="15.75" customHeight="1">
      <c r="A974" s="98"/>
      <c r="B974" s="98"/>
      <c r="C974" s="98"/>
      <c r="D974" s="98"/>
      <c r="E974" s="98"/>
      <c r="F974" s="98"/>
      <c r="G974" s="98"/>
      <c r="H974" s="98"/>
      <c r="I974" s="98"/>
      <c r="J974" s="98"/>
      <c r="K974" s="98"/>
      <c r="L974" s="98"/>
      <c r="M974" s="98"/>
      <c r="N974" s="98"/>
    </row>
    <row r="975" ht="15.75" customHeight="1">
      <c r="A975" s="98"/>
      <c r="B975" s="98"/>
      <c r="C975" s="98"/>
      <c r="D975" s="98"/>
      <c r="E975" s="98"/>
      <c r="F975" s="98"/>
      <c r="G975" s="98"/>
      <c r="H975" s="98"/>
      <c r="I975" s="98"/>
      <c r="J975" s="98"/>
      <c r="K975" s="98"/>
      <c r="L975" s="98"/>
      <c r="M975" s="98"/>
      <c r="N975" s="98"/>
    </row>
    <row r="976" ht="15.75" customHeight="1">
      <c r="A976" s="98"/>
      <c r="B976" s="98"/>
      <c r="C976" s="98"/>
      <c r="D976" s="98"/>
      <c r="E976" s="98"/>
      <c r="F976" s="98"/>
      <c r="G976" s="98"/>
      <c r="H976" s="98"/>
      <c r="I976" s="98"/>
      <c r="J976" s="98"/>
      <c r="K976" s="98"/>
      <c r="L976" s="98"/>
      <c r="M976" s="98"/>
      <c r="N976" s="98"/>
    </row>
    <row r="977" ht="15.75" customHeight="1">
      <c r="A977" s="98"/>
      <c r="B977" s="98"/>
      <c r="C977" s="98"/>
      <c r="D977" s="98"/>
      <c r="E977" s="98"/>
      <c r="F977" s="98"/>
      <c r="G977" s="98"/>
      <c r="H977" s="98"/>
      <c r="I977" s="98"/>
      <c r="J977" s="98"/>
      <c r="K977" s="98"/>
      <c r="L977" s="98"/>
      <c r="M977" s="98"/>
      <c r="N977" s="98"/>
    </row>
    <row r="978" ht="15.75" customHeight="1">
      <c r="A978" s="98"/>
      <c r="B978" s="98"/>
      <c r="C978" s="98"/>
      <c r="D978" s="98"/>
      <c r="E978" s="98"/>
      <c r="F978" s="98"/>
      <c r="G978" s="98"/>
      <c r="H978" s="98"/>
      <c r="I978" s="98"/>
      <c r="J978" s="98"/>
      <c r="K978" s="98"/>
      <c r="L978" s="98"/>
      <c r="M978" s="98"/>
      <c r="N978" s="98"/>
    </row>
    <row r="979" ht="15.75" customHeight="1">
      <c r="A979" s="98"/>
      <c r="B979" s="98"/>
      <c r="C979" s="98"/>
      <c r="D979" s="98"/>
      <c r="E979" s="98"/>
      <c r="F979" s="98"/>
      <c r="G979" s="98"/>
      <c r="H979" s="98"/>
      <c r="I979" s="98"/>
      <c r="J979" s="98"/>
      <c r="K979" s="98"/>
      <c r="L979" s="98"/>
      <c r="M979" s="98"/>
      <c r="N979" s="98"/>
    </row>
    <row r="980" ht="15.75" customHeight="1">
      <c r="A980" s="98"/>
      <c r="B980" s="98"/>
      <c r="C980" s="98"/>
      <c r="D980" s="98"/>
      <c r="E980" s="98"/>
      <c r="F980" s="98"/>
      <c r="G980" s="98"/>
      <c r="H980" s="98"/>
      <c r="I980" s="98"/>
      <c r="J980" s="98"/>
      <c r="K980" s="98"/>
      <c r="L980" s="98"/>
      <c r="M980" s="98"/>
      <c r="N980" s="98"/>
    </row>
    <row r="981" ht="15.75" customHeight="1">
      <c r="A981" s="98"/>
      <c r="B981" s="98"/>
      <c r="C981" s="98"/>
      <c r="D981" s="98"/>
      <c r="E981" s="98"/>
      <c r="F981" s="98"/>
      <c r="G981" s="98"/>
      <c r="H981" s="98"/>
      <c r="I981" s="98"/>
      <c r="J981" s="98"/>
      <c r="K981" s="98"/>
      <c r="L981" s="98"/>
      <c r="M981" s="98"/>
      <c r="N981" s="98"/>
    </row>
    <row r="982" ht="15.75" customHeight="1">
      <c r="A982" s="98"/>
      <c r="B982" s="98"/>
      <c r="C982" s="98"/>
      <c r="D982" s="98"/>
      <c r="E982" s="98"/>
      <c r="F982" s="98"/>
      <c r="G982" s="98"/>
      <c r="H982" s="98"/>
      <c r="I982" s="98"/>
      <c r="J982" s="98"/>
      <c r="K982" s="98"/>
      <c r="L982" s="98"/>
      <c r="M982" s="98"/>
      <c r="N982" s="98"/>
    </row>
    <row r="983" ht="15.75" customHeight="1">
      <c r="A983" s="98"/>
      <c r="B983" s="98"/>
      <c r="C983" s="98"/>
      <c r="D983" s="98"/>
      <c r="E983" s="98"/>
      <c r="F983" s="98"/>
      <c r="G983" s="98"/>
      <c r="H983" s="98"/>
      <c r="I983" s="98"/>
      <c r="J983" s="98"/>
      <c r="K983" s="98"/>
      <c r="L983" s="98"/>
      <c r="M983" s="98"/>
      <c r="N983" s="98"/>
    </row>
    <row r="984" ht="15.75" customHeight="1">
      <c r="A984" s="98"/>
      <c r="B984" s="98"/>
      <c r="C984" s="98"/>
      <c r="D984" s="98"/>
      <c r="E984" s="98"/>
      <c r="F984" s="98"/>
      <c r="G984" s="98"/>
      <c r="H984" s="98"/>
      <c r="I984" s="98"/>
      <c r="J984" s="98"/>
      <c r="K984" s="98"/>
      <c r="L984" s="98"/>
      <c r="M984" s="98"/>
      <c r="N984" s="98"/>
    </row>
    <row r="985" ht="15.75" customHeight="1">
      <c r="A985" s="98"/>
      <c r="B985" s="98"/>
      <c r="C985" s="98"/>
      <c r="D985" s="98"/>
      <c r="E985" s="98"/>
      <c r="F985" s="98"/>
      <c r="G985" s="98"/>
      <c r="H985" s="98"/>
      <c r="I985" s="98"/>
      <c r="J985" s="98"/>
      <c r="K985" s="98"/>
      <c r="L985" s="98"/>
      <c r="M985" s="98"/>
      <c r="N985" s="98"/>
    </row>
    <row r="986" ht="15.75" customHeight="1">
      <c r="A986" s="98"/>
      <c r="B986" s="98"/>
      <c r="C986" s="98"/>
      <c r="D986" s="98"/>
      <c r="E986" s="98"/>
      <c r="F986" s="98"/>
      <c r="G986" s="98"/>
      <c r="H986" s="98"/>
      <c r="I986" s="98"/>
      <c r="J986" s="98"/>
      <c r="K986" s="98"/>
      <c r="L986" s="98"/>
      <c r="M986" s="98"/>
      <c r="N986" s="98"/>
    </row>
    <row r="987" ht="15.75" customHeight="1">
      <c r="A987" s="98"/>
      <c r="B987" s="98"/>
      <c r="C987" s="98"/>
      <c r="D987" s="98"/>
      <c r="E987" s="98"/>
      <c r="F987" s="98"/>
      <c r="G987" s="98"/>
      <c r="H987" s="98"/>
      <c r="I987" s="98"/>
      <c r="J987" s="98"/>
      <c r="K987" s="98"/>
      <c r="L987" s="98"/>
      <c r="M987" s="98"/>
      <c r="N987" s="98"/>
    </row>
    <row r="988" ht="15.75" customHeight="1">
      <c r="A988" s="98"/>
      <c r="B988" s="98"/>
      <c r="C988" s="98"/>
      <c r="D988" s="98"/>
      <c r="E988" s="98"/>
      <c r="F988" s="98"/>
      <c r="G988" s="98"/>
      <c r="H988" s="98"/>
      <c r="I988" s="98"/>
      <c r="J988" s="98"/>
      <c r="K988" s="98"/>
      <c r="L988" s="98"/>
      <c r="M988" s="98"/>
      <c r="N988" s="98"/>
    </row>
    <row r="989" ht="15.75" customHeight="1">
      <c r="A989" s="98"/>
      <c r="B989" s="98"/>
      <c r="C989" s="98"/>
      <c r="D989" s="98"/>
      <c r="E989" s="98"/>
      <c r="F989" s="98"/>
      <c r="G989" s="98"/>
      <c r="H989" s="98"/>
      <c r="I989" s="98"/>
      <c r="J989" s="98"/>
      <c r="K989" s="98"/>
      <c r="L989" s="98"/>
      <c r="M989" s="98"/>
      <c r="N989" s="98"/>
    </row>
    <row r="990" ht="15.75" customHeight="1">
      <c r="A990" s="98"/>
      <c r="B990" s="98"/>
      <c r="C990" s="98"/>
      <c r="D990" s="98"/>
      <c r="E990" s="98"/>
      <c r="F990" s="98"/>
      <c r="G990" s="98"/>
      <c r="H990" s="98"/>
      <c r="I990" s="98"/>
      <c r="J990" s="98"/>
      <c r="K990" s="98"/>
      <c r="L990" s="98"/>
      <c r="M990" s="98"/>
      <c r="N990" s="98"/>
    </row>
    <row r="991" ht="15.75" customHeight="1">
      <c r="A991" s="98"/>
      <c r="B991" s="98"/>
      <c r="C991" s="98"/>
      <c r="D991" s="98"/>
      <c r="E991" s="98"/>
      <c r="F991" s="98"/>
      <c r="G991" s="98"/>
      <c r="H991" s="98"/>
      <c r="I991" s="98"/>
      <c r="J991" s="98"/>
      <c r="K991" s="98"/>
      <c r="L991" s="98"/>
      <c r="M991" s="98"/>
      <c r="N991" s="98"/>
    </row>
    <row r="992" ht="15.75" customHeight="1">
      <c r="A992" s="98"/>
      <c r="B992" s="98"/>
      <c r="C992" s="98"/>
      <c r="D992" s="98"/>
      <c r="E992" s="98"/>
      <c r="F992" s="98"/>
      <c r="G992" s="98"/>
      <c r="H992" s="98"/>
      <c r="I992" s="98"/>
      <c r="J992" s="98"/>
      <c r="K992" s="98"/>
      <c r="L992" s="98"/>
      <c r="M992" s="98"/>
      <c r="N992" s="98"/>
    </row>
    <row r="993" ht="15.75" customHeight="1">
      <c r="A993" s="98"/>
      <c r="B993" s="98"/>
      <c r="C993" s="98"/>
      <c r="D993" s="98"/>
      <c r="E993" s="98"/>
      <c r="F993" s="98"/>
      <c r="G993" s="98"/>
      <c r="H993" s="98"/>
      <c r="I993" s="98"/>
      <c r="J993" s="98"/>
      <c r="K993" s="98"/>
      <c r="L993" s="98"/>
      <c r="M993" s="98"/>
      <c r="N993" s="98"/>
    </row>
    <row r="994" ht="15.75" customHeight="1">
      <c r="A994" s="98"/>
      <c r="B994" s="98"/>
      <c r="C994" s="98"/>
      <c r="D994" s="98"/>
      <c r="E994" s="98"/>
      <c r="F994" s="98"/>
      <c r="G994" s="98"/>
      <c r="H994" s="98"/>
      <c r="I994" s="98"/>
      <c r="J994" s="98"/>
      <c r="K994" s="98"/>
      <c r="L994" s="98"/>
      <c r="M994" s="98"/>
      <c r="N994" s="98"/>
    </row>
    <row r="995" ht="15.75" customHeight="1">
      <c r="A995" s="98"/>
      <c r="B995" s="98"/>
      <c r="C995" s="98"/>
      <c r="D995" s="98"/>
      <c r="E995" s="98"/>
      <c r="F995" s="98"/>
      <c r="G995" s="98"/>
      <c r="H995" s="98"/>
      <c r="I995" s="98"/>
      <c r="J995" s="98"/>
      <c r="K995" s="98"/>
      <c r="L995" s="98"/>
      <c r="M995" s="98"/>
      <c r="N995" s="98"/>
    </row>
    <row r="996" ht="15.75" customHeight="1">
      <c r="A996" s="98"/>
      <c r="B996" s="98"/>
      <c r="C996" s="98"/>
      <c r="D996" s="98"/>
      <c r="E996" s="98"/>
      <c r="F996" s="98"/>
      <c r="G996" s="98"/>
      <c r="H996" s="98"/>
      <c r="I996" s="98"/>
      <c r="J996" s="98"/>
      <c r="K996" s="98"/>
      <c r="L996" s="98"/>
      <c r="M996" s="98"/>
      <c r="N996" s="98"/>
    </row>
    <row r="997" ht="15.75" customHeight="1">
      <c r="A997" s="98"/>
      <c r="B997" s="98"/>
      <c r="C997" s="98"/>
      <c r="D997" s="98"/>
      <c r="E997" s="98"/>
      <c r="F997" s="98"/>
      <c r="G997" s="98"/>
      <c r="H997" s="98"/>
      <c r="I997" s="98"/>
      <c r="J997" s="98"/>
      <c r="K997" s="98"/>
      <c r="L997" s="98"/>
      <c r="M997" s="98"/>
      <c r="N997" s="98"/>
    </row>
    <row r="998" ht="15.75" customHeight="1">
      <c r="A998" s="98"/>
      <c r="B998" s="98"/>
      <c r="C998" s="98"/>
      <c r="D998" s="98"/>
      <c r="E998" s="98"/>
      <c r="F998" s="98"/>
      <c r="G998" s="98"/>
      <c r="H998" s="98"/>
      <c r="I998" s="98"/>
      <c r="J998" s="98"/>
      <c r="K998" s="98"/>
      <c r="L998" s="98"/>
      <c r="M998" s="98"/>
      <c r="N998" s="98"/>
    </row>
    <row r="999" ht="15.75" customHeight="1">
      <c r="A999" s="98"/>
      <c r="B999" s="98"/>
      <c r="C999" s="98"/>
      <c r="D999" s="98"/>
      <c r="E999" s="98"/>
      <c r="F999" s="98"/>
      <c r="G999" s="98"/>
      <c r="H999" s="98"/>
      <c r="I999" s="98"/>
      <c r="J999" s="98"/>
      <c r="K999" s="98"/>
      <c r="L999" s="98"/>
      <c r="M999" s="98"/>
      <c r="N999" s="98"/>
    </row>
    <row r="1000" ht="15.75" customHeight="1">
      <c r="A1000" s="98"/>
      <c r="B1000" s="98"/>
      <c r="C1000" s="98"/>
      <c r="D1000" s="98"/>
      <c r="E1000" s="98"/>
      <c r="F1000" s="98"/>
      <c r="G1000" s="98"/>
      <c r="H1000" s="98"/>
      <c r="I1000" s="98"/>
      <c r="J1000" s="98"/>
      <c r="K1000" s="98"/>
      <c r="L1000" s="98"/>
      <c r="M1000" s="98"/>
      <c r="N1000" s="98"/>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 r:id="rId105" ref="A106"/>
    <hyperlink r:id="rId106" ref="A107"/>
    <hyperlink r:id="rId107" ref="A108"/>
    <hyperlink r:id="rId108" ref="A109"/>
    <hyperlink r:id="rId109" ref="A110"/>
    <hyperlink r:id="rId110" ref="A111"/>
    <hyperlink r:id="rId111" ref="A112"/>
    <hyperlink r:id="rId112" ref="A113"/>
    <hyperlink r:id="rId113" ref="A114"/>
    <hyperlink r:id="rId114" ref="A115"/>
    <hyperlink r:id="rId115" ref="A116"/>
    <hyperlink r:id="rId116" ref="A117"/>
    <hyperlink r:id="rId117" ref="A118"/>
    <hyperlink r:id="rId118" ref="A119"/>
    <hyperlink r:id="rId119" ref="A120"/>
    <hyperlink r:id="rId120" ref="A121"/>
    <hyperlink r:id="rId121" ref="A122"/>
    <hyperlink r:id="rId122" ref="A123"/>
    <hyperlink r:id="rId123" ref="A124"/>
    <hyperlink r:id="rId124" ref="A125"/>
    <hyperlink r:id="rId125" ref="A126"/>
    <hyperlink r:id="rId126" ref="A128"/>
    <hyperlink r:id="rId127" ref="A129"/>
    <hyperlink r:id="rId128" ref="A130"/>
    <hyperlink r:id="rId129" ref="A131"/>
    <hyperlink r:id="rId130" ref="A132"/>
    <hyperlink r:id="rId131" ref="A133"/>
    <hyperlink r:id="rId132" ref="A134"/>
    <hyperlink r:id="rId133" ref="A135"/>
    <hyperlink r:id="rId134" ref="A136"/>
    <hyperlink r:id="rId135" ref="A137"/>
    <hyperlink r:id="rId136" ref="A138"/>
    <hyperlink r:id="rId137" ref="A139"/>
    <hyperlink r:id="rId138" ref="A140"/>
    <hyperlink r:id="rId139" ref="A141"/>
    <hyperlink r:id="rId140" ref="A142"/>
    <hyperlink r:id="rId141" ref="A143"/>
    <hyperlink r:id="rId142" ref="A144"/>
    <hyperlink r:id="rId143" ref="A145"/>
    <hyperlink r:id="rId144" ref="A146"/>
    <hyperlink r:id="rId145" ref="A147"/>
    <hyperlink r:id="rId146" ref="A148"/>
    <hyperlink r:id="rId147" ref="A149"/>
    <hyperlink r:id="rId148" ref="A150"/>
    <hyperlink r:id="rId149" ref="A151"/>
    <hyperlink r:id="rId150" ref="A152"/>
    <hyperlink r:id="rId151" ref="A153"/>
    <hyperlink r:id="rId152" ref="A154"/>
    <hyperlink r:id="rId153" ref="A155"/>
    <hyperlink r:id="rId154" ref="A156"/>
    <hyperlink r:id="rId155" ref="A157"/>
    <hyperlink r:id="rId156" ref="A158"/>
    <hyperlink r:id="rId157" ref="A159"/>
    <hyperlink r:id="rId158" ref="A160"/>
    <hyperlink r:id="rId159" ref="A161"/>
    <hyperlink r:id="rId160" ref="A162"/>
    <hyperlink r:id="rId161" ref="A163"/>
    <hyperlink r:id="rId162" ref="A164"/>
    <hyperlink r:id="rId163" ref="A165"/>
    <hyperlink r:id="rId164" ref="A166"/>
    <hyperlink r:id="rId165" ref="A167"/>
    <hyperlink r:id="rId166" ref="A168"/>
    <hyperlink r:id="rId167" ref="A169"/>
    <hyperlink r:id="rId168" ref="A170"/>
    <hyperlink r:id="rId169" ref="A171"/>
    <hyperlink r:id="rId170" ref="A172"/>
    <hyperlink r:id="rId171" ref="A173"/>
    <hyperlink r:id="rId172" ref="A174"/>
    <hyperlink r:id="rId173" ref="A175"/>
    <hyperlink r:id="rId174" ref="A176"/>
    <hyperlink r:id="rId175" ref="A177"/>
    <hyperlink r:id="rId176" ref="A178"/>
    <hyperlink r:id="rId177" ref="A179"/>
    <hyperlink r:id="rId178" ref="A180"/>
    <hyperlink r:id="rId179" ref="A181"/>
    <hyperlink r:id="rId180" ref="A182"/>
    <hyperlink r:id="rId181" ref="A183"/>
    <hyperlink r:id="rId182" ref="A184"/>
    <hyperlink r:id="rId183" ref="A185"/>
    <hyperlink r:id="rId184" ref="A187"/>
    <hyperlink r:id="rId185" ref="A188"/>
    <hyperlink r:id="rId186" ref="A189"/>
    <hyperlink r:id="rId187" ref="A190"/>
    <hyperlink r:id="rId188" ref="A191"/>
    <hyperlink r:id="rId189" ref="A192"/>
    <hyperlink r:id="rId190" ref="A193"/>
    <hyperlink r:id="rId191" ref="A194"/>
    <hyperlink r:id="rId192" ref="A195"/>
    <hyperlink r:id="rId193" ref="A196"/>
    <hyperlink r:id="rId194" ref="A197"/>
    <hyperlink r:id="rId195" ref="A198"/>
    <hyperlink r:id="rId196" ref="A199"/>
    <hyperlink r:id="rId197" ref="A200"/>
    <hyperlink r:id="rId198" ref="A201"/>
    <hyperlink r:id="rId199" ref="A202"/>
    <hyperlink r:id="rId200" ref="A203"/>
    <hyperlink r:id="rId201" ref="A204"/>
    <hyperlink r:id="rId202" ref="A205"/>
    <hyperlink r:id="rId203" ref="A206"/>
    <hyperlink r:id="rId204" ref="A207"/>
    <hyperlink r:id="rId205" ref="A208"/>
    <hyperlink r:id="rId206" ref="A209"/>
    <hyperlink r:id="rId207" ref="A210"/>
    <hyperlink r:id="rId208" ref="A211"/>
    <hyperlink r:id="rId209" ref="A212"/>
    <hyperlink r:id="rId210" ref="A213"/>
    <hyperlink r:id="rId211" ref="A214"/>
    <hyperlink r:id="rId212" ref="A215"/>
    <hyperlink r:id="rId213" ref="A216"/>
    <hyperlink r:id="rId214" ref="A217"/>
    <hyperlink r:id="rId215" ref="A218"/>
    <hyperlink r:id="rId216" ref="A219"/>
    <hyperlink r:id="rId217" ref="A220"/>
    <hyperlink r:id="rId218" ref="A221"/>
    <hyperlink r:id="rId219" ref="A222"/>
    <hyperlink r:id="rId220" ref="A223"/>
    <hyperlink r:id="rId221" ref="A224"/>
    <hyperlink r:id="rId222" ref="A225"/>
    <hyperlink r:id="rId223" ref="A226"/>
    <hyperlink r:id="rId224" ref="A227"/>
    <hyperlink r:id="rId225" ref="A228"/>
    <hyperlink r:id="rId226" ref="A229"/>
    <hyperlink r:id="rId227" ref="A230"/>
    <hyperlink r:id="rId228" ref="A231"/>
    <hyperlink r:id="rId229" ref="A232"/>
    <hyperlink r:id="rId230" ref="A233"/>
    <hyperlink r:id="rId231" ref="A234"/>
    <hyperlink r:id="rId232" ref="A235"/>
    <hyperlink r:id="rId233" ref="A236"/>
    <hyperlink r:id="rId234" ref="A237"/>
    <hyperlink r:id="rId235" ref="A238"/>
    <hyperlink r:id="rId236" ref="A239"/>
    <hyperlink r:id="rId237" ref="A240"/>
    <hyperlink r:id="rId238" ref="A241"/>
    <hyperlink r:id="rId239" ref="A242"/>
    <hyperlink r:id="rId240" ref="A243"/>
    <hyperlink r:id="rId241" ref="A244"/>
    <hyperlink r:id="rId242" ref="A245"/>
    <hyperlink r:id="rId243" ref="A246"/>
    <hyperlink r:id="rId244" ref="A247"/>
    <hyperlink r:id="rId245" ref="A248"/>
    <hyperlink r:id="rId246" ref="A249"/>
    <hyperlink r:id="rId247" ref="A250"/>
    <hyperlink r:id="rId248" ref="A251"/>
    <hyperlink r:id="rId249" ref="A252"/>
    <hyperlink r:id="rId250" ref="A253"/>
    <hyperlink r:id="rId251" ref="A254"/>
    <hyperlink r:id="rId252" ref="A255"/>
    <hyperlink r:id="rId253" ref="A256"/>
    <hyperlink r:id="rId254" ref="A257"/>
    <hyperlink r:id="rId255" ref="A258"/>
    <hyperlink r:id="rId256" ref="A259"/>
    <hyperlink r:id="rId257" ref="A260"/>
    <hyperlink r:id="rId258" ref="A261"/>
    <hyperlink r:id="rId259" ref="A262"/>
    <hyperlink r:id="rId260" ref="A263"/>
    <hyperlink r:id="rId261" ref="A264"/>
    <hyperlink r:id="rId262" ref="A265"/>
    <hyperlink r:id="rId263" ref="A266"/>
    <hyperlink r:id="rId264" ref="A267"/>
    <hyperlink r:id="rId265" ref="A268"/>
    <hyperlink r:id="rId266" ref="A269"/>
    <hyperlink r:id="rId267" ref="A270"/>
    <hyperlink r:id="rId268" ref="A271"/>
    <hyperlink r:id="rId269" ref="A272"/>
    <hyperlink r:id="rId270" ref="A273"/>
    <hyperlink r:id="rId271" ref="A274"/>
    <hyperlink r:id="rId272" ref="A275"/>
    <hyperlink r:id="rId273" ref="A276"/>
    <hyperlink r:id="rId274" ref="A277"/>
    <hyperlink r:id="rId275" ref="A278"/>
    <hyperlink r:id="rId276" ref="A279"/>
    <hyperlink r:id="rId277" ref="A280"/>
    <hyperlink r:id="rId278" ref="A281"/>
    <hyperlink r:id="rId279" ref="A282"/>
    <hyperlink r:id="rId280" ref="A283"/>
    <hyperlink r:id="rId281" ref="A284"/>
    <hyperlink r:id="rId282" ref="A285"/>
    <hyperlink r:id="rId283" ref="A286"/>
    <hyperlink r:id="rId284" ref="A287"/>
    <hyperlink r:id="rId285" ref="A288"/>
    <hyperlink r:id="rId286" ref="A289"/>
    <hyperlink r:id="rId287" ref="A290"/>
    <hyperlink r:id="rId288" ref="A291"/>
    <hyperlink r:id="rId289" ref="A292"/>
    <hyperlink r:id="rId290" ref="A293"/>
    <hyperlink r:id="rId291" ref="A294"/>
    <hyperlink r:id="rId292" ref="A295"/>
    <hyperlink r:id="rId293" ref="A296"/>
    <hyperlink r:id="rId294" ref="A297"/>
    <hyperlink r:id="rId295" ref="A298"/>
    <hyperlink r:id="rId296" ref="A299"/>
    <hyperlink r:id="rId297" ref="A300"/>
    <hyperlink r:id="rId298" ref="A301"/>
    <hyperlink r:id="rId299" ref="A302"/>
    <hyperlink r:id="rId300" ref="A303"/>
    <hyperlink r:id="rId301" ref="A304"/>
    <hyperlink r:id="rId302" ref="A305"/>
    <hyperlink r:id="rId303" ref="A306"/>
    <hyperlink r:id="rId304" ref="A307"/>
    <hyperlink r:id="rId305" ref="A308"/>
    <hyperlink r:id="rId306" ref="A309"/>
    <hyperlink r:id="rId307" ref="A310"/>
    <hyperlink r:id="rId308" ref="A311"/>
    <hyperlink r:id="rId309" ref="A312"/>
    <hyperlink r:id="rId310" ref="A313"/>
    <hyperlink r:id="rId311" ref="A314"/>
    <hyperlink r:id="rId312" ref="A315"/>
    <hyperlink r:id="rId313" ref="A316"/>
    <hyperlink r:id="rId314" ref="A317"/>
    <hyperlink r:id="rId315" ref="A318"/>
    <hyperlink r:id="rId316" ref="A319"/>
    <hyperlink r:id="rId317" ref="A320"/>
    <hyperlink r:id="rId318" ref="A321"/>
    <hyperlink r:id="rId319" ref="A322"/>
    <hyperlink r:id="rId320" ref="A323"/>
    <hyperlink r:id="rId321" ref="A324"/>
    <hyperlink r:id="rId322" ref="A325"/>
    <hyperlink r:id="rId323" ref="A326"/>
    <hyperlink r:id="rId324" ref="A327"/>
    <hyperlink r:id="rId325" ref="A328"/>
    <hyperlink r:id="rId326" ref="A329"/>
    <hyperlink r:id="rId327" ref="A330"/>
    <hyperlink r:id="rId328" ref="A331"/>
    <hyperlink r:id="rId329" ref="A332"/>
    <hyperlink r:id="rId330" ref="A333"/>
    <hyperlink r:id="rId331" ref="A334"/>
    <hyperlink r:id="rId332" ref="A335"/>
    <hyperlink r:id="rId333" ref="A336"/>
    <hyperlink r:id="rId334" ref="A337"/>
    <hyperlink r:id="rId335" ref="A338"/>
    <hyperlink r:id="rId336" ref="A339"/>
    <hyperlink r:id="rId337" ref="A340"/>
    <hyperlink r:id="rId338" ref="A341"/>
    <hyperlink r:id="rId339" ref="A342"/>
    <hyperlink r:id="rId340" ref="A343"/>
    <hyperlink r:id="rId341" ref="A344"/>
    <hyperlink r:id="rId342" ref="A345"/>
    <hyperlink r:id="rId343" ref="A346"/>
    <hyperlink r:id="rId344" ref="A347"/>
    <hyperlink r:id="rId345" ref="A348"/>
    <hyperlink r:id="rId346" ref="A349"/>
    <hyperlink r:id="rId347" ref="A350"/>
    <hyperlink r:id="rId348" ref="A351"/>
    <hyperlink r:id="rId349" ref="A352"/>
    <hyperlink r:id="rId350" ref="A353"/>
    <hyperlink r:id="rId351" ref="A354"/>
    <hyperlink r:id="rId352" ref="A355"/>
    <hyperlink r:id="rId353" ref="A356"/>
    <hyperlink r:id="rId354" ref="A357"/>
    <hyperlink r:id="rId355" ref="A358"/>
    <hyperlink r:id="rId356" ref="A359"/>
    <hyperlink r:id="rId357" ref="A360"/>
    <hyperlink r:id="rId358" ref="A361"/>
    <hyperlink r:id="rId359" ref="A362"/>
    <hyperlink r:id="rId360" ref="A363"/>
    <hyperlink r:id="rId361" ref="A364"/>
    <hyperlink r:id="rId362" ref="A365"/>
    <hyperlink r:id="rId363" ref="A366"/>
    <hyperlink r:id="rId364" ref="A367"/>
    <hyperlink r:id="rId365" ref="A368"/>
    <hyperlink r:id="rId366" ref="A369"/>
    <hyperlink r:id="rId367" ref="A370"/>
    <hyperlink r:id="rId368" ref="A371"/>
    <hyperlink r:id="rId369" ref="A372"/>
    <hyperlink r:id="rId370" ref="A373"/>
    <hyperlink r:id="rId371" ref="A374"/>
    <hyperlink r:id="rId372" ref="A375"/>
    <hyperlink r:id="rId373" ref="A376"/>
    <hyperlink r:id="rId374" ref="A377"/>
    <hyperlink r:id="rId375" ref="A378"/>
    <hyperlink r:id="rId376" ref="A379"/>
    <hyperlink r:id="rId377" ref="A380"/>
    <hyperlink r:id="rId378" ref="A381"/>
    <hyperlink r:id="rId379" ref="A382"/>
    <hyperlink r:id="rId380" ref="A383"/>
    <hyperlink r:id="rId381" ref="A384"/>
    <hyperlink r:id="rId382" ref="A385"/>
    <hyperlink r:id="rId383" ref="A386"/>
    <hyperlink r:id="rId384" ref="A387"/>
    <hyperlink r:id="rId385" ref="A388"/>
    <hyperlink r:id="rId386" ref="A389"/>
    <hyperlink r:id="rId387" ref="A390"/>
    <hyperlink r:id="rId388" ref="A391"/>
    <hyperlink r:id="rId389" ref="A392"/>
    <hyperlink r:id="rId390" ref="A393"/>
    <hyperlink r:id="rId391" ref="A394"/>
    <hyperlink r:id="rId392" ref="A395"/>
    <hyperlink r:id="rId393" ref="A396"/>
    <hyperlink r:id="rId394" ref="A397"/>
    <hyperlink r:id="rId395" ref="A398"/>
    <hyperlink r:id="rId396" ref="A399"/>
    <hyperlink r:id="rId397" ref="A400"/>
    <hyperlink r:id="rId398" ref="A401"/>
    <hyperlink r:id="rId399" ref="A402"/>
    <hyperlink r:id="rId400" ref="A403"/>
    <hyperlink r:id="rId401" ref="A404"/>
    <hyperlink r:id="rId402" ref="A405"/>
    <hyperlink r:id="rId403" ref="A406"/>
    <hyperlink r:id="rId404" ref="A407"/>
    <hyperlink r:id="rId405" ref="A408"/>
    <hyperlink r:id="rId406" ref="A409"/>
    <hyperlink r:id="rId407" ref="A410"/>
    <hyperlink r:id="rId408" ref="A411"/>
    <hyperlink r:id="rId409" ref="A412"/>
    <hyperlink r:id="rId410" ref="A413"/>
    <hyperlink r:id="rId411" ref="A414"/>
    <hyperlink r:id="rId412" ref="A415"/>
    <hyperlink r:id="rId413" ref="A416"/>
    <hyperlink r:id="rId414" ref="A417"/>
    <hyperlink r:id="rId415" ref="A418"/>
    <hyperlink r:id="rId416" ref="A419"/>
    <hyperlink r:id="rId417" ref="A420"/>
    <hyperlink r:id="rId418" ref="A421"/>
    <hyperlink r:id="rId419" ref="A422"/>
    <hyperlink r:id="rId420" ref="A423"/>
    <hyperlink r:id="rId421" ref="A424"/>
    <hyperlink r:id="rId422" ref="A425"/>
    <hyperlink r:id="rId423" ref="A426"/>
    <hyperlink r:id="rId424" ref="A427"/>
    <hyperlink r:id="rId425" ref="A428"/>
    <hyperlink r:id="rId426" ref="A429"/>
    <hyperlink r:id="rId427" ref="A430"/>
    <hyperlink r:id="rId428" ref="A431"/>
    <hyperlink r:id="rId429" ref="A432"/>
    <hyperlink r:id="rId430" ref="A433"/>
    <hyperlink r:id="rId431" ref="A434"/>
    <hyperlink r:id="rId432" ref="A435"/>
    <hyperlink r:id="rId433" ref="A436"/>
    <hyperlink r:id="rId434" ref="A437"/>
    <hyperlink r:id="rId435" ref="A438"/>
    <hyperlink r:id="rId436" ref="A439"/>
    <hyperlink r:id="rId437" ref="A440"/>
    <hyperlink r:id="rId438" ref="A441"/>
    <hyperlink r:id="rId439" ref="A442"/>
    <hyperlink r:id="rId440" ref="A443"/>
    <hyperlink r:id="rId441" ref="A444"/>
    <hyperlink r:id="rId442" ref="A445"/>
    <hyperlink r:id="rId443" ref="A446"/>
    <hyperlink r:id="rId444" ref="A447"/>
    <hyperlink r:id="rId445" ref="A448"/>
    <hyperlink r:id="rId446" ref="A449"/>
    <hyperlink r:id="rId447" ref="A450"/>
    <hyperlink r:id="rId448" ref="A451"/>
    <hyperlink r:id="rId449" ref="A452"/>
    <hyperlink r:id="rId450" ref="A453"/>
    <hyperlink r:id="rId451" ref="A454"/>
    <hyperlink r:id="rId452" ref="A455"/>
    <hyperlink r:id="rId453" ref="A456"/>
    <hyperlink r:id="rId454" ref="A457"/>
    <hyperlink r:id="rId455" ref="A458"/>
    <hyperlink r:id="rId456" ref="A459"/>
    <hyperlink r:id="rId457" ref="A460"/>
    <hyperlink r:id="rId458" ref="A461"/>
    <hyperlink r:id="rId459" ref="A462"/>
    <hyperlink r:id="rId460" ref="A463"/>
    <hyperlink r:id="rId461" ref="A464"/>
    <hyperlink r:id="rId462" ref="A465"/>
    <hyperlink r:id="rId463" ref="A466"/>
    <hyperlink r:id="rId464" ref="A467"/>
    <hyperlink r:id="rId465" ref="A468"/>
    <hyperlink r:id="rId466" ref="A469"/>
    <hyperlink r:id="rId467" ref="A470"/>
    <hyperlink r:id="rId468" ref="A471"/>
    <hyperlink r:id="rId469" ref="A472"/>
    <hyperlink r:id="rId470" ref="A473"/>
    <hyperlink r:id="rId471" ref="A474"/>
    <hyperlink r:id="rId472" ref="A475"/>
    <hyperlink r:id="rId473" ref="A476"/>
    <hyperlink r:id="rId474" ref="A477"/>
    <hyperlink r:id="rId475" ref="A478"/>
    <hyperlink r:id="rId476" ref="A479"/>
    <hyperlink r:id="rId477" ref="A480"/>
    <hyperlink r:id="rId478" ref="A481"/>
    <hyperlink r:id="rId479" ref="A482"/>
    <hyperlink r:id="rId480" ref="A483"/>
    <hyperlink r:id="rId481" ref="A484"/>
    <hyperlink r:id="rId482" ref="A485"/>
    <hyperlink r:id="rId483" ref="A486"/>
    <hyperlink r:id="rId484" ref="A487"/>
    <hyperlink r:id="rId485" ref="A488"/>
    <hyperlink r:id="rId486" ref="A489"/>
    <hyperlink r:id="rId487" ref="A490"/>
    <hyperlink r:id="rId488" ref="A491"/>
    <hyperlink r:id="rId489" ref="A492"/>
    <hyperlink r:id="rId490" ref="A493"/>
    <hyperlink r:id="rId491" ref="A494"/>
    <hyperlink r:id="rId492" ref="A495"/>
    <hyperlink r:id="rId493" ref="A496"/>
    <hyperlink r:id="rId494" ref="A497"/>
    <hyperlink r:id="rId495" ref="A498"/>
    <hyperlink r:id="rId496" ref="A499"/>
    <hyperlink r:id="rId497" ref="A500"/>
    <hyperlink r:id="rId498" ref="A501"/>
    <hyperlink r:id="rId499" ref="A502"/>
    <hyperlink r:id="rId500" ref="A503"/>
    <hyperlink r:id="rId501" ref="A504"/>
    <hyperlink r:id="rId502" ref="A505"/>
    <hyperlink r:id="rId503" ref="A506"/>
    <hyperlink r:id="rId504" ref="A507"/>
    <hyperlink r:id="rId505" ref="A508"/>
    <hyperlink r:id="rId506" ref="A509"/>
    <hyperlink r:id="rId507" ref="A510"/>
    <hyperlink r:id="rId508" ref="A511"/>
    <hyperlink r:id="rId509" ref="A512"/>
    <hyperlink r:id="rId510" ref="A513"/>
  </hyperlinks>
  <drawing r:id="rId511"/>
</worksheet>
</file>